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6.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tables/table2.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trlProps/ctrlProp39.xml" ContentType="application/vnd.ms-excel.controlproperties+xml"/>
  <Override PartName="/xl/ctrlProps/ctrlProp40.xml" ContentType="application/vnd.ms-excel.controlproperties+xml"/>
  <Override PartName="/xl/charts/chart5.xml" ContentType="application/vnd.openxmlformats-officedocument.drawingml.chart+xml"/>
  <Override PartName="/xl/charts/style1.xml" ContentType="application/vnd.ms-office.chartstyle+xml"/>
  <Override PartName="/xl/charts/colors1.xml" ContentType="application/vnd.ms-office.chartcolorstyle+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drawings/drawing5.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comments3.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60" tabRatio="601" activeTab="1"/>
  </bookViews>
  <sheets>
    <sheet name="Base_Données" sheetId="1" r:id="rId1"/>
    <sheet name="corrélation_ratio" sheetId="16" r:id="rId2"/>
    <sheet name="SIG" sheetId="4" r:id="rId3"/>
    <sheet name="informations_SIG" sheetId="5" state="hidden" r:id="rId4"/>
    <sheet name="compte_résultat_sectoriels" sheetId="8" r:id="rId5"/>
    <sheet name="ratio__sectoriels" sheetId="11" r:id="rId6"/>
    <sheet name="liste_forme" sheetId="2" state="hidden" r:id="rId7"/>
  </sheets>
  <definedNames>
    <definedName name="_xlnm._FilterDatabase" localSheetId="0" hidden="1">Base_Données!$BT$2:$GJ$3</definedName>
    <definedName name="_xlnm._FilterDatabase" localSheetId="6" hidden="1">liste_forme!$R$1:$R$151</definedName>
    <definedName name="_xlnm._FilterDatabase" localSheetId="2" hidden="1">SIG!$A$3:$R$497</definedName>
    <definedName name="ge">Tableau1[[#Headers],[MOIS EX]]</definedName>
    <definedName name="information_SIG">informations_SIG!$B$3:$D$15</definedName>
    <definedName name="liste_feuille">#REF!</definedName>
    <definedName name="nom_SIG">OFFSET(informations_SIG!$B$3,0,0,COUNTA(informations_SIG!$B:$B)-1)</definedName>
    <definedName name="poste">OFFSET(liste_forme!$O$2,0,0,COUNTA(liste_forme!$O:$O)-1)</definedName>
    <definedName name="tableau_date">Tableau4[[#All],[Année d''exercice]]</definedName>
    <definedName name="Tableau3">Tableau2[#All]</definedName>
    <definedName name="tableaux_SIG">SIG!$A$3:$R$497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11" l="1"/>
  <c r="D26" i="11"/>
  <c r="E26" i="11"/>
  <c r="B26" i="11"/>
  <c r="DA23" i="1" l="1"/>
  <c r="AD23" i="1"/>
  <c r="EM23" i="1"/>
  <c r="EB23" i="1"/>
  <c r="CK23" i="1"/>
  <c r="CU23" i="1"/>
  <c r="ER23" i="1"/>
  <c r="AD25" i="1"/>
  <c r="AD24" i="1"/>
  <c r="EM24" i="1"/>
  <c r="EM25" i="1"/>
  <c r="EB25" i="1"/>
  <c r="EB24" i="1"/>
  <c r="DA25" i="1"/>
  <c r="DA24" i="1"/>
  <c r="AB24" i="1"/>
  <c r="AB25" i="1"/>
  <c r="AD56" i="1"/>
  <c r="AW56" i="1"/>
  <c r="FT56" i="1"/>
  <c r="FZ56" i="1"/>
  <c r="EX56" i="1"/>
  <c r="EM56" i="1"/>
  <c r="EA56" i="1"/>
  <c r="DR56" i="1"/>
  <c r="DQ56" i="1"/>
  <c r="DG56" i="1"/>
  <c r="DB56" i="1"/>
  <c r="CU56" i="1"/>
  <c r="CQ56" i="1"/>
  <c r="CK56" i="1"/>
  <c r="BY56" i="1"/>
  <c r="BW56" i="1"/>
  <c r="BX56" i="1"/>
  <c r="FC55" i="1"/>
  <c r="FC54" i="1"/>
  <c r="FQ55" i="1"/>
  <c r="EM55" i="1"/>
  <c r="EF54" i="1"/>
  <c r="EA55" i="1"/>
  <c r="EA54" i="1"/>
  <c r="DO55" i="1"/>
  <c r="DG55" i="1"/>
  <c r="DG54" i="1"/>
  <c r="CV54" i="1"/>
  <c r="CU55" i="1"/>
  <c r="CU54" i="1"/>
  <c r="BY55" i="1"/>
  <c r="BY54" i="1"/>
  <c r="GC55" i="1"/>
  <c r="FZ55" i="1"/>
  <c r="FA54" i="1"/>
  <c r="EX55" i="1"/>
  <c r="EJ55" i="1"/>
  <c r="DQ55" i="1"/>
  <c r="CQ55" i="1"/>
  <c r="CK55" i="1"/>
  <c r="BW55" i="1"/>
  <c r="BX55" i="1"/>
  <c r="AD55" i="1"/>
  <c r="AW55" i="1"/>
  <c r="V55" i="1"/>
  <c r="C38" i="11" l="1"/>
  <c r="D38" i="11"/>
  <c r="H38" i="11" s="1"/>
  <c r="E38" i="11"/>
  <c r="B38" i="11"/>
  <c r="C39" i="11"/>
  <c r="D39" i="11"/>
  <c r="G39" i="11" s="1"/>
  <c r="E39" i="11"/>
  <c r="B39" i="11"/>
  <c r="F38" i="11"/>
  <c r="C37" i="11"/>
  <c r="D37" i="11"/>
  <c r="E37" i="11"/>
  <c r="B37" i="11"/>
  <c r="C34" i="11"/>
  <c r="D34" i="11"/>
  <c r="E34" i="11"/>
  <c r="B34" i="11"/>
  <c r="C33" i="11"/>
  <c r="D33" i="11"/>
  <c r="E33" i="11"/>
  <c r="B33" i="11"/>
  <c r="C32" i="11"/>
  <c r="D32" i="11"/>
  <c r="E32" i="11"/>
  <c r="B32" i="11"/>
  <c r="C31" i="11"/>
  <c r="D31" i="11"/>
  <c r="E31" i="11"/>
  <c r="B31" i="11"/>
  <c r="C30" i="11"/>
  <c r="D30" i="11"/>
  <c r="E30" i="11"/>
  <c r="B30" i="11"/>
  <c r="C29" i="11"/>
  <c r="D29" i="11"/>
  <c r="E29" i="11"/>
  <c r="B29" i="11"/>
  <c r="I37" i="11" l="1"/>
  <c r="I38" i="11"/>
  <c r="G38" i="11"/>
  <c r="F37" i="11"/>
  <c r="G37" i="11"/>
  <c r="H37" i="11"/>
  <c r="H39" i="11"/>
  <c r="F39" i="11"/>
  <c r="I39" i="11"/>
  <c r="I31" i="11"/>
  <c r="I34" i="11"/>
  <c r="I29" i="11"/>
  <c r="I33" i="11"/>
  <c r="I30" i="11"/>
  <c r="I32" i="11"/>
  <c r="F34" i="11"/>
  <c r="F29" i="11"/>
  <c r="F33" i="11"/>
  <c r="G29" i="11"/>
  <c r="G30" i="11"/>
  <c r="G31" i="11"/>
  <c r="G32" i="11"/>
  <c r="G33" i="11"/>
  <c r="G34" i="11"/>
  <c r="F30" i="11"/>
  <c r="F32" i="11"/>
  <c r="H29" i="11"/>
  <c r="H30" i="11"/>
  <c r="H31" i="11"/>
  <c r="H32" i="11"/>
  <c r="H33" i="11"/>
  <c r="H34" i="11"/>
  <c r="F31" i="11"/>
  <c r="C17" i="11"/>
  <c r="D17" i="11"/>
  <c r="E17" i="11"/>
  <c r="B17" i="11"/>
  <c r="C16" i="11"/>
  <c r="D16" i="11"/>
  <c r="E16" i="11"/>
  <c r="B16" i="11"/>
  <c r="C11" i="11"/>
  <c r="D11" i="11"/>
  <c r="E11" i="11"/>
  <c r="C10" i="11"/>
  <c r="D10" i="11"/>
  <c r="E10" i="11"/>
  <c r="B11" i="11"/>
  <c r="B10" i="11"/>
  <c r="C9" i="11"/>
  <c r="D9" i="11"/>
  <c r="E9" i="11"/>
  <c r="B9" i="11"/>
  <c r="C8" i="11"/>
  <c r="D8" i="11"/>
  <c r="E8" i="11"/>
  <c r="B7" i="11"/>
  <c r="B8" i="11"/>
  <c r="B41" i="11"/>
  <c r="C40" i="11"/>
  <c r="D40" i="11"/>
  <c r="E40" i="11"/>
  <c r="B40" i="11"/>
  <c r="C41" i="11"/>
  <c r="D41" i="11"/>
  <c r="E41" i="11"/>
  <c r="C22" i="11"/>
  <c r="D22" i="11"/>
  <c r="E22" i="11"/>
  <c r="B22" i="11"/>
  <c r="C25" i="11"/>
  <c r="D25" i="11"/>
  <c r="E25" i="11"/>
  <c r="B25" i="11"/>
  <c r="C24" i="11"/>
  <c r="D24" i="11"/>
  <c r="E24" i="11"/>
  <c r="B24" i="11"/>
  <c r="C23" i="11"/>
  <c r="D23" i="11"/>
  <c r="E23" i="11"/>
  <c r="B23" i="11"/>
  <c r="C21" i="11"/>
  <c r="D21" i="11"/>
  <c r="E21" i="11"/>
  <c r="B21" i="11"/>
  <c r="C20" i="11"/>
  <c r="D20" i="11"/>
  <c r="E20" i="11"/>
  <c r="B20" i="11"/>
  <c r="G40" i="11" l="1"/>
  <c r="H40" i="11"/>
  <c r="I40" i="11"/>
  <c r="F40" i="11"/>
  <c r="G41" i="11"/>
  <c r="H41" i="11"/>
  <c r="I41" i="11"/>
  <c r="F41" i="11"/>
  <c r="F22" i="11"/>
  <c r="G22" i="11"/>
  <c r="H22" i="11"/>
  <c r="I22" i="11"/>
  <c r="G20" i="11"/>
  <c r="G21" i="11"/>
  <c r="G24" i="11"/>
  <c r="G26" i="11"/>
  <c r="G23" i="11"/>
  <c r="F20" i="11"/>
  <c r="F21" i="11"/>
  <c r="F23" i="11"/>
  <c r="F24" i="11"/>
  <c r="F26" i="11"/>
  <c r="I24" i="11"/>
  <c r="H26" i="11"/>
  <c r="H24" i="11"/>
  <c r="H23" i="11"/>
  <c r="H21" i="11"/>
  <c r="H20" i="11"/>
  <c r="I26" i="11"/>
  <c r="I23" i="11"/>
  <c r="I21" i="11"/>
  <c r="I20" i="11"/>
  <c r="E4" i="2" l="1"/>
  <c r="E5" i="2" s="1"/>
  <c r="E6" i="2" s="1"/>
  <c r="E7" i="2" s="1"/>
  <c r="E8" i="2" s="1"/>
  <c r="E9" i="2" s="1"/>
  <c r="E10" i="2" s="1"/>
  <c r="E11" i="2" s="1"/>
  <c r="E12" i="2" s="1"/>
  <c r="E13" i="2" s="1"/>
  <c r="M3" i="2"/>
  <c r="M4" i="2" s="1"/>
  <c r="M5" i="2" s="1"/>
  <c r="M6" i="2" s="1"/>
  <c r="M7" i="2" s="1"/>
  <c r="M8" i="2" s="1"/>
  <c r="M9" i="2" s="1"/>
  <c r="M10" i="2" s="1"/>
  <c r="M11" i="2" s="1"/>
  <c r="M12" i="2" s="1"/>
  <c r="M13" i="2" s="1"/>
  <c r="I3" i="2"/>
  <c r="I4" i="2" s="1"/>
  <c r="I5" i="2" s="1"/>
  <c r="I6" i="2" s="1"/>
  <c r="I7" i="2" s="1"/>
  <c r="I8" i="2" s="1"/>
  <c r="I9" i="2" s="1"/>
  <c r="I10" i="2" s="1"/>
  <c r="I11" i="2" s="1"/>
  <c r="I12" i="2" s="1"/>
  <c r="I13" i="2" s="1"/>
  <c r="I14" i="2" s="1"/>
  <c r="I15" i="2" s="1"/>
  <c r="I16" i="2" s="1"/>
  <c r="I17" i="2" s="1"/>
  <c r="I18" i="2" s="1"/>
  <c r="I19" i="2" s="1"/>
  <c r="I20" i="2" s="1"/>
  <c r="I21" i="2" s="1"/>
  <c r="I22" i="2" s="1"/>
  <c r="I23" i="2" s="1"/>
  <c r="I24" i="2" s="1"/>
  <c r="I25" i="2" s="1"/>
  <c r="F3" i="2"/>
  <c r="F4" i="2" s="1"/>
  <c r="F5" i="2" s="1"/>
  <c r="F6" i="2" s="1"/>
  <c r="F7" i="2" s="1"/>
  <c r="F8" i="2" s="1"/>
  <c r="E3" i="2"/>
  <c r="D3" i="2"/>
  <c r="D4" i="2" s="1"/>
  <c r="D5" i="2" s="1"/>
  <c r="D6" i="2" s="1"/>
  <c r="D7" i="2" s="1"/>
  <c r="D8" i="2" s="1"/>
  <c r="D9" i="2" s="1"/>
  <c r="D10" i="2" s="1"/>
  <c r="D11" i="2" s="1"/>
  <c r="D12" i="2" s="1"/>
  <c r="D13" i="2" s="1"/>
  <c r="D14" i="2" s="1"/>
  <c r="D15" i="2" s="1"/>
  <c r="D16" i="2" s="1"/>
  <c r="D17" i="2" s="1"/>
  <c r="D18" i="2" s="1"/>
  <c r="D19" i="2" s="1"/>
  <c r="D20" i="2" s="1"/>
  <c r="D21" i="2" s="1"/>
  <c r="D22" i="2" s="1"/>
  <c r="D23" i="2" s="1"/>
  <c r="D24" i="2" s="1"/>
  <c r="D25" i="2" s="1"/>
  <c r="D26" i="2" s="1"/>
  <c r="D27" i="2" s="1"/>
  <c r="D28" i="2" s="1"/>
  <c r="D29" i="2" s="1"/>
  <c r="D30" i="2" s="1"/>
  <c r="D31" i="2" s="1"/>
  <c r="H17" i="11"/>
  <c r="E15" i="11"/>
  <c r="D15" i="11"/>
  <c r="C15" i="11"/>
  <c r="B15" i="11"/>
  <c r="E14" i="11"/>
  <c r="D14" i="11"/>
  <c r="C14" i="11"/>
  <c r="B14" i="11"/>
  <c r="H11" i="11"/>
  <c r="H10" i="11"/>
  <c r="H9" i="11"/>
  <c r="E7" i="11"/>
  <c r="D7" i="11"/>
  <c r="C7" i="11"/>
  <c r="E6" i="11"/>
  <c r="D6" i="11"/>
  <c r="C6" i="11"/>
  <c r="B6" i="11"/>
  <c r="I84" i="8"/>
  <c r="H84" i="8"/>
  <c r="G84" i="8"/>
  <c r="F84" i="8"/>
  <c r="E83" i="8"/>
  <c r="I83" i="8" s="1"/>
  <c r="D83" i="8"/>
  <c r="C83" i="8"/>
  <c r="B83" i="8"/>
  <c r="E82" i="8"/>
  <c r="I82" i="8" s="1"/>
  <c r="D82" i="8"/>
  <c r="C82" i="8"/>
  <c r="B82" i="8"/>
  <c r="E81" i="8"/>
  <c r="D81" i="8"/>
  <c r="C81" i="8"/>
  <c r="B81" i="8"/>
  <c r="E80" i="8"/>
  <c r="I80" i="8" s="1"/>
  <c r="D80" i="8"/>
  <c r="C80" i="8"/>
  <c r="B80" i="8"/>
  <c r="E79" i="8"/>
  <c r="I79" i="8" s="1"/>
  <c r="D79" i="8"/>
  <c r="C79" i="8"/>
  <c r="F79" i="8" s="1"/>
  <c r="B79" i="8"/>
  <c r="E78" i="8"/>
  <c r="I78" i="8" s="1"/>
  <c r="D78" i="8"/>
  <c r="C78" i="8"/>
  <c r="F78" i="8" s="1"/>
  <c r="B78" i="8"/>
  <c r="I77" i="8"/>
  <c r="H77" i="8"/>
  <c r="G77" i="8"/>
  <c r="F77" i="8"/>
  <c r="E77" i="8"/>
  <c r="D77" i="8"/>
  <c r="C77" i="8"/>
  <c r="B77" i="8"/>
  <c r="I76" i="8"/>
  <c r="H76" i="8"/>
  <c r="G76" i="8"/>
  <c r="F76" i="8"/>
  <c r="E76" i="8"/>
  <c r="D76" i="8"/>
  <c r="C76" i="8"/>
  <c r="B76" i="8"/>
  <c r="I75" i="8"/>
  <c r="H75" i="8"/>
  <c r="G75" i="8"/>
  <c r="F75" i="8"/>
  <c r="E75" i="8"/>
  <c r="D75" i="8"/>
  <c r="C75" i="8"/>
  <c r="B75" i="8"/>
  <c r="I74" i="8"/>
  <c r="H74" i="8"/>
  <c r="G74" i="8"/>
  <c r="F74" i="8"/>
  <c r="E74" i="8"/>
  <c r="D74" i="8"/>
  <c r="C74" i="8"/>
  <c r="B74" i="8"/>
  <c r="I73" i="8"/>
  <c r="H73" i="8"/>
  <c r="G73" i="8"/>
  <c r="F73" i="8"/>
  <c r="E73" i="8"/>
  <c r="D73" i="8"/>
  <c r="C73" i="8"/>
  <c r="B73" i="8"/>
  <c r="I72" i="8"/>
  <c r="H72" i="8"/>
  <c r="G72" i="8"/>
  <c r="F72" i="8"/>
  <c r="E71" i="8"/>
  <c r="I71" i="8" s="1"/>
  <c r="D71" i="8"/>
  <c r="C71" i="8"/>
  <c r="F71" i="8" s="1"/>
  <c r="B71" i="8"/>
  <c r="E70" i="8"/>
  <c r="I70" i="8" s="1"/>
  <c r="D70" i="8"/>
  <c r="C70" i="8"/>
  <c r="F70" i="8" s="1"/>
  <c r="B70" i="8"/>
  <c r="I69" i="8"/>
  <c r="H69" i="8"/>
  <c r="G69" i="8"/>
  <c r="F69" i="8"/>
  <c r="E69" i="8"/>
  <c r="D69" i="8"/>
  <c r="C69" i="8"/>
  <c r="B69" i="8"/>
  <c r="I68" i="8"/>
  <c r="H68" i="8"/>
  <c r="G68" i="8"/>
  <c r="F68" i="8"/>
  <c r="E68" i="8"/>
  <c r="D68" i="8"/>
  <c r="C68" i="8"/>
  <c r="B68" i="8"/>
  <c r="I67" i="8"/>
  <c r="H67" i="8"/>
  <c r="G67" i="8"/>
  <c r="F67" i="8"/>
  <c r="I66" i="8"/>
  <c r="H66" i="8"/>
  <c r="G66" i="8"/>
  <c r="F66" i="8"/>
  <c r="E66" i="8"/>
  <c r="D66" i="8"/>
  <c r="C66" i="8"/>
  <c r="B66" i="8"/>
  <c r="E65" i="8"/>
  <c r="D65" i="8"/>
  <c r="C65" i="8"/>
  <c r="B65" i="8"/>
  <c r="E64" i="8"/>
  <c r="D64" i="8"/>
  <c r="C64" i="8"/>
  <c r="B64" i="8"/>
  <c r="E62" i="8"/>
  <c r="D62" i="8"/>
  <c r="C62" i="8"/>
  <c r="B62" i="8"/>
  <c r="E61" i="8"/>
  <c r="D61" i="8"/>
  <c r="C61" i="8"/>
  <c r="B61" i="8"/>
  <c r="E60" i="8"/>
  <c r="E63" i="8" s="1"/>
  <c r="D60" i="8"/>
  <c r="D63" i="8" s="1"/>
  <c r="C60" i="8"/>
  <c r="B60" i="8"/>
  <c r="B63" i="8" s="1"/>
  <c r="I58" i="8"/>
  <c r="H58" i="8"/>
  <c r="G58" i="8"/>
  <c r="F58" i="8"/>
  <c r="E57" i="8"/>
  <c r="D57" i="8"/>
  <c r="C57" i="8"/>
  <c r="B57" i="8"/>
  <c r="E56" i="8"/>
  <c r="E59" i="8" s="1"/>
  <c r="D56" i="8"/>
  <c r="D59" i="8" s="1"/>
  <c r="C56" i="8"/>
  <c r="B56" i="8"/>
  <c r="B59" i="8" s="1"/>
  <c r="E55" i="8"/>
  <c r="D55" i="8"/>
  <c r="C55" i="8"/>
  <c r="B55" i="8"/>
  <c r="I54" i="8"/>
  <c r="H54" i="8"/>
  <c r="G54" i="8"/>
  <c r="F54" i="8"/>
  <c r="E54" i="8"/>
  <c r="D54" i="8"/>
  <c r="C54" i="8"/>
  <c r="B54" i="8"/>
  <c r="I53" i="8"/>
  <c r="H53" i="8"/>
  <c r="G53" i="8"/>
  <c r="F53" i="8"/>
  <c r="I52" i="8"/>
  <c r="H52" i="8"/>
  <c r="G52" i="8"/>
  <c r="F52" i="8"/>
  <c r="E46" i="8"/>
  <c r="I46" i="8" s="1"/>
  <c r="D46" i="8"/>
  <c r="C46" i="8"/>
  <c r="B46" i="8"/>
  <c r="I45" i="8"/>
  <c r="H45" i="8"/>
  <c r="G45" i="8"/>
  <c r="F45" i="8"/>
  <c r="I44" i="8"/>
  <c r="H44" i="8"/>
  <c r="G44" i="8"/>
  <c r="F44" i="8"/>
  <c r="I43" i="8"/>
  <c r="H43" i="8"/>
  <c r="G43" i="8"/>
  <c r="F43" i="8"/>
  <c r="E43" i="8"/>
  <c r="D43" i="8"/>
  <c r="C43" i="8"/>
  <c r="B43" i="8"/>
  <c r="E42" i="8"/>
  <c r="I42" i="8" s="1"/>
  <c r="D42" i="8"/>
  <c r="C42" i="8"/>
  <c r="B42" i="8"/>
  <c r="E41" i="8"/>
  <c r="I41" i="8" s="1"/>
  <c r="D41" i="8"/>
  <c r="C41" i="8"/>
  <c r="B41" i="8"/>
  <c r="I40" i="8"/>
  <c r="H40" i="8"/>
  <c r="G40" i="8"/>
  <c r="F40" i="8"/>
  <c r="I39" i="8"/>
  <c r="H39" i="8"/>
  <c r="G39" i="8"/>
  <c r="F39" i="8"/>
  <c r="I38" i="8"/>
  <c r="H38" i="8"/>
  <c r="G38" i="8"/>
  <c r="F38" i="8"/>
  <c r="I37" i="8"/>
  <c r="H37" i="8"/>
  <c r="G37" i="8"/>
  <c r="F37" i="8"/>
  <c r="I36" i="8"/>
  <c r="H36" i="8"/>
  <c r="G36" i="8"/>
  <c r="F36" i="8"/>
  <c r="I35" i="8"/>
  <c r="H35" i="8"/>
  <c r="G35" i="8"/>
  <c r="F35" i="8"/>
  <c r="I34" i="8"/>
  <c r="H34" i="8"/>
  <c r="G34" i="8"/>
  <c r="F34" i="8"/>
  <c r="I33" i="8"/>
  <c r="H33" i="8"/>
  <c r="G33" i="8"/>
  <c r="F33" i="8"/>
  <c r="I32" i="8"/>
  <c r="H32" i="8"/>
  <c r="G32" i="8"/>
  <c r="F32" i="8"/>
  <c r="I31" i="8"/>
  <c r="H31" i="8"/>
  <c r="G31" i="8"/>
  <c r="F31" i="8"/>
  <c r="I30" i="8"/>
  <c r="H30" i="8"/>
  <c r="G30" i="8"/>
  <c r="F30" i="8"/>
  <c r="I29" i="8"/>
  <c r="H29" i="8"/>
  <c r="G29" i="8"/>
  <c r="F29" i="8"/>
  <c r="I28" i="8"/>
  <c r="H28" i="8"/>
  <c r="G28" i="8"/>
  <c r="F28" i="8"/>
  <c r="I27" i="8"/>
  <c r="H27" i="8"/>
  <c r="G27" i="8"/>
  <c r="F27" i="8"/>
  <c r="I26" i="8"/>
  <c r="H26" i="8"/>
  <c r="G26" i="8"/>
  <c r="F26" i="8"/>
  <c r="I25" i="8"/>
  <c r="H25" i="8"/>
  <c r="G25" i="8"/>
  <c r="F25" i="8"/>
  <c r="I24" i="8"/>
  <c r="H24" i="8"/>
  <c r="G24" i="8"/>
  <c r="F24" i="8"/>
  <c r="I23" i="8"/>
  <c r="H23" i="8"/>
  <c r="G23" i="8"/>
  <c r="F23" i="8"/>
  <c r="I22" i="8"/>
  <c r="H22" i="8"/>
  <c r="G22" i="8"/>
  <c r="F22" i="8"/>
  <c r="I21" i="8"/>
  <c r="H21" i="8"/>
  <c r="G21" i="8"/>
  <c r="F21" i="8"/>
  <c r="I20" i="8"/>
  <c r="H20" i="8"/>
  <c r="G20" i="8"/>
  <c r="F20" i="8"/>
  <c r="I19" i="8"/>
  <c r="H19" i="8"/>
  <c r="G19" i="8"/>
  <c r="F19" i="8"/>
  <c r="E18" i="8"/>
  <c r="D18" i="8"/>
  <c r="C18" i="8"/>
  <c r="B18" i="8"/>
  <c r="I17" i="8"/>
  <c r="H17" i="8"/>
  <c r="G17" i="8"/>
  <c r="F17" i="8"/>
  <c r="I16" i="8"/>
  <c r="H16" i="8"/>
  <c r="G16" i="8"/>
  <c r="F16" i="8"/>
  <c r="I15" i="8"/>
  <c r="H15" i="8"/>
  <c r="G15" i="8"/>
  <c r="F15" i="8"/>
  <c r="I14" i="8"/>
  <c r="H14" i="8"/>
  <c r="G14" i="8"/>
  <c r="F14" i="8"/>
  <c r="I13" i="8"/>
  <c r="H13" i="8"/>
  <c r="G13" i="8"/>
  <c r="F13" i="8"/>
  <c r="I12" i="8"/>
  <c r="H12" i="8"/>
  <c r="G12" i="8"/>
  <c r="F12" i="8"/>
  <c r="I11" i="8"/>
  <c r="H11" i="8"/>
  <c r="G11" i="8"/>
  <c r="F11" i="8"/>
  <c r="I10" i="8"/>
  <c r="H10" i="8"/>
  <c r="G10" i="8"/>
  <c r="F10" i="8"/>
  <c r="I9" i="8"/>
  <c r="H9" i="8"/>
  <c r="G9" i="8"/>
  <c r="F9" i="8"/>
  <c r="I8" i="8"/>
  <c r="H8" i="8"/>
  <c r="G8" i="8"/>
  <c r="F8" i="8"/>
  <c r="I7" i="8"/>
  <c r="H7" i="8"/>
  <c r="G7" i="8"/>
  <c r="F7" i="8"/>
  <c r="I6" i="8"/>
  <c r="H6" i="8"/>
  <c r="G6" i="8"/>
  <c r="F6" i="8"/>
  <c r="I5" i="8"/>
  <c r="H5" i="8"/>
  <c r="G5" i="8"/>
  <c r="F5" i="8"/>
  <c r="I4" i="8"/>
  <c r="H4" i="8"/>
  <c r="G4" i="8"/>
  <c r="F4" i="8"/>
  <c r="I497" i="4"/>
  <c r="C497" i="4"/>
  <c r="B497" i="4"/>
  <c r="A497" i="4"/>
  <c r="I496" i="4"/>
  <c r="C496" i="4"/>
  <c r="B496" i="4"/>
  <c r="A496" i="4"/>
  <c r="I495" i="4"/>
  <c r="C495" i="4"/>
  <c r="B495" i="4"/>
  <c r="A495" i="4"/>
  <c r="I494" i="4"/>
  <c r="C494" i="4"/>
  <c r="B494" i="4"/>
  <c r="A494" i="4"/>
  <c r="I493" i="4"/>
  <c r="C493" i="4"/>
  <c r="B493" i="4"/>
  <c r="A493" i="4"/>
  <c r="I492" i="4"/>
  <c r="C492" i="4"/>
  <c r="B492" i="4"/>
  <c r="A492" i="4"/>
  <c r="I491" i="4"/>
  <c r="C491" i="4"/>
  <c r="B491" i="4"/>
  <c r="A491" i="4"/>
  <c r="I490" i="4"/>
  <c r="C490" i="4"/>
  <c r="B490" i="4"/>
  <c r="A490" i="4"/>
  <c r="I489" i="4"/>
  <c r="C489" i="4"/>
  <c r="B489" i="4"/>
  <c r="A489" i="4"/>
  <c r="I488" i="4"/>
  <c r="C488" i="4"/>
  <c r="B488" i="4"/>
  <c r="A488" i="4"/>
  <c r="I487" i="4"/>
  <c r="C487" i="4"/>
  <c r="B487" i="4"/>
  <c r="A487" i="4"/>
  <c r="I486" i="4"/>
  <c r="C486" i="4"/>
  <c r="B486" i="4"/>
  <c r="A486" i="4"/>
  <c r="I485" i="4"/>
  <c r="C485" i="4"/>
  <c r="B485" i="4"/>
  <c r="A485" i="4"/>
  <c r="I484" i="4"/>
  <c r="C484" i="4"/>
  <c r="B484" i="4"/>
  <c r="A484" i="4"/>
  <c r="I483" i="4"/>
  <c r="C483" i="4"/>
  <c r="B483" i="4"/>
  <c r="A483" i="4"/>
  <c r="I482" i="4"/>
  <c r="C482" i="4"/>
  <c r="B482" i="4"/>
  <c r="A482" i="4"/>
  <c r="I481" i="4"/>
  <c r="C481" i="4"/>
  <c r="B481" i="4"/>
  <c r="A481" i="4"/>
  <c r="I480" i="4"/>
  <c r="C480" i="4"/>
  <c r="B480" i="4"/>
  <c r="A480" i="4"/>
  <c r="I479" i="4"/>
  <c r="C479" i="4"/>
  <c r="B479" i="4"/>
  <c r="A479" i="4"/>
  <c r="I478" i="4"/>
  <c r="C478" i="4"/>
  <c r="B478" i="4"/>
  <c r="A478" i="4"/>
  <c r="I477" i="4"/>
  <c r="C477" i="4"/>
  <c r="B477" i="4"/>
  <c r="A477" i="4"/>
  <c r="I476" i="4"/>
  <c r="C476" i="4"/>
  <c r="B476" i="4"/>
  <c r="A476" i="4"/>
  <c r="I475" i="4"/>
  <c r="C475" i="4"/>
  <c r="B475" i="4"/>
  <c r="A475" i="4"/>
  <c r="I474" i="4"/>
  <c r="C474" i="4"/>
  <c r="B474" i="4"/>
  <c r="A474" i="4"/>
  <c r="I473" i="4"/>
  <c r="C473" i="4"/>
  <c r="B473" i="4"/>
  <c r="A473" i="4"/>
  <c r="I472" i="4"/>
  <c r="C472" i="4"/>
  <c r="B472" i="4"/>
  <c r="A472" i="4"/>
  <c r="I471" i="4"/>
  <c r="C471" i="4"/>
  <c r="B471" i="4"/>
  <c r="A471" i="4"/>
  <c r="I470" i="4"/>
  <c r="C470" i="4"/>
  <c r="B470" i="4"/>
  <c r="A470" i="4"/>
  <c r="I469" i="4"/>
  <c r="C469" i="4"/>
  <c r="B469" i="4"/>
  <c r="A469" i="4"/>
  <c r="I468" i="4"/>
  <c r="C468" i="4"/>
  <c r="B468" i="4"/>
  <c r="A468" i="4"/>
  <c r="I467" i="4"/>
  <c r="C467" i="4"/>
  <c r="B467" i="4"/>
  <c r="A467" i="4"/>
  <c r="I466" i="4"/>
  <c r="C466" i="4"/>
  <c r="B466" i="4"/>
  <c r="A466" i="4"/>
  <c r="I465" i="4"/>
  <c r="C465" i="4"/>
  <c r="B465" i="4"/>
  <c r="A465" i="4"/>
  <c r="I464" i="4"/>
  <c r="C464" i="4"/>
  <c r="B464" i="4"/>
  <c r="A464" i="4"/>
  <c r="I463" i="4"/>
  <c r="C463" i="4"/>
  <c r="B463" i="4"/>
  <c r="A463" i="4"/>
  <c r="I462" i="4"/>
  <c r="C462" i="4"/>
  <c r="B462" i="4"/>
  <c r="A462" i="4"/>
  <c r="I461" i="4"/>
  <c r="C461" i="4"/>
  <c r="B461" i="4"/>
  <c r="A461" i="4"/>
  <c r="I460" i="4"/>
  <c r="C460" i="4"/>
  <c r="B460" i="4"/>
  <c r="A460" i="4"/>
  <c r="I459" i="4"/>
  <c r="C459" i="4"/>
  <c r="B459" i="4"/>
  <c r="A459" i="4"/>
  <c r="I458" i="4"/>
  <c r="C458" i="4"/>
  <c r="B458" i="4"/>
  <c r="A458" i="4"/>
  <c r="I457" i="4"/>
  <c r="C457" i="4"/>
  <c r="B457" i="4"/>
  <c r="A457" i="4"/>
  <c r="I456" i="4"/>
  <c r="C456" i="4"/>
  <c r="B456" i="4"/>
  <c r="A456" i="4"/>
  <c r="I455" i="4"/>
  <c r="C455" i="4"/>
  <c r="B455" i="4"/>
  <c r="A455" i="4"/>
  <c r="I454" i="4"/>
  <c r="C454" i="4"/>
  <c r="B454" i="4"/>
  <c r="A454" i="4"/>
  <c r="I453" i="4"/>
  <c r="C453" i="4"/>
  <c r="B453" i="4"/>
  <c r="A453" i="4"/>
  <c r="I452" i="4"/>
  <c r="C452" i="4"/>
  <c r="B452" i="4"/>
  <c r="A452" i="4"/>
  <c r="I451" i="4"/>
  <c r="C451" i="4"/>
  <c r="B451" i="4"/>
  <c r="A451" i="4"/>
  <c r="I450" i="4"/>
  <c r="C450" i="4"/>
  <c r="B450" i="4"/>
  <c r="A450" i="4"/>
  <c r="I449" i="4"/>
  <c r="C449" i="4"/>
  <c r="B449" i="4"/>
  <c r="A449" i="4"/>
  <c r="I448" i="4"/>
  <c r="C448" i="4"/>
  <c r="B448" i="4"/>
  <c r="A448" i="4"/>
  <c r="I447" i="4"/>
  <c r="C447" i="4"/>
  <c r="B447" i="4"/>
  <c r="A447" i="4"/>
  <c r="I446" i="4"/>
  <c r="C446" i="4"/>
  <c r="B446" i="4"/>
  <c r="A446" i="4"/>
  <c r="I445" i="4"/>
  <c r="C445" i="4"/>
  <c r="B445" i="4"/>
  <c r="A445" i="4"/>
  <c r="I444" i="4"/>
  <c r="C444" i="4"/>
  <c r="B444" i="4"/>
  <c r="A444" i="4"/>
  <c r="I443" i="4"/>
  <c r="C443" i="4"/>
  <c r="B443" i="4"/>
  <c r="A443" i="4"/>
  <c r="I442" i="4"/>
  <c r="C442" i="4"/>
  <c r="B442" i="4"/>
  <c r="A442" i="4"/>
  <c r="I441" i="4"/>
  <c r="C441" i="4"/>
  <c r="B441" i="4"/>
  <c r="A441" i="4"/>
  <c r="I440" i="4"/>
  <c r="C440" i="4"/>
  <c r="B440" i="4"/>
  <c r="A440" i="4"/>
  <c r="I439" i="4"/>
  <c r="C439" i="4"/>
  <c r="B439" i="4"/>
  <c r="A439" i="4"/>
  <c r="I438" i="4"/>
  <c r="C438" i="4"/>
  <c r="B438" i="4"/>
  <c r="A438" i="4"/>
  <c r="I437" i="4"/>
  <c r="C437" i="4"/>
  <c r="B437" i="4"/>
  <c r="A437" i="4"/>
  <c r="I436" i="4"/>
  <c r="C436" i="4"/>
  <c r="B436" i="4"/>
  <c r="A436" i="4"/>
  <c r="I435" i="4"/>
  <c r="C435" i="4"/>
  <c r="B435" i="4"/>
  <c r="A435" i="4"/>
  <c r="I434" i="4"/>
  <c r="C434" i="4"/>
  <c r="B434" i="4"/>
  <c r="A434" i="4"/>
  <c r="I433" i="4"/>
  <c r="C433" i="4"/>
  <c r="B433" i="4"/>
  <c r="A433" i="4"/>
  <c r="I432" i="4"/>
  <c r="C432" i="4"/>
  <c r="B432" i="4"/>
  <c r="A432" i="4"/>
  <c r="I431" i="4"/>
  <c r="C431" i="4"/>
  <c r="B431" i="4"/>
  <c r="A431" i="4"/>
  <c r="I430" i="4"/>
  <c r="C430" i="4"/>
  <c r="B430" i="4"/>
  <c r="A430" i="4"/>
  <c r="I429" i="4"/>
  <c r="C429" i="4"/>
  <c r="B429" i="4"/>
  <c r="A429" i="4"/>
  <c r="I428" i="4"/>
  <c r="C428" i="4"/>
  <c r="B428" i="4"/>
  <c r="A428" i="4"/>
  <c r="I427" i="4"/>
  <c r="C427" i="4"/>
  <c r="B427" i="4"/>
  <c r="A427" i="4"/>
  <c r="I426" i="4"/>
  <c r="C426" i="4"/>
  <c r="B426" i="4"/>
  <c r="A426" i="4"/>
  <c r="I425" i="4"/>
  <c r="C425" i="4"/>
  <c r="B425" i="4"/>
  <c r="A425" i="4"/>
  <c r="I424" i="4"/>
  <c r="C424" i="4"/>
  <c r="B424" i="4"/>
  <c r="A424" i="4"/>
  <c r="I423" i="4"/>
  <c r="C423" i="4"/>
  <c r="B423" i="4"/>
  <c r="A423" i="4"/>
  <c r="I422" i="4"/>
  <c r="C422" i="4"/>
  <c r="B422" i="4"/>
  <c r="A422" i="4"/>
  <c r="I421" i="4"/>
  <c r="C421" i="4"/>
  <c r="B421" i="4"/>
  <c r="A421" i="4"/>
  <c r="I420" i="4"/>
  <c r="C420" i="4"/>
  <c r="B420" i="4"/>
  <c r="A420" i="4"/>
  <c r="I419" i="4"/>
  <c r="C419" i="4"/>
  <c r="B419" i="4"/>
  <c r="A419" i="4"/>
  <c r="I418" i="4"/>
  <c r="C418" i="4"/>
  <c r="B418" i="4"/>
  <c r="A418" i="4"/>
  <c r="I417" i="4"/>
  <c r="C417" i="4"/>
  <c r="B417" i="4"/>
  <c r="A417" i="4"/>
  <c r="I416" i="4"/>
  <c r="C416" i="4"/>
  <c r="B416" i="4"/>
  <c r="A416" i="4"/>
  <c r="I415" i="4"/>
  <c r="C415" i="4"/>
  <c r="B415" i="4"/>
  <c r="A415" i="4"/>
  <c r="I414" i="4"/>
  <c r="C414" i="4"/>
  <c r="B414" i="4"/>
  <c r="A414" i="4"/>
  <c r="I413" i="4"/>
  <c r="C413" i="4"/>
  <c r="B413" i="4"/>
  <c r="A413" i="4"/>
  <c r="I412" i="4"/>
  <c r="C412" i="4"/>
  <c r="B412" i="4"/>
  <c r="A412" i="4"/>
  <c r="I411" i="4"/>
  <c r="C411" i="4"/>
  <c r="B411" i="4"/>
  <c r="A411" i="4"/>
  <c r="I410" i="4"/>
  <c r="C410" i="4"/>
  <c r="B410" i="4"/>
  <c r="A410" i="4"/>
  <c r="I409" i="4"/>
  <c r="C409" i="4"/>
  <c r="B409" i="4"/>
  <c r="A409" i="4"/>
  <c r="I408" i="4"/>
  <c r="C408" i="4"/>
  <c r="B408" i="4"/>
  <c r="A408" i="4"/>
  <c r="I407" i="4"/>
  <c r="C407" i="4"/>
  <c r="B407" i="4"/>
  <c r="A407" i="4"/>
  <c r="I406" i="4"/>
  <c r="C406" i="4"/>
  <c r="B406" i="4"/>
  <c r="A406" i="4"/>
  <c r="I405" i="4"/>
  <c r="C405" i="4"/>
  <c r="B405" i="4"/>
  <c r="A405" i="4"/>
  <c r="I404" i="4"/>
  <c r="C404" i="4"/>
  <c r="B404" i="4"/>
  <c r="A404" i="4"/>
  <c r="I403" i="4"/>
  <c r="C403" i="4"/>
  <c r="B403" i="4"/>
  <c r="A403" i="4"/>
  <c r="I402" i="4"/>
  <c r="C402" i="4"/>
  <c r="B402" i="4"/>
  <c r="A402" i="4"/>
  <c r="I401" i="4"/>
  <c r="C401" i="4"/>
  <c r="B401" i="4"/>
  <c r="A401" i="4"/>
  <c r="I400" i="4"/>
  <c r="C400" i="4"/>
  <c r="B400" i="4"/>
  <c r="A400" i="4"/>
  <c r="I399" i="4"/>
  <c r="C399" i="4"/>
  <c r="B399" i="4"/>
  <c r="A399" i="4"/>
  <c r="I398" i="4"/>
  <c r="C398" i="4"/>
  <c r="B398" i="4"/>
  <c r="A398" i="4"/>
  <c r="I397" i="4"/>
  <c r="C397" i="4"/>
  <c r="B397" i="4"/>
  <c r="A397" i="4"/>
  <c r="I396" i="4"/>
  <c r="C396" i="4"/>
  <c r="B396" i="4"/>
  <c r="A396" i="4"/>
  <c r="I395" i="4"/>
  <c r="C395" i="4"/>
  <c r="B395" i="4"/>
  <c r="A395" i="4"/>
  <c r="I394" i="4"/>
  <c r="C394" i="4"/>
  <c r="B394" i="4"/>
  <c r="A394" i="4"/>
  <c r="I393" i="4"/>
  <c r="C393" i="4"/>
  <c r="B393" i="4"/>
  <c r="A393" i="4"/>
  <c r="I392" i="4"/>
  <c r="C392" i="4"/>
  <c r="B392" i="4"/>
  <c r="A392" i="4"/>
  <c r="I391" i="4"/>
  <c r="C391" i="4"/>
  <c r="B391" i="4"/>
  <c r="A391" i="4"/>
  <c r="I390" i="4"/>
  <c r="C390" i="4"/>
  <c r="B390" i="4"/>
  <c r="A390" i="4"/>
  <c r="I389" i="4"/>
  <c r="C389" i="4"/>
  <c r="B389" i="4"/>
  <c r="A389" i="4"/>
  <c r="I388" i="4"/>
  <c r="C388" i="4"/>
  <c r="B388" i="4"/>
  <c r="A388" i="4"/>
  <c r="I387" i="4"/>
  <c r="C387" i="4"/>
  <c r="B387" i="4"/>
  <c r="A387" i="4"/>
  <c r="I386" i="4"/>
  <c r="C386" i="4"/>
  <c r="B386" i="4"/>
  <c r="A386" i="4"/>
  <c r="I385" i="4"/>
  <c r="C385" i="4"/>
  <c r="B385" i="4"/>
  <c r="A385" i="4"/>
  <c r="I384" i="4"/>
  <c r="C384" i="4"/>
  <c r="B384" i="4"/>
  <c r="A384" i="4"/>
  <c r="I383" i="4"/>
  <c r="C383" i="4"/>
  <c r="B383" i="4"/>
  <c r="A383" i="4"/>
  <c r="I382" i="4"/>
  <c r="C382" i="4"/>
  <c r="B382" i="4"/>
  <c r="A382" i="4"/>
  <c r="I381" i="4"/>
  <c r="C381" i="4"/>
  <c r="B381" i="4"/>
  <c r="A381" i="4"/>
  <c r="I380" i="4"/>
  <c r="C380" i="4"/>
  <c r="B380" i="4"/>
  <c r="A380" i="4"/>
  <c r="I379" i="4"/>
  <c r="C379" i="4"/>
  <c r="B379" i="4"/>
  <c r="A379" i="4"/>
  <c r="I378" i="4"/>
  <c r="C378" i="4"/>
  <c r="B378" i="4"/>
  <c r="A378" i="4"/>
  <c r="I377" i="4"/>
  <c r="C377" i="4"/>
  <c r="B377" i="4"/>
  <c r="A377" i="4"/>
  <c r="I376" i="4"/>
  <c r="C376" i="4"/>
  <c r="B376" i="4"/>
  <c r="A376" i="4"/>
  <c r="I375" i="4"/>
  <c r="C375" i="4"/>
  <c r="B375" i="4"/>
  <c r="A375" i="4"/>
  <c r="I374" i="4"/>
  <c r="C374" i="4"/>
  <c r="B374" i="4"/>
  <c r="A374" i="4"/>
  <c r="I373" i="4"/>
  <c r="C373" i="4"/>
  <c r="B373" i="4"/>
  <c r="A373" i="4"/>
  <c r="I372" i="4"/>
  <c r="C372" i="4"/>
  <c r="B372" i="4"/>
  <c r="A372" i="4"/>
  <c r="I371" i="4"/>
  <c r="C371" i="4"/>
  <c r="B371" i="4"/>
  <c r="A371" i="4"/>
  <c r="I370" i="4"/>
  <c r="C370" i="4"/>
  <c r="B370" i="4"/>
  <c r="A370" i="4"/>
  <c r="I369" i="4"/>
  <c r="C369" i="4"/>
  <c r="B369" i="4"/>
  <c r="A369" i="4"/>
  <c r="I368" i="4"/>
  <c r="C368" i="4"/>
  <c r="B368" i="4"/>
  <c r="A368" i="4"/>
  <c r="I367" i="4"/>
  <c r="C367" i="4"/>
  <c r="B367" i="4"/>
  <c r="A367" i="4"/>
  <c r="I366" i="4"/>
  <c r="C366" i="4"/>
  <c r="B366" i="4"/>
  <c r="A366" i="4"/>
  <c r="I365" i="4"/>
  <c r="C365" i="4"/>
  <c r="B365" i="4"/>
  <c r="A365" i="4"/>
  <c r="I364" i="4"/>
  <c r="C364" i="4"/>
  <c r="B364" i="4"/>
  <c r="A364" i="4"/>
  <c r="I363" i="4"/>
  <c r="C363" i="4"/>
  <c r="B363" i="4"/>
  <c r="A363" i="4"/>
  <c r="I362" i="4"/>
  <c r="C362" i="4"/>
  <c r="B362" i="4"/>
  <c r="A362" i="4"/>
  <c r="I361" i="4"/>
  <c r="C361" i="4"/>
  <c r="B361" i="4"/>
  <c r="A361" i="4"/>
  <c r="I360" i="4"/>
  <c r="C360" i="4"/>
  <c r="B360" i="4"/>
  <c r="A360" i="4"/>
  <c r="I359" i="4"/>
  <c r="C359" i="4"/>
  <c r="B359" i="4"/>
  <c r="A359" i="4"/>
  <c r="I358" i="4"/>
  <c r="C358" i="4"/>
  <c r="B358" i="4"/>
  <c r="A358" i="4"/>
  <c r="I357" i="4"/>
  <c r="C357" i="4"/>
  <c r="B357" i="4"/>
  <c r="A357" i="4"/>
  <c r="I356" i="4"/>
  <c r="C356" i="4"/>
  <c r="B356" i="4"/>
  <c r="A356" i="4"/>
  <c r="I355" i="4"/>
  <c r="C355" i="4"/>
  <c r="B355" i="4"/>
  <c r="A355" i="4"/>
  <c r="I354" i="4"/>
  <c r="C354" i="4"/>
  <c r="B354" i="4"/>
  <c r="A354" i="4"/>
  <c r="I353" i="4"/>
  <c r="C353" i="4"/>
  <c r="B353" i="4"/>
  <c r="A353" i="4"/>
  <c r="I352" i="4"/>
  <c r="C352" i="4"/>
  <c r="B352" i="4"/>
  <c r="A352" i="4"/>
  <c r="I351" i="4"/>
  <c r="C351" i="4"/>
  <c r="B351" i="4"/>
  <c r="A351" i="4"/>
  <c r="I350" i="4"/>
  <c r="C350" i="4"/>
  <c r="B350" i="4"/>
  <c r="A350" i="4"/>
  <c r="I349" i="4"/>
  <c r="C349" i="4"/>
  <c r="B349" i="4"/>
  <c r="A349" i="4"/>
  <c r="I348" i="4"/>
  <c r="C348" i="4"/>
  <c r="B348" i="4"/>
  <c r="A348" i="4"/>
  <c r="I347" i="4"/>
  <c r="C347" i="4"/>
  <c r="B347" i="4"/>
  <c r="A347" i="4"/>
  <c r="I346" i="4"/>
  <c r="C346" i="4"/>
  <c r="B346" i="4"/>
  <c r="A346" i="4"/>
  <c r="I345" i="4"/>
  <c r="C345" i="4"/>
  <c r="B345" i="4"/>
  <c r="A345" i="4"/>
  <c r="I344" i="4"/>
  <c r="C344" i="4"/>
  <c r="B344" i="4"/>
  <c r="A344" i="4"/>
  <c r="I343" i="4"/>
  <c r="C343" i="4"/>
  <c r="B343" i="4"/>
  <c r="A343" i="4"/>
  <c r="I342" i="4"/>
  <c r="C342" i="4"/>
  <c r="B342" i="4"/>
  <c r="A342" i="4"/>
  <c r="I341" i="4"/>
  <c r="C341" i="4"/>
  <c r="B341" i="4"/>
  <c r="A341" i="4"/>
  <c r="I340" i="4"/>
  <c r="C340" i="4"/>
  <c r="B340" i="4"/>
  <c r="A340" i="4"/>
  <c r="I339" i="4"/>
  <c r="C339" i="4"/>
  <c r="B339" i="4"/>
  <c r="A339" i="4"/>
  <c r="I338" i="4"/>
  <c r="C338" i="4"/>
  <c r="B338" i="4"/>
  <c r="A338" i="4"/>
  <c r="I337" i="4"/>
  <c r="C337" i="4"/>
  <c r="B337" i="4"/>
  <c r="A337" i="4"/>
  <c r="I336" i="4"/>
  <c r="C336" i="4"/>
  <c r="B336" i="4"/>
  <c r="A336" i="4"/>
  <c r="I335" i="4"/>
  <c r="C335" i="4"/>
  <c r="B335" i="4"/>
  <c r="A335" i="4"/>
  <c r="I334" i="4"/>
  <c r="C334" i="4"/>
  <c r="B334" i="4"/>
  <c r="A334" i="4"/>
  <c r="I333" i="4"/>
  <c r="C333" i="4"/>
  <c r="B333" i="4"/>
  <c r="A333" i="4"/>
  <c r="I332" i="4"/>
  <c r="C332" i="4"/>
  <c r="B332" i="4"/>
  <c r="A332" i="4"/>
  <c r="I331" i="4"/>
  <c r="C331" i="4"/>
  <c r="B331" i="4"/>
  <c r="A331" i="4"/>
  <c r="I330" i="4"/>
  <c r="C330" i="4"/>
  <c r="B330" i="4"/>
  <c r="A330" i="4"/>
  <c r="I329" i="4"/>
  <c r="C329" i="4"/>
  <c r="B329" i="4"/>
  <c r="A329" i="4"/>
  <c r="I328" i="4"/>
  <c r="C328" i="4"/>
  <c r="B328" i="4"/>
  <c r="A328" i="4"/>
  <c r="I327" i="4"/>
  <c r="C327" i="4"/>
  <c r="B327" i="4"/>
  <c r="A327" i="4"/>
  <c r="I326" i="4"/>
  <c r="C326" i="4"/>
  <c r="B326" i="4"/>
  <c r="A326" i="4"/>
  <c r="I325" i="4"/>
  <c r="C325" i="4"/>
  <c r="B325" i="4"/>
  <c r="A325" i="4"/>
  <c r="I324" i="4"/>
  <c r="C324" i="4"/>
  <c r="B324" i="4"/>
  <c r="A324" i="4"/>
  <c r="I323" i="4"/>
  <c r="C323" i="4"/>
  <c r="B323" i="4"/>
  <c r="A323" i="4"/>
  <c r="I322" i="4"/>
  <c r="C322" i="4"/>
  <c r="B322" i="4"/>
  <c r="A322" i="4"/>
  <c r="I321" i="4"/>
  <c r="C321" i="4"/>
  <c r="B321" i="4"/>
  <c r="A321" i="4"/>
  <c r="I320" i="4"/>
  <c r="C320" i="4"/>
  <c r="B320" i="4"/>
  <c r="A320" i="4"/>
  <c r="I319" i="4"/>
  <c r="C319" i="4"/>
  <c r="B319" i="4"/>
  <c r="A319" i="4"/>
  <c r="I318" i="4"/>
  <c r="C318" i="4"/>
  <c r="B318" i="4"/>
  <c r="A318" i="4"/>
  <c r="I317" i="4"/>
  <c r="C317" i="4"/>
  <c r="B317" i="4"/>
  <c r="A317" i="4"/>
  <c r="I316" i="4"/>
  <c r="C316" i="4"/>
  <c r="B316" i="4"/>
  <c r="A316" i="4"/>
  <c r="I315" i="4"/>
  <c r="C315" i="4"/>
  <c r="B315" i="4"/>
  <c r="A315" i="4"/>
  <c r="I314" i="4"/>
  <c r="C314" i="4"/>
  <c r="B314" i="4"/>
  <c r="A314" i="4"/>
  <c r="I313" i="4"/>
  <c r="C313" i="4"/>
  <c r="B313" i="4"/>
  <c r="A313" i="4"/>
  <c r="I312" i="4"/>
  <c r="C312" i="4"/>
  <c r="B312" i="4"/>
  <c r="A312" i="4"/>
  <c r="I311" i="4"/>
  <c r="C311" i="4"/>
  <c r="B311" i="4"/>
  <c r="A311" i="4"/>
  <c r="I310" i="4"/>
  <c r="C310" i="4"/>
  <c r="B310" i="4"/>
  <c r="A310" i="4"/>
  <c r="I309" i="4"/>
  <c r="C309" i="4"/>
  <c r="B309" i="4"/>
  <c r="A309" i="4"/>
  <c r="I308" i="4"/>
  <c r="C308" i="4"/>
  <c r="B308" i="4"/>
  <c r="A308" i="4"/>
  <c r="I307" i="4"/>
  <c r="C307" i="4"/>
  <c r="B307" i="4"/>
  <c r="A307" i="4"/>
  <c r="I306" i="4"/>
  <c r="C306" i="4"/>
  <c r="B306" i="4"/>
  <c r="A306" i="4"/>
  <c r="I305" i="4"/>
  <c r="C305" i="4"/>
  <c r="B305" i="4"/>
  <c r="A305" i="4"/>
  <c r="I304" i="4"/>
  <c r="C304" i="4"/>
  <c r="B304" i="4"/>
  <c r="A304" i="4"/>
  <c r="I303" i="4"/>
  <c r="C303" i="4"/>
  <c r="B303" i="4"/>
  <c r="A303" i="4"/>
  <c r="I302" i="4"/>
  <c r="C302" i="4"/>
  <c r="B302" i="4"/>
  <c r="A302" i="4"/>
  <c r="I301" i="4"/>
  <c r="C301" i="4"/>
  <c r="B301" i="4"/>
  <c r="A301" i="4"/>
  <c r="I300" i="4"/>
  <c r="C300" i="4"/>
  <c r="B300" i="4"/>
  <c r="A300" i="4"/>
  <c r="I299" i="4"/>
  <c r="C299" i="4"/>
  <c r="B299" i="4"/>
  <c r="A299" i="4"/>
  <c r="I298" i="4"/>
  <c r="C298" i="4"/>
  <c r="B298" i="4"/>
  <c r="A298" i="4"/>
  <c r="I297" i="4"/>
  <c r="C297" i="4"/>
  <c r="B297" i="4"/>
  <c r="A297" i="4"/>
  <c r="I296" i="4"/>
  <c r="C296" i="4"/>
  <c r="B296" i="4"/>
  <c r="A296" i="4"/>
  <c r="I295" i="4"/>
  <c r="C295" i="4"/>
  <c r="B295" i="4"/>
  <c r="A295" i="4"/>
  <c r="I294" i="4"/>
  <c r="C294" i="4"/>
  <c r="B294" i="4"/>
  <c r="A294" i="4"/>
  <c r="I293" i="4"/>
  <c r="C293" i="4"/>
  <c r="B293" i="4"/>
  <c r="A293" i="4"/>
  <c r="I292" i="4"/>
  <c r="C292" i="4"/>
  <c r="B292" i="4"/>
  <c r="A292" i="4"/>
  <c r="I291" i="4"/>
  <c r="C291" i="4"/>
  <c r="B291" i="4"/>
  <c r="A291" i="4"/>
  <c r="I290" i="4"/>
  <c r="C290" i="4"/>
  <c r="B290" i="4"/>
  <c r="A290" i="4"/>
  <c r="I289" i="4"/>
  <c r="C289" i="4"/>
  <c r="B289" i="4"/>
  <c r="A289" i="4"/>
  <c r="I288" i="4"/>
  <c r="C288" i="4"/>
  <c r="B288" i="4"/>
  <c r="A288" i="4"/>
  <c r="I287" i="4"/>
  <c r="C287" i="4"/>
  <c r="B287" i="4"/>
  <c r="A287" i="4"/>
  <c r="I286" i="4"/>
  <c r="C286" i="4"/>
  <c r="B286" i="4"/>
  <c r="A286" i="4"/>
  <c r="I285" i="4"/>
  <c r="C285" i="4"/>
  <c r="B285" i="4"/>
  <c r="A285" i="4"/>
  <c r="I284" i="4"/>
  <c r="C284" i="4"/>
  <c r="B284" i="4"/>
  <c r="A284" i="4"/>
  <c r="I283" i="4"/>
  <c r="C283" i="4"/>
  <c r="B283" i="4"/>
  <c r="A283" i="4"/>
  <c r="I282" i="4"/>
  <c r="C282" i="4"/>
  <c r="B282" i="4"/>
  <c r="A282" i="4"/>
  <c r="I281" i="4"/>
  <c r="C281" i="4"/>
  <c r="B281" i="4"/>
  <c r="A281" i="4"/>
  <c r="I280" i="4"/>
  <c r="C280" i="4"/>
  <c r="B280" i="4"/>
  <c r="A280" i="4"/>
  <c r="I279" i="4"/>
  <c r="C279" i="4"/>
  <c r="B279" i="4"/>
  <c r="A279" i="4"/>
  <c r="I278" i="4"/>
  <c r="C278" i="4"/>
  <c r="B278" i="4"/>
  <c r="A278" i="4"/>
  <c r="I277" i="4"/>
  <c r="C277" i="4"/>
  <c r="B277" i="4"/>
  <c r="A277" i="4"/>
  <c r="I276" i="4"/>
  <c r="C276" i="4"/>
  <c r="B276" i="4"/>
  <c r="A276" i="4"/>
  <c r="I275" i="4"/>
  <c r="C275" i="4"/>
  <c r="B275" i="4"/>
  <c r="A275" i="4"/>
  <c r="I274" i="4"/>
  <c r="C274" i="4"/>
  <c r="B274" i="4"/>
  <c r="A274" i="4"/>
  <c r="I273" i="4"/>
  <c r="C273" i="4"/>
  <c r="B273" i="4"/>
  <c r="A273" i="4"/>
  <c r="I272" i="4"/>
  <c r="C272" i="4"/>
  <c r="B272" i="4"/>
  <c r="A272" i="4"/>
  <c r="I271" i="4"/>
  <c r="C271" i="4"/>
  <c r="B271" i="4"/>
  <c r="A271" i="4"/>
  <c r="I270" i="4"/>
  <c r="C270" i="4"/>
  <c r="B270" i="4"/>
  <c r="A270" i="4"/>
  <c r="I269" i="4"/>
  <c r="C269" i="4"/>
  <c r="B269" i="4"/>
  <c r="A269" i="4"/>
  <c r="I268" i="4"/>
  <c r="C268" i="4"/>
  <c r="B268" i="4"/>
  <c r="A268" i="4"/>
  <c r="I267" i="4"/>
  <c r="C267" i="4"/>
  <c r="B267" i="4"/>
  <c r="A267" i="4"/>
  <c r="I266" i="4"/>
  <c r="C266" i="4"/>
  <c r="B266" i="4"/>
  <c r="A266" i="4"/>
  <c r="I265" i="4"/>
  <c r="C265" i="4"/>
  <c r="B265" i="4"/>
  <c r="A265" i="4"/>
  <c r="I264" i="4"/>
  <c r="C264" i="4"/>
  <c r="B264" i="4"/>
  <c r="A264" i="4"/>
  <c r="I263" i="4"/>
  <c r="C263" i="4"/>
  <c r="B263" i="4"/>
  <c r="A263" i="4"/>
  <c r="I262" i="4"/>
  <c r="C262" i="4"/>
  <c r="B262" i="4"/>
  <c r="A262" i="4"/>
  <c r="I261" i="4"/>
  <c r="C261" i="4"/>
  <c r="B261" i="4"/>
  <c r="A261" i="4"/>
  <c r="I260" i="4"/>
  <c r="C260" i="4"/>
  <c r="B260" i="4"/>
  <c r="A260" i="4"/>
  <c r="I259" i="4"/>
  <c r="C259" i="4"/>
  <c r="B259" i="4"/>
  <c r="A259" i="4"/>
  <c r="I258" i="4"/>
  <c r="C258" i="4"/>
  <c r="B258" i="4"/>
  <c r="A258" i="4"/>
  <c r="I257" i="4"/>
  <c r="C257" i="4"/>
  <c r="B257" i="4"/>
  <c r="A257" i="4"/>
  <c r="I256" i="4"/>
  <c r="C256" i="4"/>
  <c r="B256" i="4"/>
  <c r="A256" i="4"/>
  <c r="I255" i="4"/>
  <c r="C255" i="4"/>
  <c r="B255" i="4"/>
  <c r="A255" i="4"/>
  <c r="I254" i="4"/>
  <c r="C254" i="4"/>
  <c r="B254" i="4"/>
  <c r="A254" i="4"/>
  <c r="I253" i="4"/>
  <c r="C253" i="4"/>
  <c r="B253" i="4"/>
  <c r="A253" i="4"/>
  <c r="I252" i="4"/>
  <c r="C252" i="4"/>
  <c r="B252" i="4"/>
  <c r="A252" i="4"/>
  <c r="I251" i="4"/>
  <c r="C251" i="4"/>
  <c r="B251" i="4"/>
  <c r="A251" i="4"/>
  <c r="I250" i="4"/>
  <c r="C250" i="4"/>
  <c r="B250" i="4"/>
  <c r="A250" i="4"/>
  <c r="I249" i="4"/>
  <c r="C249" i="4"/>
  <c r="B249" i="4"/>
  <c r="A249" i="4"/>
  <c r="I248" i="4"/>
  <c r="C248" i="4"/>
  <c r="B248" i="4"/>
  <c r="A248" i="4"/>
  <c r="I247" i="4"/>
  <c r="C247" i="4"/>
  <c r="B247" i="4"/>
  <c r="A247" i="4"/>
  <c r="I246" i="4"/>
  <c r="C246" i="4"/>
  <c r="B246" i="4"/>
  <c r="A246" i="4"/>
  <c r="I245" i="4"/>
  <c r="C245" i="4"/>
  <c r="B245" i="4"/>
  <c r="A245" i="4"/>
  <c r="I244" i="4"/>
  <c r="C244" i="4"/>
  <c r="B244" i="4"/>
  <c r="A244" i="4"/>
  <c r="I243" i="4"/>
  <c r="C243" i="4"/>
  <c r="B243" i="4"/>
  <c r="A243" i="4"/>
  <c r="I242" i="4"/>
  <c r="C242" i="4"/>
  <c r="B242" i="4"/>
  <c r="A242" i="4"/>
  <c r="I241" i="4"/>
  <c r="C241" i="4"/>
  <c r="B241" i="4"/>
  <c r="A241" i="4"/>
  <c r="I240" i="4"/>
  <c r="C240" i="4"/>
  <c r="B240" i="4"/>
  <c r="A240" i="4"/>
  <c r="I239" i="4"/>
  <c r="C239" i="4"/>
  <c r="B239" i="4"/>
  <c r="A239" i="4"/>
  <c r="I238" i="4"/>
  <c r="C238" i="4"/>
  <c r="B238" i="4"/>
  <c r="A238" i="4"/>
  <c r="I237" i="4"/>
  <c r="C237" i="4"/>
  <c r="B237" i="4"/>
  <c r="A237" i="4"/>
  <c r="I236" i="4"/>
  <c r="C236" i="4"/>
  <c r="B236" i="4"/>
  <c r="A236" i="4"/>
  <c r="I235" i="4"/>
  <c r="C235" i="4"/>
  <c r="B235" i="4"/>
  <c r="A235" i="4"/>
  <c r="I234" i="4"/>
  <c r="C234" i="4"/>
  <c r="B234" i="4"/>
  <c r="A234" i="4"/>
  <c r="I233" i="4"/>
  <c r="C233" i="4"/>
  <c r="B233" i="4"/>
  <c r="A233" i="4"/>
  <c r="I232" i="4"/>
  <c r="C232" i="4"/>
  <c r="B232" i="4"/>
  <c r="A232" i="4"/>
  <c r="I231" i="4"/>
  <c r="C231" i="4"/>
  <c r="B231" i="4"/>
  <c r="A231" i="4"/>
  <c r="I230" i="4"/>
  <c r="C230" i="4"/>
  <c r="B230" i="4"/>
  <c r="A230" i="4"/>
  <c r="I229" i="4"/>
  <c r="C229" i="4"/>
  <c r="B229" i="4"/>
  <c r="A229" i="4"/>
  <c r="I228" i="4"/>
  <c r="C228" i="4"/>
  <c r="B228" i="4"/>
  <c r="A228" i="4"/>
  <c r="I227" i="4"/>
  <c r="C227" i="4"/>
  <c r="B227" i="4"/>
  <c r="A227" i="4"/>
  <c r="I226" i="4"/>
  <c r="C226" i="4"/>
  <c r="B226" i="4"/>
  <c r="A226" i="4"/>
  <c r="I225" i="4"/>
  <c r="C225" i="4"/>
  <c r="B225" i="4"/>
  <c r="A225" i="4"/>
  <c r="I224" i="4"/>
  <c r="C224" i="4"/>
  <c r="B224" i="4"/>
  <c r="A224" i="4"/>
  <c r="I223" i="4"/>
  <c r="C223" i="4"/>
  <c r="B223" i="4"/>
  <c r="A223" i="4"/>
  <c r="I222" i="4"/>
  <c r="C222" i="4"/>
  <c r="B222" i="4"/>
  <c r="A222" i="4"/>
  <c r="I221" i="4"/>
  <c r="C221" i="4"/>
  <c r="B221" i="4"/>
  <c r="A221" i="4"/>
  <c r="I220" i="4"/>
  <c r="C220" i="4"/>
  <c r="B220" i="4"/>
  <c r="A220" i="4"/>
  <c r="I219" i="4"/>
  <c r="C219" i="4"/>
  <c r="B219" i="4"/>
  <c r="A219" i="4"/>
  <c r="I218" i="4"/>
  <c r="C218" i="4"/>
  <c r="B218" i="4"/>
  <c r="A218" i="4"/>
  <c r="I217" i="4"/>
  <c r="C217" i="4"/>
  <c r="B217" i="4"/>
  <c r="A217" i="4"/>
  <c r="I216" i="4"/>
  <c r="C216" i="4"/>
  <c r="B216" i="4"/>
  <c r="A216" i="4"/>
  <c r="I215" i="4"/>
  <c r="C215" i="4"/>
  <c r="B215" i="4"/>
  <c r="A215" i="4"/>
  <c r="I214" i="4"/>
  <c r="C214" i="4"/>
  <c r="B214" i="4"/>
  <c r="A214" i="4"/>
  <c r="I213" i="4"/>
  <c r="C213" i="4"/>
  <c r="B213" i="4"/>
  <c r="A213" i="4"/>
  <c r="I212" i="4"/>
  <c r="C212" i="4"/>
  <c r="B212" i="4"/>
  <c r="A212" i="4"/>
  <c r="I211" i="4"/>
  <c r="C211" i="4"/>
  <c r="B211" i="4"/>
  <c r="A211" i="4"/>
  <c r="I210" i="4"/>
  <c r="C210" i="4"/>
  <c r="B210" i="4"/>
  <c r="A210" i="4"/>
  <c r="I209" i="4"/>
  <c r="C209" i="4"/>
  <c r="B209" i="4"/>
  <c r="A209" i="4"/>
  <c r="I208" i="4"/>
  <c r="C208" i="4"/>
  <c r="B208" i="4"/>
  <c r="A208" i="4"/>
  <c r="I207" i="4"/>
  <c r="C207" i="4"/>
  <c r="B207" i="4"/>
  <c r="A207" i="4"/>
  <c r="I206" i="4"/>
  <c r="C206" i="4"/>
  <c r="B206" i="4"/>
  <c r="A206" i="4"/>
  <c r="I205" i="4"/>
  <c r="C205" i="4"/>
  <c r="B205" i="4"/>
  <c r="A205" i="4"/>
  <c r="I204" i="4"/>
  <c r="C204" i="4"/>
  <c r="B204" i="4"/>
  <c r="A204" i="4"/>
  <c r="I203" i="4"/>
  <c r="C203" i="4"/>
  <c r="B203" i="4"/>
  <c r="A203" i="4"/>
  <c r="I202" i="4"/>
  <c r="C202" i="4"/>
  <c r="B202" i="4"/>
  <c r="A202" i="4"/>
  <c r="I201" i="4"/>
  <c r="C201" i="4"/>
  <c r="B201" i="4"/>
  <c r="A201" i="4"/>
  <c r="I200" i="4"/>
  <c r="C200" i="4"/>
  <c r="B200" i="4"/>
  <c r="A200" i="4"/>
  <c r="I199" i="4"/>
  <c r="C199" i="4"/>
  <c r="B199" i="4"/>
  <c r="A199" i="4"/>
  <c r="I198" i="4"/>
  <c r="C198" i="4"/>
  <c r="B198" i="4"/>
  <c r="A198" i="4"/>
  <c r="I197" i="4"/>
  <c r="C197" i="4"/>
  <c r="B197" i="4"/>
  <c r="A197" i="4"/>
  <c r="I196" i="4"/>
  <c r="C196" i="4"/>
  <c r="B196" i="4"/>
  <c r="A196" i="4"/>
  <c r="I195" i="4"/>
  <c r="C195" i="4"/>
  <c r="B195" i="4"/>
  <c r="A195" i="4"/>
  <c r="I194" i="4"/>
  <c r="C194" i="4"/>
  <c r="B194" i="4"/>
  <c r="A194" i="4"/>
  <c r="I193" i="4"/>
  <c r="C193" i="4"/>
  <c r="B193" i="4"/>
  <c r="A193" i="4"/>
  <c r="I192" i="4"/>
  <c r="C192" i="4"/>
  <c r="B192" i="4"/>
  <c r="A192" i="4"/>
  <c r="I191" i="4"/>
  <c r="C191" i="4"/>
  <c r="B191" i="4"/>
  <c r="A191" i="4"/>
  <c r="I190" i="4"/>
  <c r="C190" i="4"/>
  <c r="B190" i="4"/>
  <c r="A190" i="4"/>
  <c r="I189" i="4"/>
  <c r="C189" i="4"/>
  <c r="B189" i="4"/>
  <c r="A189" i="4"/>
  <c r="I188" i="4"/>
  <c r="C188" i="4"/>
  <c r="B188" i="4"/>
  <c r="A188" i="4"/>
  <c r="I187" i="4"/>
  <c r="C187" i="4"/>
  <c r="B187" i="4"/>
  <c r="A187" i="4"/>
  <c r="I186" i="4"/>
  <c r="C186" i="4"/>
  <c r="B186" i="4"/>
  <c r="A186" i="4"/>
  <c r="I185" i="4"/>
  <c r="C185" i="4"/>
  <c r="B185" i="4"/>
  <c r="A185" i="4"/>
  <c r="I184" i="4"/>
  <c r="C184" i="4"/>
  <c r="B184" i="4"/>
  <c r="A184" i="4"/>
  <c r="I183" i="4"/>
  <c r="C183" i="4"/>
  <c r="B183" i="4"/>
  <c r="A183" i="4"/>
  <c r="I182" i="4"/>
  <c r="C182" i="4"/>
  <c r="B182" i="4"/>
  <c r="A182" i="4"/>
  <c r="I181" i="4"/>
  <c r="C181" i="4"/>
  <c r="B181" i="4"/>
  <c r="A181" i="4"/>
  <c r="I180" i="4"/>
  <c r="C180" i="4"/>
  <c r="B180" i="4"/>
  <c r="A180" i="4"/>
  <c r="I179" i="4"/>
  <c r="C179" i="4"/>
  <c r="B179" i="4"/>
  <c r="A179" i="4"/>
  <c r="I178" i="4"/>
  <c r="C178" i="4"/>
  <c r="B178" i="4"/>
  <c r="A178" i="4"/>
  <c r="I177" i="4"/>
  <c r="C177" i="4"/>
  <c r="B177" i="4"/>
  <c r="A177" i="4"/>
  <c r="I176" i="4"/>
  <c r="C176" i="4"/>
  <c r="B176" i="4"/>
  <c r="A176" i="4"/>
  <c r="I175" i="4"/>
  <c r="C175" i="4"/>
  <c r="B175" i="4"/>
  <c r="A175" i="4"/>
  <c r="I174" i="4"/>
  <c r="C174" i="4"/>
  <c r="B174" i="4"/>
  <c r="A174" i="4"/>
  <c r="I173" i="4"/>
  <c r="C173" i="4"/>
  <c r="B173" i="4"/>
  <c r="A173" i="4"/>
  <c r="I172" i="4"/>
  <c r="C172" i="4"/>
  <c r="B172" i="4"/>
  <c r="A172" i="4"/>
  <c r="I171" i="4"/>
  <c r="C171" i="4"/>
  <c r="B171" i="4"/>
  <c r="A171" i="4"/>
  <c r="I170" i="4"/>
  <c r="C170" i="4"/>
  <c r="B170" i="4"/>
  <c r="A170" i="4"/>
  <c r="I169" i="4"/>
  <c r="C169" i="4"/>
  <c r="B169" i="4"/>
  <c r="A169" i="4"/>
  <c r="I168" i="4"/>
  <c r="C168" i="4"/>
  <c r="B168" i="4"/>
  <c r="A168" i="4"/>
  <c r="I167" i="4"/>
  <c r="C167" i="4"/>
  <c r="B167" i="4"/>
  <c r="A167" i="4"/>
  <c r="I166" i="4"/>
  <c r="C166" i="4"/>
  <c r="B166" i="4"/>
  <c r="A166" i="4"/>
  <c r="I165" i="4"/>
  <c r="C165" i="4"/>
  <c r="B165" i="4"/>
  <c r="A165" i="4"/>
  <c r="I164" i="4"/>
  <c r="C164" i="4"/>
  <c r="B164" i="4"/>
  <c r="A164" i="4"/>
  <c r="I163" i="4"/>
  <c r="C163" i="4"/>
  <c r="B163" i="4"/>
  <c r="A163" i="4"/>
  <c r="I162" i="4"/>
  <c r="C162" i="4"/>
  <c r="B162" i="4"/>
  <c r="A162" i="4"/>
  <c r="I161" i="4"/>
  <c r="C161" i="4"/>
  <c r="B161" i="4"/>
  <c r="A161" i="4"/>
  <c r="I160" i="4"/>
  <c r="C160" i="4"/>
  <c r="B160" i="4"/>
  <c r="A160" i="4"/>
  <c r="I159" i="4"/>
  <c r="C159" i="4"/>
  <c r="B159" i="4"/>
  <c r="A159" i="4"/>
  <c r="I158" i="4"/>
  <c r="C158" i="4"/>
  <c r="B158" i="4"/>
  <c r="A158" i="4"/>
  <c r="I157" i="4"/>
  <c r="C157" i="4"/>
  <c r="B157" i="4"/>
  <c r="A157" i="4"/>
  <c r="I156" i="4"/>
  <c r="C156" i="4"/>
  <c r="B156" i="4"/>
  <c r="A156" i="4"/>
  <c r="I155" i="4"/>
  <c r="C155" i="4"/>
  <c r="B155" i="4"/>
  <c r="A155" i="4"/>
  <c r="I154" i="4"/>
  <c r="C154" i="4"/>
  <c r="B154" i="4"/>
  <c r="A154" i="4"/>
  <c r="I153" i="4"/>
  <c r="C153" i="4"/>
  <c r="B153" i="4"/>
  <c r="A153" i="4"/>
  <c r="I152" i="4"/>
  <c r="C152" i="4"/>
  <c r="B152" i="4"/>
  <c r="A152" i="4"/>
  <c r="I151" i="4"/>
  <c r="C151" i="4"/>
  <c r="B151" i="4"/>
  <c r="A151" i="4"/>
  <c r="I150" i="4"/>
  <c r="C150" i="4"/>
  <c r="B150" i="4"/>
  <c r="A150" i="4"/>
  <c r="I149" i="4"/>
  <c r="C149" i="4"/>
  <c r="B149" i="4"/>
  <c r="A149" i="4"/>
  <c r="I148" i="4"/>
  <c r="C148" i="4"/>
  <c r="B148" i="4"/>
  <c r="A148" i="4"/>
  <c r="I147" i="4"/>
  <c r="C147" i="4"/>
  <c r="B147" i="4"/>
  <c r="A147" i="4"/>
  <c r="I146" i="4"/>
  <c r="C146" i="4"/>
  <c r="B146" i="4"/>
  <c r="A146" i="4"/>
  <c r="I145" i="4"/>
  <c r="C145" i="4"/>
  <c r="B145" i="4"/>
  <c r="A145" i="4"/>
  <c r="I144" i="4"/>
  <c r="C144" i="4"/>
  <c r="B144" i="4"/>
  <c r="A144" i="4"/>
  <c r="I143" i="4"/>
  <c r="C143" i="4"/>
  <c r="B143" i="4"/>
  <c r="A143" i="4"/>
  <c r="I142" i="4"/>
  <c r="C142" i="4"/>
  <c r="B142" i="4"/>
  <c r="A142" i="4"/>
  <c r="I141" i="4"/>
  <c r="C141" i="4"/>
  <c r="B141" i="4"/>
  <c r="A141" i="4"/>
  <c r="I140" i="4"/>
  <c r="C140" i="4"/>
  <c r="B140" i="4"/>
  <c r="A140" i="4"/>
  <c r="I139" i="4"/>
  <c r="C139" i="4"/>
  <c r="B139" i="4"/>
  <c r="A139" i="4"/>
  <c r="I138" i="4"/>
  <c r="C138" i="4"/>
  <c r="B138" i="4"/>
  <c r="A138" i="4"/>
  <c r="I137" i="4"/>
  <c r="C137" i="4"/>
  <c r="B137" i="4"/>
  <c r="A137" i="4"/>
  <c r="I136" i="4"/>
  <c r="C136" i="4"/>
  <c r="B136" i="4"/>
  <c r="A136" i="4"/>
  <c r="I135" i="4"/>
  <c r="C135" i="4"/>
  <c r="B135" i="4"/>
  <c r="A135" i="4"/>
  <c r="I134" i="4"/>
  <c r="C134" i="4"/>
  <c r="B134" i="4"/>
  <c r="A134" i="4"/>
  <c r="I133" i="4"/>
  <c r="C133" i="4"/>
  <c r="B133" i="4"/>
  <c r="A133" i="4"/>
  <c r="I132" i="4"/>
  <c r="C132" i="4"/>
  <c r="B132" i="4"/>
  <c r="A132" i="4"/>
  <c r="I131" i="4"/>
  <c r="C131" i="4"/>
  <c r="B131" i="4"/>
  <c r="A131" i="4"/>
  <c r="I130" i="4"/>
  <c r="C130" i="4"/>
  <c r="B130" i="4"/>
  <c r="A130" i="4"/>
  <c r="I129" i="4"/>
  <c r="C129" i="4"/>
  <c r="B129" i="4"/>
  <c r="A129" i="4"/>
  <c r="I128" i="4"/>
  <c r="C128" i="4"/>
  <c r="B128" i="4"/>
  <c r="A128" i="4"/>
  <c r="I127" i="4"/>
  <c r="C127" i="4"/>
  <c r="B127" i="4"/>
  <c r="A127" i="4"/>
  <c r="I126" i="4"/>
  <c r="C126" i="4"/>
  <c r="B126" i="4"/>
  <c r="A126" i="4"/>
  <c r="I125" i="4"/>
  <c r="C125" i="4"/>
  <c r="B125" i="4"/>
  <c r="A125" i="4"/>
  <c r="I124" i="4"/>
  <c r="C124" i="4"/>
  <c r="B124" i="4"/>
  <c r="A124" i="4"/>
  <c r="I123" i="4"/>
  <c r="C123" i="4"/>
  <c r="B123" i="4"/>
  <c r="A123" i="4"/>
  <c r="I122" i="4"/>
  <c r="C122" i="4"/>
  <c r="B122" i="4"/>
  <c r="A122" i="4"/>
  <c r="I121" i="4"/>
  <c r="C121" i="4"/>
  <c r="B121" i="4"/>
  <c r="A121" i="4"/>
  <c r="I120" i="4"/>
  <c r="C120" i="4"/>
  <c r="B120" i="4"/>
  <c r="A120" i="4"/>
  <c r="I119" i="4"/>
  <c r="C119" i="4"/>
  <c r="B119" i="4"/>
  <c r="A119" i="4"/>
  <c r="I118" i="4"/>
  <c r="C118" i="4"/>
  <c r="B118" i="4"/>
  <c r="A118" i="4"/>
  <c r="I117" i="4"/>
  <c r="C117" i="4"/>
  <c r="B117" i="4"/>
  <c r="A117" i="4"/>
  <c r="I116" i="4"/>
  <c r="C116" i="4"/>
  <c r="B116" i="4"/>
  <c r="A116" i="4"/>
  <c r="I115" i="4"/>
  <c r="C115" i="4"/>
  <c r="B115" i="4"/>
  <c r="A115" i="4"/>
  <c r="I114" i="4"/>
  <c r="C114" i="4"/>
  <c r="B114" i="4"/>
  <c r="A114" i="4"/>
  <c r="I113" i="4"/>
  <c r="C113" i="4"/>
  <c r="B113" i="4"/>
  <c r="A113" i="4"/>
  <c r="I112" i="4"/>
  <c r="C112" i="4"/>
  <c r="B112" i="4"/>
  <c r="A112" i="4"/>
  <c r="I111" i="4"/>
  <c r="C111" i="4"/>
  <c r="B111" i="4"/>
  <c r="A111" i="4"/>
  <c r="I110" i="4"/>
  <c r="C110" i="4"/>
  <c r="B110" i="4"/>
  <c r="A110" i="4"/>
  <c r="I109" i="4"/>
  <c r="C109" i="4"/>
  <c r="B109" i="4"/>
  <c r="A109" i="4"/>
  <c r="I108" i="4"/>
  <c r="C108" i="4"/>
  <c r="B108" i="4"/>
  <c r="A108" i="4"/>
  <c r="I107" i="4"/>
  <c r="C107" i="4"/>
  <c r="B107" i="4"/>
  <c r="A107" i="4"/>
  <c r="I106" i="4"/>
  <c r="C106" i="4"/>
  <c r="B106" i="4"/>
  <c r="A106" i="4"/>
  <c r="I105" i="4"/>
  <c r="C105" i="4"/>
  <c r="B105" i="4"/>
  <c r="A105" i="4"/>
  <c r="I104" i="4"/>
  <c r="C104" i="4"/>
  <c r="B104" i="4"/>
  <c r="A104" i="4"/>
  <c r="I103" i="4"/>
  <c r="C103" i="4"/>
  <c r="B103" i="4"/>
  <c r="A103" i="4"/>
  <c r="I102" i="4"/>
  <c r="C102" i="4"/>
  <c r="B102" i="4"/>
  <c r="A102" i="4"/>
  <c r="I101" i="4"/>
  <c r="C101" i="4"/>
  <c r="B101" i="4"/>
  <c r="A101" i="4"/>
  <c r="I100" i="4"/>
  <c r="C100" i="4"/>
  <c r="B100" i="4"/>
  <c r="A100" i="4"/>
  <c r="I99" i="4"/>
  <c r="C99" i="4"/>
  <c r="B99" i="4"/>
  <c r="A99" i="4"/>
  <c r="I98" i="4"/>
  <c r="C98" i="4"/>
  <c r="B98" i="4"/>
  <c r="A98" i="4"/>
  <c r="I97" i="4"/>
  <c r="C97" i="4"/>
  <c r="B97" i="4"/>
  <c r="A97" i="4"/>
  <c r="I96" i="4"/>
  <c r="C96" i="4"/>
  <c r="B96" i="4"/>
  <c r="A96" i="4"/>
  <c r="I95" i="4"/>
  <c r="C95" i="4"/>
  <c r="B95" i="4"/>
  <c r="A95" i="4"/>
  <c r="I94" i="4"/>
  <c r="C94" i="4"/>
  <c r="B94" i="4"/>
  <c r="A94" i="4"/>
  <c r="I93" i="4"/>
  <c r="C93" i="4"/>
  <c r="B93" i="4"/>
  <c r="A93" i="4"/>
  <c r="I92" i="4"/>
  <c r="C92" i="4"/>
  <c r="B92" i="4"/>
  <c r="A92" i="4"/>
  <c r="I91" i="4"/>
  <c r="C91" i="4"/>
  <c r="B91" i="4"/>
  <c r="A91" i="4"/>
  <c r="I90" i="4"/>
  <c r="C90" i="4"/>
  <c r="B90" i="4"/>
  <c r="A90" i="4"/>
  <c r="I89" i="4"/>
  <c r="C89" i="4"/>
  <c r="B89" i="4"/>
  <c r="A89" i="4"/>
  <c r="I88" i="4"/>
  <c r="C88" i="4"/>
  <c r="B88" i="4"/>
  <c r="A88" i="4"/>
  <c r="I87" i="4"/>
  <c r="C87" i="4"/>
  <c r="B87" i="4"/>
  <c r="A87" i="4"/>
  <c r="I86" i="4"/>
  <c r="C86" i="4"/>
  <c r="B86" i="4"/>
  <c r="A86" i="4"/>
  <c r="I85" i="4"/>
  <c r="C85" i="4"/>
  <c r="B85" i="4"/>
  <c r="A85" i="4"/>
  <c r="I84" i="4"/>
  <c r="C84" i="4"/>
  <c r="B84" i="4"/>
  <c r="A84" i="4"/>
  <c r="I83" i="4"/>
  <c r="C83" i="4"/>
  <c r="B83" i="4"/>
  <c r="A83" i="4"/>
  <c r="I82" i="4"/>
  <c r="C82" i="4"/>
  <c r="B82" i="4"/>
  <c r="A82" i="4"/>
  <c r="I81" i="4"/>
  <c r="C81" i="4"/>
  <c r="B81" i="4"/>
  <c r="A81" i="4"/>
  <c r="I80" i="4"/>
  <c r="C80" i="4"/>
  <c r="B80" i="4"/>
  <c r="A80" i="4"/>
  <c r="I79" i="4"/>
  <c r="C79" i="4"/>
  <c r="B79" i="4"/>
  <c r="A79" i="4"/>
  <c r="I78" i="4"/>
  <c r="C78" i="4"/>
  <c r="B78" i="4"/>
  <c r="A78" i="4"/>
  <c r="I77" i="4"/>
  <c r="C77" i="4"/>
  <c r="B77" i="4"/>
  <c r="A77" i="4"/>
  <c r="I76" i="4"/>
  <c r="C76" i="4"/>
  <c r="B76" i="4"/>
  <c r="A76" i="4"/>
  <c r="I75" i="4"/>
  <c r="C75" i="4"/>
  <c r="B75" i="4"/>
  <c r="A75" i="4"/>
  <c r="I74" i="4"/>
  <c r="C74" i="4"/>
  <c r="B74" i="4"/>
  <c r="A74" i="4"/>
  <c r="I73" i="4"/>
  <c r="C73" i="4"/>
  <c r="B73" i="4"/>
  <c r="A73" i="4"/>
  <c r="I72" i="4"/>
  <c r="C72" i="4"/>
  <c r="B72" i="4"/>
  <c r="A72" i="4"/>
  <c r="I71" i="4"/>
  <c r="C71" i="4"/>
  <c r="B71" i="4"/>
  <c r="A71" i="4"/>
  <c r="I70" i="4"/>
  <c r="C70" i="4"/>
  <c r="B70" i="4"/>
  <c r="A70" i="4"/>
  <c r="I69" i="4"/>
  <c r="C69" i="4"/>
  <c r="B69" i="4"/>
  <c r="A69" i="4"/>
  <c r="I68" i="4"/>
  <c r="C68" i="4"/>
  <c r="B68" i="4"/>
  <c r="A68" i="4"/>
  <c r="I67" i="4"/>
  <c r="C67" i="4"/>
  <c r="B67" i="4"/>
  <c r="A67" i="4"/>
  <c r="I66" i="4"/>
  <c r="C66" i="4"/>
  <c r="B66" i="4"/>
  <c r="A66" i="4"/>
  <c r="I65" i="4"/>
  <c r="C65" i="4"/>
  <c r="B65" i="4"/>
  <c r="A65" i="4"/>
  <c r="I64" i="4"/>
  <c r="C64" i="4"/>
  <c r="B64" i="4"/>
  <c r="A64" i="4"/>
  <c r="I63" i="4"/>
  <c r="C63" i="4"/>
  <c r="B63" i="4"/>
  <c r="A63" i="4"/>
  <c r="I62" i="4"/>
  <c r="C62" i="4"/>
  <c r="B62" i="4"/>
  <c r="A62" i="4"/>
  <c r="I61" i="4"/>
  <c r="C61" i="4"/>
  <c r="B61" i="4"/>
  <c r="A61" i="4"/>
  <c r="I60" i="4"/>
  <c r="C60" i="4"/>
  <c r="B60" i="4"/>
  <c r="A60" i="4"/>
  <c r="I59" i="4"/>
  <c r="C59" i="4"/>
  <c r="B59" i="4"/>
  <c r="A59" i="4"/>
  <c r="I58" i="4"/>
  <c r="C58" i="4"/>
  <c r="B58" i="4"/>
  <c r="A58" i="4"/>
  <c r="I57" i="4"/>
  <c r="C57" i="4"/>
  <c r="B57" i="4"/>
  <c r="A57" i="4"/>
  <c r="I56" i="4"/>
  <c r="C56" i="4"/>
  <c r="B56" i="4"/>
  <c r="A56" i="4"/>
  <c r="I55" i="4"/>
  <c r="C55" i="4"/>
  <c r="B55" i="4"/>
  <c r="A55" i="4"/>
  <c r="I54" i="4"/>
  <c r="C54" i="4"/>
  <c r="B54" i="4"/>
  <c r="A54" i="4"/>
  <c r="I53" i="4"/>
  <c r="C53" i="4"/>
  <c r="B53" i="4"/>
  <c r="A53" i="4"/>
  <c r="C52" i="4"/>
  <c r="B52" i="4"/>
  <c r="A52" i="4"/>
  <c r="C51" i="4"/>
  <c r="B51" i="4"/>
  <c r="A51" i="4"/>
  <c r="I50" i="4"/>
  <c r="C50" i="4"/>
  <c r="B50" i="4"/>
  <c r="A50" i="4"/>
  <c r="I49" i="4"/>
  <c r="C49" i="4"/>
  <c r="B49" i="4"/>
  <c r="A49" i="4"/>
  <c r="I48" i="4"/>
  <c r="C48" i="4"/>
  <c r="B48" i="4"/>
  <c r="A48" i="4"/>
  <c r="I47" i="4"/>
  <c r="C47" i="4"/>
  <c r="B47" i="4"/>
  <c r="A47" i="4"/>
  <c r="I46" i="4"/>
  <c r="C46" i="4"/>
  <c r="B46" i="4"/>
  <c r="A46" i="4"/>
  <c r="I45" i="4"/>
  <c r="C45" i="4"/>
  <c r="B45" i="4"/>
  <c r="A45" i="4"/>
  <c r="I44" i="4"/>
  <c r="C44" i="4"/>
  <c r="B44" i="4"/>
  <c r="A44" i="4"/>
  <c r="I43" i="4"/>
  <c r="C43" i="4"/>
  <c r="B43" i="4"/>
  <c r="A43" i="4"/>
  <c r="I42" i="4"/>
  <c r="C42" i="4"/>
  <c r="B42" i="4"/>
  <c r="A42" i="4"/>
  <c r="I41" i="4"/>
  <c r="C41" i="4"/>
  <c r="B41" i="4"/>
  <c r="A41" i="4"/>
  <c r="I40" i="4"/>
  <c r="C40" i="4"/>
  <c r="B40" i="4"/>
  <c r="A40" i="4"/>
  <c r="I39" i="4"/>
  <c r="C39" i="4"/>
  <c r="B39" i="4"/>
  <c r="A39" i="4"/>
  <c r="I38" i="4"/>
  <c r="C38" i="4"/>
  <c r="B38" i="4"/>
  <c r="A38" i="4"/>
  <c r="I37" i="4"/>
  <c r="C37" i="4"/>
  <c r="B37" i="4"/>
  <c r="A37" i="4"/>
  <c r="I36" i="4"/>
  <c r="C36" i="4"/>
  <c r="B36" i="4"/>
  <c r="A36" i="4"/>
  <c r="C35" i="4"/>
  <c r="B35" i="4"/>
  <c r="A35" i="4"/>
  <c r="I34" i="4"/>
  <c r="C34" i="4"/>
  <c r="B34" i="4"/>
  <c r="A34" i="4"/>
  <c r="I33" i="4"/>
  <c r="C33" i="4"/>
  <c r="B33" i="4"/>
  <c r="A33" i="4"/>
  <c r="I32" i="4"/>
  <c r="C32" i="4"/>
  <c r="B32" i="4"/>
  <c r="A32" i="4"/>
  <c r="I31" i="4"/>
  <c r="C31" i="4"/>
  <c r="B31" i="4"/>
  <c r="A31" i="4"/>
  <c r="I30" i="4"/>
  <c r="C30" i="4"/>
  <c r="B30" i="4"/>
  <c r="A30" i="4"/>
  <c r="I29" i="4"/>
  <c r="C29" i="4"/>
  <c r="B29" i="4"/>
  <c r="A29" i="4"/>
  <c r="I28" i="4"/>
  <c r="C28" i="4"/>
  <c r="B28" i="4"/>
  <c r="A28" i="4"/>
  <c r="I27" i="4"/>
  <c r="C27" i="4"/>
  <c r="B27" i="4"/>
  <c r="A27" i="4"/>
  <c r="I26" i="4"/>
  <c r="C26" i="4"/>
  <c r="B26" i="4"/>
  <c r="A26" i="4"/>
  <c r="I25" i="4"/>
  <c r="C25" i="4"/>
  <c r="B25" i="4"/>
  <c r="A25" i="4"/>
  <c r="I24" i="4"/>
  <c r="C24" i="4"/>
  <c r="B24" i="4"/>
  <c r="A24" i="4"/>
  <c r="I23" i="4"/>
  <c r="C23" i="4"/>
  <c r="B23" i="4"/>
  <c r="A23" i="4"/>
  <c r="I22" i="4"/>
  <c r="C22" i="4"/>
  <c r="B22" i="4"/>
  <c r="A22" i="4"/>
  <c r="I21" i="4"/>
  <c r="C21" i="4"/>
  <c r="B21" i="4"/>
  <c r="A21" i="4"/>
  <c r="C20" i="4"/>
  <c r="B20" i="4"/>
  <c r="A20" i="4"/>
  <c r="C19" i="4"/>
  <c r="B19" i="4"/>
  <c r="A19" i="4"/>
  <c r="I18" i="4"/>
  <c r="C18" i="4"/>
  <c r="B18" i="4"/>
  <c r="A18" i="4"/>
  <c r="I17" i="4"/>
  <c r="C17" i="4"/>
  <c r="B17" i="4"/>
  <c r="A17" i="4"/>
  <c r="I16" i="4"/>
  <c r="C16" i="4"/>
  <c r="B16" i="4"/>
  <c r="A16" i="4"/>
  <c r="I15" i="4"/>
  <c r="C15" i="4"/>
  <c r="B15" i="4"/>
  <c r="A15" i="4"/>
  <c r="C14" i="4"/>
  <c r="B14" i="4"/>
  <c r="A14" i="4"/>
  <c r="I13" i="4"/>
  <c r="C13" i="4"/>
  <c r="B13" i="4"/>
  <c r="A13" i="4"/>
  <c r="I12" i="4"/>
  <c r="C12" i="4"/>
  <c r="B12" i="4"/>
  <c r="A12" i="4"/>
  <c r="I11" i="4"/>
  <c r="C11" i="4"/>
  <c r="B11" i="4"/>
  <c r="A11" i="4"/>
  <c r="C10" i="4"/>
  <c r="B10" i="4"/>
  <c r="A10" i="4"/>
  <c r="C9" i="4"/>
  <c r="B9" i="4"/>
  <c r="A9" i="4"/>
  <c r="I8" i="4"/>
  <c r="C8" i="4"/>
  <c r="B8" i="4"/>
  <c r="A8" i="4"/>
  <c r="I7" i="4"/>
  <c r="C7" i="4"/>
  <c r="B7" i="4"/>
  <c r="A7" i="4"/>
  <c r="I6" i="4"/>
  <c r="C6" i="4"/>
  <c r="B6" i="4"/>
  <c r="A6" i="4"/>
  <c r="I5" i="4"/>
  <c r="C5" i="4"/>
  <c r="B5" i="4"/>
  <c r="A5" i="4"/>
  <c r="I4" i="4"/>
  <c r="C4" i="4"/>
  <c r="B4" i="4"/>
  <c r="A4" i="4"/>
  <c r="GE499" i="1"/>
  <c r="GB499" i="1"/>
  <c r="FW499" i="1"/>
  <c r="FV499" i="1"/>
  <c r="FS499" i="1"/>
  <c r="FO499" i="1"/>
  <c r="FJ499" i="1"/>
  <c r="FF499" i="1"/>
  <c r="FC499" i="1"/>
  <c r="EZ499" i="1"/>
  <c r="ET499" i="1"/>
  <c r="EL499" i="1"/>
  <c r="EI499" i="1"/>
  <c r="EC499" i="1"/>
  <c r="DW499" i="1"/>
  <c r="DS499" i="1"/>
  <c r="DP499" i="1"/>
  <c r="DM499" i="1"/>
  <c r="DI499" i="1"/>
  <c r="DD499" i="1"/>
  <c r="CX499" i="1"/>
  <c r="CP499" i="1"/>
  <c r="CO499" i="1"/>
  <c r="CI499" i="1"/>
  <c r="CC499" i="1"/>
  <c r="BZ499" i="1"/>
  <c r="BV499" i="1"/>
  <c r="BU499" i="1"/>
  <c r="BK499" i="1"/>
  <c r="BH499" i="1"/>
  <c r="BD499" i="1"/>
  <c r="AZ499" i="1"/>
  <c r="AV499" i="1"/>
  <c r="AP499" i="1"/>
  <c r="AL499" i="1"/>
  <c r="AJ499" i="1"/>
  <c r="AC499" i="1"/>
  <c r="X499" i="1"/>
  <c r="U499" i="1"/>
  <c r="T499" i="1"/>
  <c r="F499" i="1"/>
  <c r="GE498" i="1"/>
  <c r="GB498" i="1"/>
  <c r="FW498" i="1"/>
  <c r="FV498" i="1"/>
  <c r="FS498" i="1"/>
  <c r="FO498" i="1"/>
  <c r="FJ498" i="1"/>
  <c r="FF498" i="1"/>
  <c r="FC498" i="1"/>
  <c r="EZ498" i="1"/>
  <c r="ET498" i="1"/>
  <c r="EL498" i="1"/>
  <c r="EI498" i="1"/>
  <c r="EC498" i="1"/>
  <c r="DW498" i="1"/>
  <c r="DS498" i="1"/>
  <c r="DP498" i="1"/>
  <c r="DM498" i="1"/>
  <c r="DI498" i="1"/>
  <c r="DD498" i="1"/>
  <c r="CX498" i="1"/>
  <c r="CP498" i="1"/>
  <c r="CO498" i="1"/>
  <c r="CI498" i="1"/>
  <c r="CC498" i="1"/>
  <c r="BZ498" i="1"/>
  <c r="BV498" i="1"/>
  <c r="BU498" i="1"/>
  <c r="BK498" i="1"/>
  <c r="BH498" i="1"/>
  <c r="BD498" i="1"/>
  <c r="AZ498" i="1"/>
  <c r="AV498" i="1"/>
  <c r="AP498" i="1"/>
  <c r="AL498" i="1"/>
  <c r="AJ498" i="1"/>
  <c r="AC498" i="1"/>
  <c r="X498" i="1"/>
  <c r="U498" i="1"/>
  <c r="T498" i="1"/>
  <c r="F498" i="1"/>
  <c r="GE497" i="1"/>
  <c r="GB497" i="1"/>
  <c r="FW497" i="1"/>
  <c r="FV497" i="1"/>
  <c r="FS497" i="1"/>
  <c r="FO497" i="1"/>
  <c r="FJ497" i="1"/>
  <c r="FF497" i="1"/>
  <c r="FC497" i="1"/>
  <c r="EZ497" i="1"/>
  <c r="ET497" i="1"/>
  <c r="EL497" i="1"/>
  <c r="EI497" i="1"/>
  <c r="EC497" i="1"/>
  <c r="DW497" i="1"/>
  <c r="DS497" i="1"/>
  <c r="DP497" i="1"/>
  <c r="DM497" i="1"/>
  <c r="DI497" i="1"/>
  <c r="DD497" i="1"/>
  <c r="CX497" i="1"/>
  <c r="CP497" i="1"/>
  <c r="CO497" i="1"/>
  <c r="CI497" i="1"/>
  <c r="CC497" i="1"/>
  <c r="BZ497" i="1"/>
  <c r="BV497" i="1"/>
  <c r="BU497" i="1"/>
  <c r="BK497" i="1"/>
  <c r="BH497" i="1"/>
  <c r="BD497" i="1"/>
  <c r="AZ497" i="1"/>
  <c r="AV497" i="1"/>
  <c r="AP497" i="1"/>
  <c r="AL497" i="1"/>
  <c r="AJ497" i="1"/>
  <c r="AC497" i="1"/>
  <c r="X497" i="1"/>
  <c r="U497" i="1"/>
  <c r="T497" i="1"/>
  <c r="F497" i="1"/>
  <c r="GE496" i="1"/>
  <c r="GB496" i="1"/>
  <c r="FW496" i="1"/>
  <c r="FV496" i="1"/>
  <c r="FS496" i="1"/>
  <c r="FO496" i="1"/>
  <c r="FJ496" i="1"/>
  <c r="FF496" i="1"/>
  <c r="FC496" i="1"/>
  <c r="EZ496" i="1"/>
  <c r="ET496" i="1"/>
  <c r="EL496" i="1"/>
  <c r="EI496" i="1"/>
  <c r="EC496" i="1"/>
  <c r="DW496" i="1"/>
  <c r="DS496" i="1"/>
  <c r="DP496" i="1"/>
  <c r="DM496" i="1"/>
  <c r="DI496" i="1"/>
  <c r="DD496" i="1"/>
  <c r="CX496" i="1"/>
  <c r="CP496" i="1"/>
  <c r="CO496" i="1"/>
  <c r="CI496" i="1"/>
  <c r="CC496" i="1"/>
  <c r="BZ496" i="1"/>
  <c r="BV496" i="1"/>
  <c r="BU496" i="1"/>
  <c r="BK496" i="1"/>
  <c r="BH496" i="1"/>
  <c r="BD496" i="1"/>
  <c r="AZ496" i="1"/>
  <c r="AV496" i="1"/>
  <c r="AP496" i="1"/>
  <c r="AL496" i="1"/>
  <c r="AJ496" i="1"/>
  <c r="AC496" i="1"/>
  <c r="X496" i="1"/>
  <c r="U496" i="1"/>
  <c r="T496" i="1"/>
  <c r="F496" i="1"/>
  <c r="GE495" i="1"/>
  <c r="GB495" i="1"/>
  <c r="FW495" i="1"/>
  <c r="FV495" i="1"/>
  <c r="FS495" i="1"/>
  <c r="FO495" i="1"/>
  <c r="FJ495" i="1"/>
  <c r="FF495" i="1"/>
  <c r="FC495" i="1"/>
  <c r="EZ495" i="1"/>
  <c r="ET495" i="1"/>
  <c r="EL495" i="1"/>
  <c r="EI495" i="1"/>
  <c r="EC495" i="1"/>
  <c r="DW495" i="1"/>
  <c r="DS495" i="1"/>
  <c r="DP495" i="1"/>
  <c r="DM495" i="1"/>
  <c r="DI495" i="1"/>
  <c r="DD495" i="1"/>
  <c r="CX495" i="1"/>
  <c r="CP495" i="1"/>
  <c r="CO495" i="1"/>
  <c r="CI495" i="1"/>
  <c r="CC495" i="1"/>
  <c r="BZ495" i="1"/>
  <c r="BV495" i="1"/>
  <c r="BU495" i="1"/>
  <c r="BK495" i="1"/>
  <c r="BH495" i="1"/>
  <c r="BD495" i="1"/>
  <c r="AZ495" i="1"/>
  <c r="AV495" i="1"/>
  <c r="AP495" i="1"/>
  <c r="AL495" i="1"/>
  <c r="AJ495" i="1"/>
  <c r="AC495" i="1"/>
  <c r="X495" i="1"/>
  <c r="U495" i="1"/>
  <c r="T495" i="1"/>
  <c r="F495" i="1"/>
  <c r="GE494" i="1"/>
  <c r="GB494" i="1"/>
  <c r="FW494" i="1"/>
  <c r="FV494" i="1"/>
  <c r="FS494" i="1"/>
  <c r="FO494" i="1"/>
  <c r="FJ494" i="1"/>
  <c r="FF494" i="1"/>
  <c r="FC494" i="1"/>
  <c r="EZ494" i="1"/>
  <c r="ET494" i="1"/>
  <c r="EL494" i="1"/>
  <c r="EI494" i="1"/>
  <c r="EC494" i="1"/>
  <c r="DW494" i="1"/>
  <c r="DS494" i="1"/>
  <c r="DP494" i="1"/>
  <c r="DM494" i="1"/>
  <c r="DI494" i="1"/>
  <c r="DD494" i="1"/>
  <c r="CX494" i="1"/>
  <c r="CP494" i="1"/>
  <c r="CO494" i="1"/>
  <c r="CI494" i="1"/>
  <c r="CC494" i="1"/>
  <c r="BZ494" i="1"/>
  <c r="BV494" i="1"/>
  <c r="BU494" i="1"/>
  <c r="BK494" i="1"/>
  <c r="BH494" i="1"/>
  <c r="BD494" i="1"/>
  <c r="AZ494" i="1"/>
  <c r="AV494" i="1"/>
  <c r="AP494" i="1"/>
  <c r="AL494" i="1"/>
  <c r="AJ494" i="1"/>
  <c r="AC494" i="1"/>
  <c r="X494" i="1"/>
  <c r="U494" i="1"/>
  <c r="T494" i="1"/>
  <c r="F494" i="1"/>
  <c r="GE493" i="1"/>
  <c r="GB493" i="1"/>
  <c r="FW493" i="1"/>
  <c r="FV493" i="1"/>
  <c r="FS493" i="1"/>
  <c r="FO493" i="1"/>
  <c r="FJ493" i="1"/>
  <c r="FF493" i="1"/>
  <c r="FC493" i="1"/>
  <c r="EZ493" i="1"/>
  <c r="ET493" i="1"/>
  <c r="EL493" i="1"/>
  <c r="EI493" i="1"/>
  <c r="EC493" i="1"/>
  <c r="DW493" i="1"/>
  <c r="DS493" i="1"/>
  <c r="DP493" i="1"/>
  <c r="DM493" i="1"/>
  <c r="DI493" i="1"/>
  <c r="DD493" i="1"/>
  <c r="CX493" i="1"/>
  <c r="CP493" i="1"/>
  <c r="CO493" i="1"/>
  <c r="CI493" i="1"/>
  <c r="CC493" i="1"/>
  <c r="BZ493" i="1"/>
  <c r="BV493" i="1"/>
  <c r="BU493" i="1"/>
  <c r="BK493" i="1"/>
  <c r="BH493" i="1"/>
  <c r="BD493" i="1"/>
  <c r="AZ493" i="1"/>
  <c r="AV493" i="1"/>
  <c r="AP493" i="1"/>
  <c r="AL493" i="1"/>
  <c r="AJ493" i="1"/>
  <c r="AC493" i="1"/>
  <c r="X493" i="1"/>
  <c r="U493" i="1"/>
  <c r="T493" i="1"/>
  <c r="F493" i="1"/>
  <c r="GE492" i="1"/>
  <c r="GB492" i="1"/>
  <c r="FW492" i="1"/>
  <c r="FV492" i="1"/>
  <c r="FS492" i="1"/>
  <c r="FO492" i="1"/>
  <c r="FJ492" i="1"/>
  <c r="FF492" i="1"/>
  <c r="FC492" i="1"/>
  <c r="EZ492" i="1"/>
  <c r="ET492" i="1"/>
  <c r="EL492" i="1"/>
  <c r="EI492" i="1"/>
  <c r="EC492" i="1"/>
  <c r="DW492" i="1"/>
  <c r="DS492" i="1"/>
  <c r="DP492" i="1"/>
  <c r="DM492" i="1"/>
  <c r="DI492" i="1"/>
  <c r="DD492" i="1"/>
  <c r="CX492" i="1"/>
  <c r="CP492" i="1"/>
  <c r="CO492" i="1"/>
  <c r="CI492" i="1"/>
  <c r="CC492" i="1"/>
  <c r="BZ492" i="1"/>
  <c r="BV492" i="1"/>
  <c r="BU492" i="1"/>
  <c r="BK492" i="1"/>
  <c r="BH492" i="1"/>
  <c r="BD492" i="1"/>
  <c r="AZ492" i="1"/>
  <c r="AV492" i="1"/>
  <c r="AP492" i="1"/>
  <c r="AL492" i="1"/>
  <c r="AJ492" i="1"/>
  <c r="AC492" i="1"/>
  <c r="X492" i="1"/>
  <c r="U492" i="1"/>
  <c r="T492" i="1"/>
  <c r="F492" i="1"/>
  <c r="GE491" i="1"/>
  <c r="GB491" i="1"/>
  <c r="FW491" i="1"/>
  <c r="FV491" i="1"/>
  <c r="FS491" i="1"/>
  <c r="FO491" i="1"/>
  <c r="FJ491" i="1"/>
  <c r="FF491" i="1"/>
  <c r="FC491" i="1"/>
  <c r="EZ491" i="1"/>
  <c r="ET491" i="1"/>
  <c r="EL491" i="1"/>
  <c r="EI491" i="1"/>
  <c r="EC491" i="1"/>
  <c r="DW491" i="1"/>
  <c r="DS491" i="1"/>
  <c r="DP491" i="1"/>
  <c r="DM491" i="1"/>
  <c r="DI491" i="1"/>
  <c r="DD491" i="1"/>
  <c r="CX491" i="1"/>
  <c r="CP491" i="1"/>
  <c r="CO491" i="1"/>
  <c r="CI491" i="1"/>
  <c r="CC491" i="1"/>
  <c r="BZ491" i="1"/>
  <c r="BV491" i="1"/>
  <c r="BU491" i="1"/>
  <c r="BK491" i="1"/>
  <c r="BH491" i="1"/>
  <c r="BD491" i="1"/>
  <c r="AZ491" i="1"/>
  <c r="AV491" i="1"/>
  <c r="AP491" i="1"/>
  <c r="AL491" i="1"/>
  <c r="AJ491" i="1"/>
  <c r="AC491" i="1"/>
  <c r="X491" i="1"/>
  <c r="U491" i="1"/>
  <c r="T491" i="1"/>
  <c r="F491" i="1"/>
  <c r="GE490" i="1"/>
  <c r="GB490" i="1"/>
  <c r="FW490" i="1"/>
  <c r="FV490" i="1"/>
  <c r="FS490" i="1"/>
  <c r="FO490" i="1"/>
  <c r="FJ490" i="1"/>
  <c r="FF490" i="1"/>
  <c r="FE490" i="1" s="1"/>
  <c r="FC490" i="1"/>
  <c r="EZ490" i="1"/>
  <c r="ET490" i="1"/>
  <c r="EL490" i="1"/>
  <c r="EI490" i="1"/>
  <c r="EC490" i="1"/>
  <c r="DW490" i="1"/>
  <c r="DS490" i="1"/>
  <c r="DP490" i="1"/>
  <c r="DM490" i="1"/>
  <c r="DI490" i="1"/>
  <c r="DD490" i="1"/>
  <c r="CX490" i="1"/>
  <c r="CP490" i="1"/>
  <c r="CO490" i="1"/>
  <c r="CI490" i="1"/>
  <c r="CC490" i="1"/>
  <c r="BZ490" i="1"/>
  <c r="BV490" i="1"/>
  <c r="BU490" i="1"/>
  <c r="BK490" i="1"/>
  <c r="BH490" i="1"/>
  <c r="BD490" i="1"/>
  <c r="AZ490" i="1"/>
  <c r="AV490" i="1"/>
  <c r="AP490" i="1"/>
  <c r="AL490" i="1"/>
  <c r="AJ490" i="1"/>
  <c r="AC490" i="1"/>
  <c r="X490" i="1"/>
  <c r="U490" i="1"/>
  <c r="T490" i="1"/>
  <c r="F490" i="1"/>
  <c r="GE489" i="1"/>
  <c r="GB489" i="1"/>
  <c r="FW489" i="1"/>
  <c r="FV489" i="1"/>
  <c r="FS489" i="1"/>
  <c r="FO489" i="1"/>
  <c r="FJ489" i="1"/>
  <c r="FF489" i="1"/>
  <c r="FC489" i="1"/>
  <c r="EZ489" i="1"/>
  <c r="ET489" i="1"/>
  <c r="EL489" i="1"/>
  <c r="EI489" i="1"/>
  <c r="EC489" i="1"/>
  <c r="DW489" i="1"/>
  <c r="DS489" i="1"/>
  <c r="DP489" i="1"/>
  <c r="DM489" i="1"/>
  <c r="DI489" i="1"/>
  <c r="DD489" i="1"/>
  <c r="CX489" i="1"/>
  <c r="CP489" i="1"/>
  <c r="CO489" i="1"/>
  <c r="CI489" i="1"/>
  <c r="CC489" i="1"/>
  <c r="BZ489" i="1"/>
  <c r="BV489" i="1"/>
  <c r="BU489" i="1"/>
  <c r="BK489" i="1"/>
  <c r="BH489" i="1"/>
  <c r="BD489" i="1"/>
  <c r="AZ489" i="1"/>
  <c r="AV489" i="1"/>
  <c r="AP489" i="1"/>
  <c r="AL489" i="1"/>
  <c r="AJ489" i="1"/>
  <c r="AC489" i="1"/>
  <c r="X489" i="1"/>
  <c r="U489" i="1"/>
  <c r="T489" i="1"/>
  <c r="F489" i="1"/>
  <c r="GE488" i="1"/>
  <c r="GB488" i="1"/>
  <c r="FW488" i="1"/>
  <c r="FV488" i="1"/>
  <c r="FS488" i="1"/>
  <c r="FO488" i="1"/>
  <c r="FJ488" i="1"/>
  <c r="FF488" i="1"/>
  <c r="FC488" i="1"/>
  <c r="EZ488" i="1"/>
  <c r="ET488" i="1"/>
  <c r="EL488" i="1"/>
  <c r="EI488" i="1"/>
  <c r="EC488" i="1"/>
  <c r="DW488" i="1"/>
  <c r="DS488" i="1"/>
  <c r="DP488" i="1"/>
  <c r="DM488" i="1"/>
  <c r="DI488" i="1"/>
  <c r="DD488" i="1"/>
  <c r="CX488" i="1"/>
  <c r="CP488" i="1"/>
  <c r="CO488" i="1"/>
  <c r="CI488" i="1"/>
  <c r="CC488" i="1"/>
  <c r="BZ488" i="1"/>
  <c r="BV488" i="1"/>
  <c r="BU488" i="1"/>
  <c r="BK488" i="1"/>
  <c r="BH488" i="1"/>
  <c r="BD488" i="1"/>
  <c r="AZ488" i="1"/>
  <c r="AV488" i="1"/>
  <c r="AP488" i="1"/>
  <c r="AL488" i="1"/>
  <c r="AJ488" i="1"/>
  <c r="AC488" i="1"/>
  <c r="X488" i="1"/>
  <c r="U488" i="1"/>
  <c r="T488" i="1"/>
  <c r="F488" i="1"/>
  <c r="GE487" i="1"/>
  <c r="GB487" i="1"/>
  <c r="FW487" i="1"/>
  <c r="FV487" i="1"/>
  <c r="FS487" i="1"/>
  <c r="FO487" i="1"/>
  <c r="FJ487" i="1"/>
  <c r="FF487" i="1"/>
  <c r="FC487" i="1"/>
  <c r="EZ487" i="1"/>
  <c r="ET487" i="1"/>
  <c r="EL487" i="1"/>
  <c r="EI487" i="1"/>
  <c r="EC487" i="1"/>
  <c r="DW487" i="1"/>
  <c r="DS487" i="1"/>
  <c r="DP487" i="1"/>
  <c r="DM487" i="1"/>
  <c r="DI487" i="1"/>
  <c r="DD487" i="1"/>
  <c r="CX487" i="1"/>
  <c r="CP487" i="1"/>
  <c r="CO487" i="1"/>
  <c r="CI487" i="1"/>
  <c r="CC487" i="1"/>
  <c r="BZ487" i="1"/>
  <c r="BV487" i="1"/>
  <c r="BU487" i="1"/>
  <c r="BK487" i="1"/>
  <c r="BH487" i="1"/>
  <c r="BD487" i="1"/>
  <c r="AZ487" i="1"/>
  <c r="AV487" i="1"/>
  <c r="AP487" i="1"/>
  <c r="AL487" i="1"/>
  <c r="AJ487" i="1"/>
  <c r="AC487" i="1"/>
  <c r="X487" i="1"/>
  <c r="U487" i="1"/>
  <c r="T487" i="1"/>
  <c r="F487" i="1"/>
  <c r="GE486" i="1"/>
  <c r="GB486" i="1"/>
  <c r="FW486" i="1"/>
  <c r="FV486" i="1"/>
  <c r="FS486" i="1"/>
  <c r="FO486" i="1"/>
  <c r="FJ486" i="1"/>
  <c r="FF486" i="1"/>
  <c r="FC486" i="1"/>
  <c r="EZ486" i="1"/>
  <c r="ET486" i="1"/>
  <c r="EL486" i="1"/>
  <c r="EI486" i="1"/>
  <c r="EC486" i="1"/>
  <c r="DW486" i="1"/>
  <c r="DS486" i="1"/>
  <c r="DP486" i="1"/>
  <c r="DM486" i="1"/>
  <c r="DI486" i="1"/>
  <c r="DD486" i="1"/>
  <c r="CX486" i="1"/>
  <c r="CP486" i="1"/>
  <c r="CO486" i="1"/>
  <c r="CI486" i="1"/>
  <c r="CC486" i="1"/>
  <c r="BZ486" i="1"/>
  <c r="BV486" i="1"/>
  <c r="BU486" i="1"/>
  <c r="BK486" i="1"/>
  <c r="BH486" i="1"/>
  <c r="BD486" i="1"/>
  <c r="AZ486" i="1"/>
  <c r="AV486" i="1"/>
  <c r="AP486" i="1"/>
  <c r="AL486" i="1"/>
  <c r="AJ486" i="1"/>
  <c r="AC486" i="1"/>
  <c r="X486" i="1"/>
  <c r="U486" i="1"/>
  <c r="T486" i="1"/>
  <c r="F486" i="1"/>
  <c r="GE485" i="1"/>
  <c r="GB485" i="1"/>
  <c r="FW485" i="1"/>
  <c r="FV485" i="1"/>
  <c r="FS485" i="1"/>
  <c r="FO485" i="1"/>
  <c r="FJ485" i="1"/>
  <c r="FF485" i="1"/>
  <c r="FC485" i="1"/>
  <c r="EZ485" i="1"/>
  <c r="ET485" i="1"/>
  <c r="EL485" i="1"/>
  <c r="EI485" i="1"/>
  <c r="EC485" i="1"/>
  <c r="DW485" i="1"/>
  <c r="DS485" i="1"/>
  <c r="DP485" i="1"/>
  <c r="DM485" i="1"/>
  <c r="DI485" i="1"/>
  <c r="DD485" i="1"/>
  <c r="CX485" i="1"/>
  <c r="CP485" i="1"/>
  <c r="CO485" i="1"/>
  <c r="CI485" i="1"/>
  <c r="CC485" i="1"/>
  <c r="BZ485" i="1"/>
  <c r="BV485" i="1"/>
  <c r="BU485" i="1"/>
  <c r="BK485" i="1"/>
  <c r="BH485" i="1"/>
  <c r="BD485" i="1"/>
  <c r="AZ485" i="1"/>
  <c r="AV485" i="1"/>
  <c r="AP485" i="1"/>
  <c r="AL485" i="1"/>
  <c r="AJ485" i="1"/>
  <c r="AC485" i="1"/>
  <c r="X485" i="1"/>
  <c r="U485" i="1"/>
  <c r="T485" i="1"/>
  <c r="F485" i="1"/>
  <c r="GE484" i="1"/>
  <c r="GB484" i="1"/>
  <c r="FW484" i="1"/>
  <c r="FV484" i="1"/>
  <c r="FS484" i="1"/>
  <c r="FO484" i="1"/>
  <c r="FJ484" i="1"/>
  <c r="FF484" i="1"/>
  <c r="FC484" i="1"/>
  <c r="EZ484" i="1"/>
  <c r="ET484" i="1"/>
  <c r="EL484" i="1"/>
  <c r="EI484" i="1"/>
  <c r="EC484" i="1"/>
  <c r="DW484" i="1"/>
  <c r="DS484" i="1"/>
  <c r="DP484" i="1"/>
  <c r="DM484" i="1"/>
  <c r="DI484" i="1"/>
  <c r="DD484" i="1"/>
  <c r="CX484" i="1"/>
  <c r="CP484" i="1"/>
  <c r="CO484" i="1"/>
  <c r="CI484" i="1"/>
  <c r="CC484" i="1"/>
  <c r="BZ484" i="1"/>
  <c r="BV484" i="1"/>
  <c r="BU484" i="1"/>
  <c r="BK484" i="1"/>
  <c r="BH484" i="1"/>
  <c r="BD484" i="1"/>
  <c r="AZ484" i="1"/>
  <c r="AV484" i="1"/>
  <c r="AP484" i="1"/>
  <c r="AL484" i="1"/>
  <c r="AJ484" i="1"/>
  <c r="AC484" i="1"/>
  <c r="X484" i="1"/>
  <c r="U484" i="1"/>
  <c r="T484" i="1"/>
  <c r="F484" i="1"/>
  <c r="GE483" i="1"/>
  <c r="GB483" i="1"/>
  <c r="FW483" i="1"/>
  <c r="FV483" i="1"/>
  <c r="FS483" i="1"/>
  <c r="FO483" i="1"/>
  <c r="FJ483" i="1"/>
  <c r="FF483" i="1"/>
  <c r="FC483" i="1"/>
  <c r="EZ483" i="1"/>
  <c r="ET483" i="1"/>
  <c r="EL483" i="1"/>
  <c r="EI483" i="1"/>
  <c r="EC483" i="1"/>
  <c r="DW483" i="1"/>
  <c r="DS483" i="1"/>
  <c r="DP483" i="1"/>
  <c r="DM483" i="1"/>
  <c r="DI483" i="1"/>
  <c r="DD483" i="1"/>
  <c r="CX483" i="1"/>
  <c r="CP483" i="1"/>
  <c r="CO483" i="1"/>
  <c r="CI483" i="1"/>
  <c r="CC483" i="1"/>
  <c r="BZ483" i="1"/>
  <c r="BV483" i="1"/>
  <c r="BU483" i="1"/>
  <c r="BK483" i="1"/>
  <c r="BH483" i="1"/>
  <c r="BD483" i="1"/>
  <c r="AZ483" i="1"/>
  <c r="AV483" i="1"/>
  <c r="AP483" i="1"/>
  <c r="AL483" i="1"/>
  <c r="AJ483" i="1"/>
  <c r="AC483" i="1"/>
  <c r="X483" i="1"/>
  <c r="U483" i="1"/>
  <c r="T483" i="1"/>
  <c r="F483" i="1"/>
  <c r="GE482" i="1"/>
  <c r="GB482" i="1"/>
  <c r="FW482" i="1"/>
  <c r="FV482" i="1"/>
  <c r="FS482" i="1"/>
  <c r="FO482" i="1"/>
  <c r="FJ482" i="1"/>
  <c r="FF482" i="1"/>
  <c r="FC482" i="1"/>
  <c r="EZ482" i="1"/>
  <c r="ET482" i="1"/>
  <c r="EL482" i="1"/>
  <c r="EI482" i="1"/>
  <c r="EC482" i="1"/>
  <c r="DW482" i="1"/>
  <c r="DS482" i="1"/>
  <c r="DP482" i="1"/>
  <c r="DM482" i="1"/>
  <c r="DI482" i="1"/>
  <c r="DD482" i="1"/>
  <c r="CX482" i="1"/>
  <c r="CP482" i="1"/>
  <c r="CO482" i="1"/>
  <c r="CI482" i="1"/>
  <c r="CC482" i="1"/>
  <c r="BZ482" i="1"/>
  <c r="BV482" i="1"/>
  <c r="BU482" i="1"/>
  <c r="BK482" i="1"/>
  <c r="BH482" i="1"/>
  <c r="BD482" i="1"/>
  <c r="AZ482" i="1"/>
  <c r="AV482" i="1"/>
  <c r="AP482" i="1"/>
  <c r="AL482" i="1"/>
  <c r="AJ482" i="1"/>
  <c r="AC482" i="1"/>
  <c r="X482" i="1"/>
  <c r="U482" i="1"/>
  <c r="T482" i="1"/>
  <c r="F482" i="1"/>
  <c r="GE481" i="1"/>
  <c r="GB481" i="1"/>
  <c r="FW481" i="1"/>
  <c r="FV481" i="1"/>
  <c r="FS481" i="1"/>
  <c r="FO481" i="1"/>
  <c r="FJ481" i="1"/>
  <c r="FF481" i="1"/>
  <c r="FC481" i="1"/>
  <c r="EZ481" i="1"/>
  <c r="ET481" i="1"/>
  <c r="EL481" i="1"/>
  <c r="EI481" i="1"/>
  <c r="EC481" i="1"/>
  <c r="DW481" i="1"/>
  <c r="DS481" i="1"/>
  <c r="DP481" i="1"/>
  <c r="DM481" i="1"/>
  <c r="DI481" i="1"/>
  <c r="DD481" i="1"/>
  <c r="CX481" i="1"/>
  <c r="CP481" i="1"/>
  <c r="CO481" i="1"/>
  <c r="CI481" i="1"/>
  <c r="CC481" i="1"/>
  <c r="BZ481" i="1"/>
  <c r="BV481" i="1"/>
  <c r="BU481" i="1"/>
  <c r="BK481" i="1"/>
  <c r="BH481" i="1"/>
  <c r="BD481" i="1"/>
  <c r="AZ481" i="1"/>
  <c r="AV481" i="1"/>
  <c r="AP481" i="1"/>
  <c r="AL481" i="1"/>
  <c r="AJ481" i="1"/>
  <c r="AC481" i="1"/>
  <c r="X481" i="1"/>
  <c r="U481" i="1"/>
  <c r="T481" i="1"/>
  <c r="F481" i="1"/>
  <c r="GE480" i="1"/>
  <c r="GB480" i="1"/>
  <c r="FW480" i="1"/>
  <c r="FV480" i="1"/>
  <c r="FS480" i="1"/>
  <c r="FO480" i="1"/>
  <c r="FJ480" i="1"/>
  <c r="FF480" i="1"/>
  <c r="FC480" i="1"/>
  <c r="EZ480" i="1"/>
  <c r="ET480" i="1"/>
  <c r="EL480" i="1"/>
  <c r="EI480" i="1"/>
  <c r="EC480" i="1"/>
  <c r="DW480" i="1"/>
  <c r="DS480" i="1"/>
  <c r="DP480" i="1"/>
  <c r="DM480" i="1"/>
  <c r="DI480" i="1"/>
  <c r="DD480" i="1"/>
  <c r="CX480" i="1"/>
  <c r="CP480" i="1"/>
  <c r="CO480" i="1"/>
  <c r="CI480" i="1"/>
  <c r="CC480" i="1"/>
  <c r="BZ480" i="1"/>
  <c r="BV480" i="1"/>
  <c r="BU480" i="1"/>
  <c r="BK480" i="1"/>
  <c r="BH480" i="1"/>
  <c r="BD480" i="1"/>
  <c r="AZ480" i="1"/>
  <c r="AV480" i="1"/>
  <c r="AP480" i="1"/>
  <c r="AL480" i="1"/>
  <c r="AJ480" i="1"/>
  <c r="AC480" i="1"/>
  <c r="X480" i="1"/>
  <c r="U480" i="1"/>
  <c r="T480" i="1"/>
  <c r="F480" i="1"/>
  <c r="GE479" i="1"/>
  <c r="GB479" i="1"/>
  <c r="FW479" i="1"/>
  <c r="FV479" i="1"/>
  <c r="FS479" i="1"/>
  <c r="FO479" i="1"/>
  <c r="FJ479" i="1"/>
  <c r="FF479" i="1"/>
  <c r="FC479" i="1"/>
  <c r="EZ479" i="1"/>
  <c r="ET479" i="1"/>
  <c r="EL479" i="1"/>
  <c r="EI479" i="1"/>
  <c r="EC479" i="1"/>
  <c r="DW479" i="1"/>
  <c r="DS479" i="1"/>
  <c r="DP479" i="1"/>
  <c r="DM479" i="1"/>
  <c r="DI479" i="1"/>
  <c r="DD479" i="1"/>
  <c r="CX479" i="1"/>
  <c r="CP479" i="1"/>
  <c r="CO479" i="1"/>
  <c r="CI479" i="1"/>
  <c r="CC479" i="1"/>
  <c r="BZ479" i="1"/>
  <c r="BV479" i="1"/>
  <c r="BU479" i="1"/>
  <c r="BK479" i="1"/>
  <c r="BH479" i="1"/>
  <c r="BD479" i="1"/>
  <c r="AZ479" i="1"/>
  <c r="AV479" i="1"/>
  <c r="AP479" i="1"/>
  <c r="AL479" i="1"/>
  <c r="AJ479" i="1"/>
  <c r="AC479" i="1"/>
  <c r="X479" i="1"/>
  <c r="U479" i="1"/>
  <c r="T479" i="1"/>
  <c r="F479" i="1"/>
  <c r="GE478" i="1"/>
  <c r="GB478" i="1"/>
  <c r="FW478" i="1"/>
  <c r="FV478" i="1"/>
  <c r="FS478" i="1"/>
  <c r="FO478" i="1"/>
  <c r="FJ478" i="1"/>
  <c r="FF478" i="1"/>
  <c r="FC478" i="1"/>
  <c r="EZ478" i="1"/>
  <c r="ET478" i="1"/>
  <c r="EL478" i="1"/>
  <c r="EI478" i="1"/>
  <c r="EC478" i="1"/>
  <c r="DW478" i="1"/>
  <c r="DS478" i="1"/>
  <c r="DP478" i="1"/>
  <c r="DM478" i="1"/>
  <c r="DI478" i="1"/>
  <c r="DD478" i="1"/>
  <c r="CX478" i="1"/>
  <c r="CP478" i="1"/>
  <c r="CO478" i="1"/>
  <c r="CI478" i="1"/>
  <c r="CC478" i="1"/>
  <c r="BZ478" i="1"/>
  <c r="BV478" i="1"/>
  <c r="BU478" i="1"/>
  <c r="BK478" i="1"/>
  <c r="BH478" i="1"/>
  <c r="BD478" i="1"/>
  <c r="AZ478" i="1"/>
  <c r="AV478" i="1"/>
  <c r="AP478" i="1"/>
  <c r="AL478" i="1"/>
  <c r="AJ478" i="1"/>
  <c r="AC478" i="1"/>
  <c r="X478" i="1"/>
  <c r="U478" i="1"/>
  <c r="T478" i="1"/>
  <c r="F478" i="1"/>
  <c r="GE477" i="1"/>
  <c r="GB477" i="1"/>
  <c r="FW477" i="1"/>
  <c r="FV477" i="1"/>
  <c r="FS477" i="1"/>
  <c r="FO477" i="1"/>
  <c r="FJ477" i="1"/>
  <c r="FF477" i="1"/>
  <c r="FC477" i="1"/>
  <c r="EZ477" i="1"/>
  <c r="ET477" i="1"/>
  <c r="EL477" i="1"/>
  <c r="EI477" i="1"/>
  <c r="EC477" i="1"/>
  <c r="DW477" i="1"/>
  <c r="DS477" i="1"/>
  <c r="DP477" i="1"/>
  <c r="DM477" i="1"/>
  <c r="DI477" i="1"/>
  <c r="DD477" i="1"/>
  <c r="CX477" i="1"/>
  <c r="CP477" i="1"/>
  <c r="CO477" i="1"/>
  <c r="CI477" i="1"/>
  <c r="CC477" i="1"/>
  <c r="BZ477" i="1"/>
  <c r="BV477" i="1"/>
  <c r="BU477" i="1"/>
  <c r="BK477" i="1"/>
  <c r="BH477" i="1"/>
  <c r="BD477" i="1"/>
  <c r="AZ477" i="1"/>
  <c r="AV477" i="1"/>
  <c r="AP477" i="1"/>
  <c r="AL477" i="1"/>
  <c r="AJ477" i="1"/>
  <c r="AC477" i="1"/>
  <c r="X477" i="1"/>
  <c r="U477" i="1"/>
  <c r="T477" i="1"/>
  <c r="F477" i="1"/>
  <c r="GE476" i="1"/>
  <c r="GB476" i="1"/>
  <c r="FW476" i="1"/>
  <c r="FV476" i="1"/>
  <c r="FS476" i="1"/>
  <c r="FO476" i="1"/>
  <c r="FJ476" i="1"/>
  <c r="FF476" i="1"/>
  <c r="FC476" i="1"/>
  <c r="EZ476" i="1"/>
  <c r="ET476" i="1"/>
  <c r="EL476" i="1"/>
  <c r="EI476" i="1"/>
  <c r="EC476" i="1"/>
  <c r="DW476" i="1"/>
  <c r="DS476" i="1"/>
  <c r="DP476" i="1"/>
  <c r="DM476" i="1"/>
  <c r="DI476" i="1"/>
  <c r="DD476" i="1"/>
  <c r="CX476" i="1"/>
  <c r="CP476" i="1"/>
  <c r="CO476" i="1"/>
  <c r="CI476" i="1"/>
  <c r="CC476" i="1"/>
  <c r="BZ476" i="1"/>
  <c r="BV476" i="1"/>
  <c r="BU476" i="1"/>
  <c r="BK476" i="1"/>
  <c r="BH476" i="1"/>
  <c r="BD476" i="1"/>
  <c r="AZ476" i="1"/>
  <c r="AV476" i="1"/>
  <c r="AP476" i="1"/>
  <c r="AL476" i="1"/>
  <c r="AJ476" i="1"/>
  <c r="AC476" i="1"/>
  <c r="X476" i="1"/>
  <c r="U476" i="1"/>
  <c r="T476" i="1"/>
  <c r="F476" i="1"/>
  <c r="GE475" i="1"/>
  <c r="GB475" i="1"/>
  <c r="FW475" i="1"/>
  <c r="FV475" i="1"/>
  <c r="FS475" i="1"/>
  <c r="FO475" i="1"/>
  <c r="FJ475" i="1"/>
  <c r="FF475" i="1"/>
  <c r="FC475" i="1"/>
  <c r="EZ475" i="1"/>
  <c r="ET475" i="1"/>
  <c r="EL475" i="1"/>
  <c r="EI475" i="1"/>
  <c r="EC475" i="1"/>
  <c r="DW475" i="1"/>
  <c r="DS475" i="1"/>
  <c r="DP475" i="1"/>
  <c r="DM475" i="1"/>
  <c r="DI475" i="1"/>
  <c r="DD475" i="1"/>
  <c r="CX475" i="1"/>
  <c r="CP475" i="1"/>
  <c r="CO475" i="1"/>
  <c r="CI475" i="1"/>
  <c r="CC475" i="1"/>
  <c r="BZ475" i="1"/>
  <c r="BV475" i="1"/>
  <c r="BU475" i="1"/>
  <c r="BK475" i="1"/>
  <c r="BH475" i="1"/>
  <c r="BD475" i="1"/>
  <c r="AZ475" i="1"/>
  <c r="AV475" i="1"/>
  <c r="AP475" i="1"/>
  <c r="AL475" i="1"/>
  <c r="AJ475" i="1"/>
  <c r="AC475" i="1"/>
  <c r="X475" i="1"/>
  <c r="U475" i="1"/>
  <c r="T475" i="1"/>
  <c r="F475" i="1"/>
  <c r="GE474" i="1"/>
  <c r="GB474" i="1"/>
  <c r="FW474" i="1"/>
  <c r="FV474" i="1"/>
  <c r="FS474" i="1"/>
  <c r="FO474" i="1"/>
  <c r="FJ474" i="1"/>
  <c r="FF474" i="1"/>
  <c r="FC474" i="1"/>
  <c r="EZ474" i="1"/>
  <c r="ET474" i="1"/>
  <c r="EL474" i="1"/>
  <c r="EI474" i="1"/>
  <c r="EC474" i="1"/>
  <c r="DW474" i="1"/>
  <c r="DS474" i="1"/>
  <c r="DP474" i="1"/>
  <c r="DM474" i="1"/>
  <c r="DI474" i="1"/>
  <c r="DD474" i="1"/>
  <c r="CX474" i="1"/>
  <c r="CP474" i="1"/>
  <c r="CO474" i="1"/>
  <c r="CI474" i="1"/>
  <c r="CC474" i="1"/>
  <c r="BZ474" i="1"/>
  <c r="BV474" i="1"/>
  <c r="BU474" i="1"/>
  <c r="BK474" i="1"/>
  <c r="BH474" i="1"/>
  <c r="BD474" i="1"/>
  <c r="AZ474" i="1"/>
  <c r="AV474" i="1"/>
  <c r="AP474" i="1"/>
  <c r="AL474" i="1"/>
  <c r="AJ474" i="1"/>
  <c r="AC474" i="1"/>
  <c r="X474" i="1"/>
  <c r="U474" i="1"/>
  <c r="T474" i="1"/>
  <c r="F474" i="1"/>
  <c r="GE473" i="1"/>
  <c r="GB473" i="1"/>
  <c r="FW473" i="1"/>
  <c r="FV473" i="1"/>
  <c r="FS473" i="1"/>
  <c r="FO473" i="1"/>
  <c r="FJ473" i="1"/>
  <c r="FF473" i="1"/>
  <c r="FC473" i="1"/>
  <c r="EZ473" i="1"/>
  <c r="ET473" i="1"/>
  <c r="EL473" i="1"/>
  <c r="EI473" i="1"/>
  <c r="EC473" i="1"/>
  <c r="DW473" i="1"/>
  <c r="DS473" i="1"/>
  <c r="DP473" i="1"/>
  <c r="DM473" i="1"/>
  <c r="DI473" i="1"/>
  <c r="DD473" i="1"/>
  <c r="CX473" i="1"/>
  <c r="CP473" i="1"/>
  <c r="CO473" i="1"/>
  <c r="CI473" i="1"/>
  <c r="CC473" i="1"/>
  <c r="BZ473" i="1"/>
  <c r="BV473" i="1"/>
  <c r="BU473" i="1"/>
  <c r="BK473" i="1"/>
  <c r="BH473" i="1"/>
  <c r="BD473" i="1"/>
  <c r="AZ473" i="1"/>
  <c r="AV473" i="1"/>
  <c r="AP473" i="1"/>
  <c r="AL473" i="1"/>
  <c r="AJ473" i="1"/>
  <c r="AC473" i="1"/>
  <c r="X473" i="1"/>
  <c r="U473" i="1"/>
  <c r="T473" i="1"/>
  <c r="F473" i="1"/>
  <c r="GE472" i="1"/>
  <c r="GB472" i="1"/>
  <c r="FW472" i="1"/>
  <c r="FV472" i="1"/>
  <c r="FS472" i="1"/>
  <c r="FO472" i="1"/>
  <c r="FJ472" i="1"/>
  <c r="FF472" i="1"/>
  <c r="FC472" i="1"/>
  <c r="EZ472" i="1"/>
  <c r="ET472" i="1"/>
  <c r="EL472" i="1"/>
  <c r="EI472" i="1"/>
  <c r="EC472" i="1"/>
  <c r="DW472" i="1"/>
  <c r="DS472" i="1"/>
  <c r="DP472" i="1"/>
  <c r="DM472" i="1"/>
  <c r="DI472" i="1"/>
  <c r="DD472" i="1"/>
  <c r="CX472" i="1"/>
  <c r="CP472" i="1"/>
  <c r="CO472" i="1"/>
  <c r="CI472" i="1"/>
  <c r="CC472" i="1"/>
  <c r="BZ472" i="1"/>
  <c r="BV472" i="1"/>
  <c r="BU472" i="1"/>
  <c r="BK472" i="1"/>
  <c r="BH472" i="1"/>
  <c r="BD472" i="1"/>
  <c r="AZ472" i="1"/>
  <c r="AV472" i="1"/>
  <c r="AP472" i="1"/>
  <c r="AL472" i="1"/>
  <c r="AJ472" i="1"/>
  <c r="AC472" i="1"/>
  <c r="X472" i="1"/>
  <c r="U472" i="1"/>
  <c r="T472" i="1"/>
  <c r="F472" i="1"/>
  <c r="GE471" i="1"/>
  <c r="GB471" i="1"/>
  <c r="FW471" i="1"/>
  <c r="FV471" i="1"/>
  <c r="FS471" i="1"/>
  <c r="FO471" i="1"/>
  <c r="FJ471" i="1"/>
  <c r="FF471" i="1"/>
  <c r="FC471" i="1"/>
  <c r="EZ471" i="1"/>
  <c r="ET471" i="1"/>
  <c r="EL471" i="1"/>
  <c r="EI471" i="1"/>
  <c r="EC471" i="1"/>
  <c r="DW471" i="1"/>
  <c r="DS471" i="1"/>
  <c r="DP471" i="1"/>
  <c r="DM471" i="1"/>
  <c r="DI471" i="1"/>
  <c r="DD471" i="1"/>
  <c r="CX471" i="1"/>
  <c r="CP471" i="1"/>
  <c r="CO471" i="1"/>
  <c r="CI471" i="1"/>
  <c r="CC471" i="1"/>
  <c r="BZ471" i="1"/>
  <c r="BV471" i="1"/>
  <c r="BU471" i="1"/>
  <c r="BK471" i="1"/>
  <c r="BH471" i="1"/>
  <c r="BD471" i="1"/>
  <c r="AZ471" i="1"/>
  <c r="AV471" i="1"/>
  <c r="AP471" i="1"/>
  <c r="AL471" i="1"/>
  <c r="AJ471" i="1"/>
  <c r="AC471" i="1"/>
  <c r="X471" i="1"/>
  <c r="U471" i="1"/>
  <c r="T471" i="1"/>
  <c r="F471" i="1"/>
  <c r="GE470" i="1"/>
  <c r="GB470" i="1"/>
  <c r="FW470" i="1"/>
  <c r="FV470" i="1"/>
  <c r="FS470" i="1"/>
  <c r="FO470" i="1"/>
  <c r="FJ470" i="1"/>
  <c r="FF470" i="1"/>
  <c r="FC470" i="1"/>
  <c r="EZ470" i="1"/>
  <c r="ET470" i="1"/>
  <c r="EL470" i="1"/>
  <c r="EI470" i="1"/>
  <c r="EC470" i="1"/>
  <c r="DW470" i="1"/>
  <c r="DS470" i="1"/>
  <c r="DP470" i="1"/>
  <c r="DM470" i="1"/>
  <c r="DI470" i="1"/>
  <c r="DD470" i="1"/>
  <c r="CX470" i="1"/>
  <c r="CP470" i="1"/>
  <c r="CO470" i="1"/>
  <c r="CI470" i="1"/>
  <c r="CC470" i="1"/>
  <c r="BZ470" i="1"/>
  <c r="BV470" i="1"/>
  <c r="BU470" i="1"/>
  <c r="BK470" i="1"/>
  <c r="BH470" i="1"/>
  <c r="BD470" i="1"/>
  <c r="AZ470" i="1"/>
  <c r="AV470" i="1"/>
  <c r="AP470" i="1"/>
  <c r="AL470" i="1"/>
  <c r="AJ470" i="1"/>
  <c r="AC470" i="1"/>
  <c r="X470" i="1"/>
  <c r="U470" i="1"/>
  <c r="T470" i="1"/>
  <c r="F470" i="1"/>
  <c r="GE469" i="1"/>
  <c r="GB469" i="1"/>
  <c r="FW469" i="1"/>
  <c r="FV469" i="1"/>
  <c r="FS469" i="1"/>
  <c r="FO469" i="1"/>
  <c r="FJ469" i="1"/>
  <c r="FF469" i="1"/>
  <c r="FC469" i="1"/>
  <c r="EZ469" i="1"/>
  <c r="ET469" i="1"/>
  <c r="EL469" i="1"/>
  <c r="EI469" i="1"/>
  <c r="EC469" i="1"/>
  <c r="DW469" i="1"/>
  <c r="DS469" i="1"/>
  <c r="DP469" i="1"/>
  <c r="DM469" i="1"/>
  <c r="DI469" i="1"/>
  <c r="DD469" i="1"/>
  <c r="CX469" i="1"/>
  <c r="CP469" i="1"/>
  <c r="CO469" i="1"/>
  <c r="CI469" i="1"/>
  <c r="CC469" i="1"/>
  <c r="BZ469" i="1"/>
  <c r="BV469" i="1"/>
  <c r="BU469" i="1"/>
  <c r="BK469" i="1"/>
  <c r="BH469" i="1"/>
  <c r="BD469" i="1"/>
  <c r="AZ469" i="1"/>
  <c r="AV469" i="1"/>
  <c r="AP469" i="1"/>
  <c r="AL469" i="1"/>
  <c r="AJ469" i="1"/>
  <c r="AC469" i="1"/>
  <c r="X469" i="1"/>
  <c r="U469" i="1"/>
  <c r="T469" i="1"/>
  <c r="F469" i="1"/>
  <c r="GE468" i="1"/>
  <c r="GB468" i="1"/>
  <c r="FW468" i="1"/>
  <c r="FV468" i="1"/>
  <c r="FS468" i="1"/>
  <c r="FO468" i="1"/>
  <c r="FJ468" i="1"/>
  <c r="FF468" i="1"/>
  <c r="FC468" i="1"/>
  <c r="EZ468" i="1"/>
  <c r="ET468" i="1"/>
  <c r="EL468" i="1"/>
  <c r="EI468" i="1"/>
  <c r="EC468" i="1"/>
  <c r="DW468" i="1"/>
  <c r="DS468" i="1"/>
  <c r="DP468" i="1"/>
  <c r="DM468" i="1"/>
  <c r="DI468" i="1"/>
  <c r="DD468" i="1"/>
  <c r="CX468" i="1"/>
  <c r="CP468" i="1"/>
  <c r="CO468" i="1"/>
  <c r="CI468" i="1"/>
  <c r="CC468" i="1"/>
  <c r="BZ468" i="1"/>
  <c r="BV468" i="1"/>
  <c r="BU468" i="1"/>
  <c r="BK468" i="1"/>
  <c r="BH468" i="1"/>
  <c r="BD468" i="1"/>
  <c r="AZ468" i="1"/>
  <c r="AV468" i="1"/>
  <c r="AP468" i="1"/>
  <c r="AL468" i="1"/>
  <c r="AJ468" i="1"/>
  <c r="AC468" i="1"/>
  <c r="X468" i="1"/>
  <c r="U468" i="1"/>
  <c r="T468" i="1"/>
  <c r="F468" i="1"/>
  <c r="GE467" i="1"/>
  <c r="GB467" i="1"/>
  <c r="FW467" i="1"/>
  <c r="FV467" i="1"/>
  <c r="FS467" i="1"/>
  <c r="FO467" i="1"/>
  <c r="FJ467" i="1"/>
  <c r="FF467" i="1"/>
  <c r="FC467" i="1"/>
  <c r="EZ467" i="1"/>
  <c r="ET467" i="1"/>
  <c r="EL467" i="1"/>
  <c r="EI467" i="1"/>
  <c r="EC467" i="1"/>
  <c r="DW467" i="1"/>
  <c r="DS467" i="1"/>
  <c r="DP467" i="1"/>
  <c r="DM467" i="1"/>
  <c r="DI467" i="1"/>
  <c r="DD467" i="1"/>
  <c r="CX467" i="1"/>
  <c r="CP467" i="1"/>
  <c r="CO467" i="1"/>
  <c r="CI467" i="1"/>
  <c r="CC467" i="1"/>
  <c r="BZ467" i="1"/>
  <c r="BV467" i="1"/>
  <c r="BU467" i="1"/>
  <c r="BK467" i="1"/>
  <c r="BH467" i="1"/>
  <c r="BD467" i="1"/>
  <c r="AZ467" i="1"/>
  <c r="AV467" i="1"/>
  <c r="AP467" i="1"/>
  <c r="AL467" i="1"/>
  <c r="AJ467" i="1"/>
  <c r="AC467" i="1"/>
  <c r="X467" i="1"/>
  <c r="U467" i="1"/>
  <c r="T467" i="1"/>
  <c r="F467" i="1"/>
  <c r="GE466" i="1"/>
  <c r="GB466" i="1"/>
  <c r="FW466" i="1"/>
  <c r="FV466" i="1"/>
  <c r="FS466" i="1"/>
  <c r="FO466" i="1"/>
  <c r="FJ466" i="1"/>
  <c r="FF466" i="1"/>
  <c r="FC466" i="1"/>
  <c r="EZ466" i="1"/>
  <c r="ET466" i="1"/>
  <c r="EL466" i="1"/>
  <c r="EI466" i="1"/>
  <c r="EC466" i="1"/>
  <c r="DW466" i="1"/>
  <c r="DS466" i="1"/>
  <c r="DP466" i="1"/>
  <c r="DM466" i="1"/>
  <c r="DI466" i="1"/>
  <c r="DD466" i="1"/>
  <c r="CX466" i="1"/>
  <c r="CP466" i="1"/>
  <c r="CO466" i="1"/>
  <c r="CI466" i="1"/>
  <c r="CC466" i="1"/>
  <c r="BZ466" i="1"/>
  <c r="BV466" i="1"/>
  <c r="BU466" i="1"/>
  <c r="BK466" i="1"/>
  <c r="BH466" i="1"/>
  <c r="BD466" i="1"/>
  <c r="AZ466" i="1"/>
  <c r="AV466" i="1"/>
  <c r="AP466" i="1"/>
  <c r="AL466" i="1"/>
  <c r="AJ466" i="1"/>
  <c r="AC466" i="1"/>
  <c r="X466" i="1"/>
  <c r="U466" i="1"/>
  <c r="T466" i="1"/>
  <c r="F466" i="1"/>
  <c r="GE465" i="1"/>
  <c r="GB465" i="1"/>
  <c r="FW465" i="1"/>
  <c r="FV465" i="1"/>
  <c r="FS465" i="1"/>
  <c r="FO465" i="1"/>
  <c r="FJ465" i="1"/>
  <c r="FF465" i="1"/>
  <c r="FC465" i="1"/>
  <c r="EZ465" i="1"/>
  <c r="ET465" i="1"/>
  <c r="EL465" i="1"/>
  <c r="EI465" i="1"/>
  <c r="EC465" i="1"/>
  <c r="DW465" i="1"/>
  <c r="DS465" i="1"/>
  <c r="DP465" i="1"/>
  <c r="DM465" i="1"/>
  <c r="DI465" i="1"/>
  <c r="DD465" i="1"/>
  <c r="CX465" i="1"/>
  <c r="CP465" i="1"/>
  <c r="CO465" i="1"/>
  <c r="CI465" i="1"/>
  <c r="CC465" i="1"/>
  <c r="BZ465" i="1"/>
  <c r="BV465" i="1"/>
  <c r="BU465" i="1"/>
  <c r="BK465" i="1"/>
  <c r="BH465" i="1"/>
  <c r="BD465" i="1"/>
  <c r="AZ465" i="1"/>
  <c r="AV465" i="1"/>
  <c r="AP465" i="1"/>
  <c r="AL465" i="1"/>
  <c r="AJ465" i="1"/>
  <c r="AC465" i="1"/>
  <c r="X465" i="1"/>
  <c r="U465" i="1"/>
  <c r="T465" i="1"/>
  <c r="F465" i="1"/>
  <c r="GE464" i="1"/>
  <c r="GB464" i="1"/>
  <c r="FW464" i="1"/>
  <c r="FV464" i="1"/>
  <c r="FS464" i="1"/>
  <c r="FO464" i="1"/>
  <c r="FJ464" i="1"/>
  <c r="FF464" i="1"/>
  <c r="FC464" i="1"/>
  <c r="EZ464" i="1"/>
  <c r="ET464" i="1"/>
  <c r="EL464" i="1"/>
  <c r="EI464" i="1"/>
  <c r="EC464" i="1"/>
  <c r="DW464" i="1"/>
  <c r="DS464" i="1"/>
  <c r="DP464" i="1"/>
  <c r="DM464" i="1"/>
  <c r="DI464" i="1"/>
  <c r="DD464" i="1"/>
  <c r="CX464" i="1"/>
  <c r="CP464" i="1"/>
  <c r="CO464" i="1"/>
  <c r="CI464" i="1"/>
  <c r="CC464" i="1"/>
  <c r="BZ464" i="1"/>
  <c r="BV464" i="1"/>
  <c r="BU464" i="1"/>
  <c r="BK464" i="1"/>
  <c r="BH464" i="1"/>
  <c r="BD464" i="1"/>
  <c r="AZ464" i="1"/>
  <c r="AV464" i="1"/>
  <c r="AP464" i="1"/>
  <c r="AL464" i="1"/>
  <c r="AJ464" i="1"/>
  <c r="AC464" i="1"/>
  <c r="X464" i="1"/>
  <c r="U464" i="1"/>
  <c r="T464" i="1"/>
  <c r="F464" i="1"/>
  <c r="GE463" i="1"/>
  <c r="GB463" i="1"/>
  <c r="FW463" i="1"/>
  <c r="FV463" i="1"/>
  <c r="FS463" i="1"/>
  <c r="FO463" i="1"/>
  <c r="FJ463" i="1"/>
  <c r="FF463" i="1"/>
  <c r="FC463" i="1"/>
  <c r="EZ463" i="1"/>
  <c r="ET463" i="1"/>
  <c r="EL463" i="1"/>
  <c r="EI463" i="1"/>
  <c r="EC463" i="1"/>
  <c r="DW463" i="1"/>
  <c r="DS463" i="1"/>
  <c r="DP463" i="1"/>
  <c r="DM463" i="1"/>
  <c r="DI463" i="1"/>
  <c r="DD463" i="1"/>
  <c r="CX463" i="1"/>
  <c r="CP463" i="1"/>
  <c r="CO463" i="1"/>
  <c r="CI463" i="1"/>
  <c r="CC463" i="1"/>
  <c r="BZ463" i="1"/>
  <c r="BV463" i="1"/>
  <c r="BU463" i="1"/>
  <c r="BK463" i="1"/>
  <c r="BH463" i="1"/>
  <c r="BD463" i="1"/>
  <c r="AZ463" i="1"/>
  <c r="AV463" i="1"/>
  <c r="AP463" i="1"/>
  <c r="AL463" i="1"/>
  <c r="AJ463" i="1"/>
  <c r="AC463" i="1"/>
  <c r="X463" i="1"/>
  <c r="U463" i="1"/>
  <c r="T463" i="1"/>
  <c r="F463" i="1"/>
  <c r="GE462" i="1"/>
  <c r="GB462" i="1"/>
  <c r="FW462" i="1"/>
  <c r="FV462" i="1"/>
  <c r="FS462" i="1"/>
  <c r="FO462" i="1"/>
  <c r="FJ462" i="1"/>
  <c r="FF462" i="1"/>
  <c r="FC462" i="1"/>
  <c r="EZ462" i="1"/>
  <c r="ET462" i="1"/>
  <c r="EL462" i="1"/>
  <c r="EI462" i="1"/>
  <c r="EC462" i="1"/>
  <c r="DW462" i="1"/>
  <c r="DS462" i="1"/>
  <c r="DP462" i="1"/>
  <c r="DM462" i="1"/>
  <c r="DI462" i="1"/>
  <c r="DD462" i="1"/>
  <c r="CX462" i="1"/>
  <c r="CP462" i="1"/>
  <c r="CO462" i="1"/>
  <c r="CI462" i="1"/>
  <c r="CC462" i="1"/>
  <c r="BZ462" i="1"/>
  <c r="BV462" i="1"/>
  <c r="BU462" i="1"/>
  <c r="BK462" i="1"/>
  <c r="BH462" i="1"/>
  <c r="BD462" i="1"/>
  <c r="AZ462" i="1"/>
  <c r="AV462" i="1"/>
  <c r="AP462" i="1"/>
  <c r="AL462" i="1"/>
  <c r="AJ462" i="1"/>
  <c r="AC462" i="1"/>
  <c r="X462" i="1"/>
  <c r="U462" i="1"/>
  <c r="T462" i="1"/>
  <c r="F462" i="1"/>
  <c r="GE461" i="1"/>
  <c r="GB461" i="1"/>
  <c r="FW461" i="1"/>
  <c r="FV461" i="1"/>
  <c r="FS461" i="1"/>
  <c r="FO461" i="1"/>
  <c r="FJ461" i="1"/>
  <c r="FF461" i="1"/>
  <c r="FC461" i="1"/>
  <c r="EZ461" i="1"/>
  <c r="ET461" i="1"/>
  <c r="EL461" i="1"/>
  <c r="EI461" i="1"/>
  <c r="EC461" i="1"/>
  <c r="DW461" i="1"/>
  <c r="DS461" i="1"/>
  <c r="DP461" i="1"/>
  <c r="DM461" i="1"/>
  <c r="DI461" i="1"/>
  <c r="DD461" i="1"/>
  <c r="CX461" i="1"/>
  <c r="CP461" i="1"/>
  <c r="CO461" i="1"/>
  <c r="CI461" i="1"/>
  <c r="CC461" i="1"/>
  <c r="BZ461" i="1"/>
  <c r="BV461" i="1"/>
  <c r="BU461" i="1"/>
  <c r="BK461" i="1"/>
  <c r="BH461" i="1"/>
  <c r="BD461" i="1"/>
  <c r="AZ461" i="1"/>
  <c r="AV461" i="1"/>
  <c r="AP461" i="1"/>
  <c r="AL461" i="1"/>
  <c r="AJ461" i="1"/>
  <c r="AC461" i="1"/>
  <c r="X461" i="1"/>
  <c r="U461" i="1"/>
  <c r="T461" i="1"/>
  <c r="F461" i="1"/>
  <c r="GE460" i="1"/>
  <c r="GB460" i="1"/>
  <c r="FW460" i="1"/>
  <c r="FV460" i="1"/>
  <c r="FS460" i="1"/>
  <c r="FO460" i="1"/>
  <c r="FJ460" i="1"/>
  <c r="FF460" i="1"/>
  <c r="FC460" i="1"/>
  <c r="EZ460" i="1"/>
  <c r="ET460" i="1"/>
  <c r="EL460" i="1"/>
  <c r="EI460" i="1"/>
  <c r="EC460" i="1"/>
  <c r="DW460" i="1"/>
  <c r="DS460" i="1"/>
  <c r="DP460" i="1"/>
  <c r="DM460" i="1"/>
  <c r="DI460" i="1"/>
  <c r="DD460" i="1"/>
  <c r="CX460" i="1"/>
  <c r="CP460" i="1"/>
  <c r="CO460" i="1"/>
  <c r="CI460" i="1"/>
  <c r="CC460" i="1"/>
  <c r="BZ460" i="1"/>
  <c r="BV460" i="1"/>
  <c r="BU460" i="1"/>
  <c r="BK460" i="1"/>
  <c r="BH460" i="1"/>
  <c r="BD460" i="1"/>
  <c r="AZ460" i="1"/>
  <c r="AV460" i="1"/>
  <c r="AP460" i="1"/>
  <c r="AL460" i="1"/>
  <c r="AJ460" i="1"/>
  <c r="AC460" i="1"/>
  <c r="X460" i="1"/>
  <c r="U460" i="1"/>
  <c r="T460" i="1"/>
  <c r="F460" i="1"/>
  <c r="GE459" i="1"/>
  <c r="GB459" i="1"/>
  <c r="FW459" i="1"/>
  <c r="FV459" i="1"/>
  <c r="FS459" i="1"/>
  <c r="FO459" i="1"/>
  <c r="FJ459" i="1"/>
  <c r="FF459" i="1"/>
  <c r="FC459" i="1"/>
  <c r="EZ459" i="1"/>
  <c r="ET459" i="1"/>
  <c r="EL459" i="1"/>
  <c r="EI459" i="1"/>
  <c r="EC459" i="1"/>
  <c r="DW459" i="1"/>
  <c r="DS459" i="1"/>
  <c r="DP459" i="1"/>
  <c r="DM459" i="1"/>
  <c r="DI459" i="1"/>
  <c r="DD459" i="1"/>
  <c r="CX459" i="1"/>
  <c r="CP459" i="1"/>
  <c r="CO459" i="1"/>
  <c r="CI459" i="1"/>
  <c r="CC459" i="1"/>
  <c r="BZ459" i="1"/>
  <c r="BV459" i="1"/>
  <c r="BU459" i="1"/>
  <c r="BK459" i="1"/>
  <c r="BH459" i="1"/>
  <c r="BD459" i="1"/>
  <c r="AZ459" i="1"/>
  <c r="AV459" i="1"/>
  <c r="AP459" i="1"/>
  <c r="AL459" i="1"/>
  <c r="AJ459" i="1"/>
  <c r="AC459" i="1"/>
  <c r="X459" i="1"/>
  <c r="U459" i="1"/>
  <c r="T459" i="1"/>
  <c r="F459" i="1"/>
  <c r="GE458" i="1"/>
  <c r="GB458" i="1"/>
  <c r="FW458" i="1"/>
  <c r="FV458" i="1"/>
  <c r="FS458" i="1"/>
  <c r="FO458" i="1"/>
  <c r="FJ458" i="1"/>
  <c r="FF458" i="1"/>
  <c r="FC458" i="1"/>
  <c r="EZ458" i="1"/>
  <c r="ET458" i="1"/>
  <c r="EL458" i="1"/>
  <c r="EI458" i="1"/>
  <c r="EC458" i="1"/>
  <c r="DW458" i="1"/>
  <c r="DS458" i="1"/>
  <c r="DP458" i="1"/>
  <c r="DM458" i="1"/>
  <c r="DI458" i="1"/>
  <c r="DD458" i="1"/>
  <c r="CX458" i="1"/>
  <c r="CP458" i="1"/>
  <c r="CO458" i="1"/>
  <c r="CI458" i="1"/>
  <c r="CC458" i="1"/>
  <c r="BZ458" i="1"/>
  <c r="BV458" i="1"/>
  <c r="BU458" i="1"/>
  <c r="BK458" i="1"/>
  <c r="BH458" i="1"/>
  <c r="BD458" i="1"/>
  <c r="AZ458" i="1"/>
  <c r="AV458" i="1"/>
  <c r="AP458" i="1"/>
  <c r="AL458" i="1"/>
  <c r="AJ458" i="1"/>
  <c r="AC458" i="1"/>
  <c r="X458" i="1"/>
  <c r="U458" i="1"/>
  <c r="T458" i="1"/>
  <c r="F458" i="1"/>
  <c r="GE457" i="1"/>
  <c r="GB457" i="1"/>
  <c r="FW457" i="1"/>
  <c r="FV457" i="1"/>
  <c r="FS457" i="1"/>
  <c r="FO457" i="1"/>
  <c r="FJ457" i="1"/>
  <c r="FF457" i="1"/>
  <c r="FC457" i="1"/>
  <c r="EZ457" i="1"/>
  <c r="ET457" i="1"/>
  <c r="EL457" i="1"/>
  <c r="EI457" i="1"/>
  <c r="EC457" i="1"/>
  <c r="DW457" i="1"/>
  <c r="DS457" i="1"/>
  <c r="DP457" i="1"/>
  <c r="DM457" i="1"/>
  <c r="DI457" i="1"/>
  <c r="DD457" i="1"/>
  <c r="CX457" i="1"/>
  <c r="CP457" i="1"/>
  <c r="CO457" i="1"/>
  <c r="CI457" i="1"/>
  <c r="CC457" i="1"/>
  <c r="BZ457" i="1"/>
  <c r="BV457" i="1"/>
  <c r="BU457" i="1"/>
  <c r="BK457" i="1"/>
  <c r="BH457" i="1"/>
  <c r="BD457" i="1"/>
  <c r="AZ457" i="1"/>
  <c r="AV457" i="1"/>
  <c r="AP457" i="1"/>
  <c r="AL457" i="1"/>
  <c r="AJ457" i="1"/>
  <c r="AC457" i="1"/>
  <c r="X457" i="1"/>
  <c r="U457" i="1"/>
  <c r="T457" i="1"/>
  <c r="F457" i="1"/>
  <c r="GE456" i="1"/>
  <c r="GB456" i="1"/>
  <c r="FW456" i="1"/>
  <c r="FV456" i="1"/>
  <c r="FS456" i="1"/>
  <c r="FO456" i="1"/>
  <c r="FJ456" i="1"/>
  <c r="FF456" i="1"/>
  <c r="FC456" i="1"/>
  <c r="EZ456" i="1"/>
  <c r="ET456" i="1"/>
  <c r="EL456" i="1"/>
  <c r="EI456" i="1"/>
  <c r="EC456" i="1"/>
  <c r="DW456" i="1"/>
  <c r="DS456" i="1"/>
  <c r="DP456" i="1"/>
  <c r="DM456" i="1"/>
  <c r="DI456" i="1"/>
  <c r="DD456" i="1"/>
  <c r="CX456" i="1"/>
  <c r="CP456" i="1"/>
  <c r="CO456" i="1"/>
  <c r="CI456" i="1"/>
  <c r="CC456" i="1"/>
  <c r="BZ456" i="1"/>
  <c r="BV456" i="1"/>
  <c r="BU456" i="1"/>
  <c r="BK456" i="1"/>
  <c r="BH456" i="1"/>
  <c r="BD456" i="1"/>
  <c r="AZ456" i="1"/>
  <c r="AV456" i="1"/>
  <c r="AP456" i="1"/>
  <c r="AL456" i="1"/>
  <c r="AJ456" i="1"/>
  <c r="AC456" i="1"/>
  <c r="X456" i="1"/>
  <c r="U456" i="1"/>
  <c r="T456" i="1"/>
  <c r="F456" i="1"/>
  <c r="GE455" i="1"/>
  <c r="GB455" i="1"/>
  <c r="FW455" i="1"/>
  <c r="FV455" i="1"/>
  <c r="FS455" i="1"/>
  <c r="FO455" i="1"/>
  <c r="FJ455" i="1"/>
  <c r="FF455" i="1"/>
  <c r="FC455" i="1"/>
  <c r="EZ455" i="1"/>
  <c r="ET455" i="1"/>
  <c r="EL455" i="1"/>
  <c r="EI455" i="1"/>
  <c r="EC455" i="1"/>
  <c r="DW455" i="1"/>
  <c r="DS455" i="1"/>
  <c r="DP455" i="1"/>
  <c r="DM455" i="1"/>
  <c r="DI455" i="1"/>
  <c r="DD455" i="1"/>
  <c r="CX455" i="1"/>
  <c r="CP455" i="1"/>
  <c r="CO455" i="1"/>
  <c r="CI455" i="1"/>
  <c r="CC455" i="1"/>
  <c r="BZ455" i="1"/>
  <c r="BV455" i="1"/>
  <c r="BU455" i="1"/>
  <c r="BK455" i="1"/>
  <c r="BH455" i="1"/>
  <c r="BD455" i="1"/>
  <c r="AZ455" i="1"/>
  <c r="AV455" i="1"/>
  <c r="AP455" i="1"/>
  <c r="AL455" i="1"/>
  <c r="AJ455" i="1"/>
  <c r="AC455" i="1"/>
  <c r="X455" i="1"/>
  <c r="U455" i="1"/>
  <c r="T455" i="1"/>
  <c r="F455" i="1"/>
  <c r="GE454" i="1"/>
  <c r="GB454" i="1"/>
  <c r="FW454" i="1"/>
  <c r="FV454" i="1"/>
  <c r="FS454" i="1"/>
  <c r="FO454" i="1"/>
  <c r="FJ454" i="1"/>
  <c r="FF454" i="1"/>
  <c r="FC454" i="1"/>
  <c r="EZ454" i="1"/>
  <c r="ET454" i="1"/>
  <c r="EL454" i="1"/>
  <c r="EI454" i="1"/>
  <c r="EC454" i="1"/>
  <c r="DW454" i="1"/>
  <c r="DS454" i="1"/>
  <c r="DP454" i="1"/>
  <c r="DM454" i="1"/>
  <c r="DI454" i="1"/>
  <c r="DD454" i="1"/>
  <c r="CX454" i="1"/>
  <c r="CP454" i="1"/>
  <c r="CO454" i="1"/>
  <c r="CI454" i="1"/>
  <c r="CC454" i="1"/>
  <c r="BZ454" i="1"/>
  <c r="BV454" i="1"/>
  <c r="BU454" i="1"/>
  <c r="BK454" i="1"/>
  <c r="BH454" i="1"/>
  <c r="BD454" i="1"/>
  <c r="AZ454" i="1"/>
  <c r="AV454" i="1"/>
  <c r="AP454" i="1"/>
  <c r="AL454" i="1"/>
  <c r="AJ454" i="1"/>
  <c r="AC454" i="1"/>
  <c r="X454" i="1"/>
  <c r="U454" i="1"/>
  <c r="T454" i="1"/>
  <c r="F454" i="1"/>
  <c r="GE453" i="1"/>
  <c r="GB453" i="1"/>
  <c r="FW453" i="1"/>
  <c r="FV453" i="1"/>
  <c r="FS453" i="1"/>
  <c r="FO453" i="1"/>
  <c r="FJ453" i="1"/>
  <c r="FF453" i="1"/>
  <c r="FC453" i="1"/>
  <c r="EZ453" i="1"/>
  <c r="ET453" i="1"/>
  <c r="EL453" i="1"/>
  <c r="EI453" i="1"/>
  <c r="EC453" i="1"/>
  <c r="DW453" i="1"/>
  <c r="DS453" i="1"/>
  <c r="DP453" i="1"/>
  <c r="DM453" i="1"/>
  <c r="DI453" i="1"/>
  <c r="DD453" i="1"/>
  <c r="CX453" i="1"/>
  <c r="CP453" i="1"/>
  <c r="CO453" i="1"/>
  <c r="CI453" i="1"/>
  <c r="CC453" i="1"/>
  <c r="BZ453" i="1"/>
  <c r="BV453" i="1"/>
  <c r="BU453" i="1"/>
  <c r="BK453" i="1"/>
  <c r="K451" i="4" s="1"/>
  <c r="BH453" i="1"/>
  <c r="BD453" i="1"/>
  <c r="AZ453" i="1"/>
  <c r="AV453" i="1"/>
  <c r="AP453" i="1"/>
  <c r="AL453" i="1"/>
  <c r="AJ453" i="1"/>
  <c r="AC453" i="1"/>
  <c r="X453" i="1"/>
  <c r="U453" i="1"/>
  <c r="T453" i="1"/>
  <c r="F453" i="1"/>
  <c r="GE452" i="1"/>
  <c r="GB452" i="1"/>
  <c r="FW452" i="1"/>
  <c r="FV452" i="1"/>
  <c r="FS452" i="1"/>
  <c r="FO452" i="1"/>
  <c r="FJ452" i="1"/>
  <c r="FF452" i="1"/>
  <c r="FC452" i="1"/>
  <c r="EZ452" i="1"/>
  <c r="ET452" i="1"/>
  <c r="EL452" i="1"/>
  <c r="EI452" i="1"/>
  <c r="EC452" i="1"/>
  <c r="DW452" i="1"/>
  <c r="DS452" i="1"/>
  <c r="DP452" i="1"/>
  <c r="DM452" i="1"/>
  <c r="DI452" i="1"/>
  <c r="DD452" i="1"/>
  <c r="CX452" i="1"/>
  <c r="CP452" i="1"/>
  <c r="CO452" i="1"/>
  <c r="CI452" i="1"/>
  <c r="CC452" i="1"/>
  <c r="BZ452" i="1"/>
  <c r="BV452" i="1"/>
  <c r="BU452" i="1"/>
  <c r="BK452" i="1"/>
  <c r="BH452" i="1"/>
  <c r="BD452" i="1"/>
  <c r="AZ452" i="1"/>
  <c r="AV452" i="1"/>
  <c r="AP452" i="1"/>
  <c r="AL452" i="1"/>
  <c r="AJ452" i="1"/>
  <c r="AC452" i="1"/>
  <c r="X452" i="1"/>
  <c r="U452" i="1"/>
  <c r="T452" i="1"/>
  <c r="F452" i="1"/>
  <c r="GE451" i="1"/>
  <c r="GB451" i="1"/>
  <c r="FW451" i="1"/>
  <c r="FV451" i="1"/>
  <c r="FS451" i="1"/>
  <c r="FO451" i="1"/>
  <c r="FJ451" i="1"/>
  <c r="FF451" i="1"/>
  <c r="FC451" i="1"/>
  <c r="EZ451" i="1"/>
  <c r="ET451" i="1"/>
  <c r="EL451" i="1"/>
  <c r="EI451" i="1"/>
  <c r="EC451" i="1"/>
  <c r="DW451" i="1"/>
  <c r="DS451" i="1"/>
  <c r="DP451" i="1"/>
  <c r="DM451" i="1"/>
  <c r="DI451" i="1"/>
  <c r="DD451" i="1"/>
  <c r="CX451" i="1"/>
  <c r="CP451" i="1"/>
  <c r="CO451" i="1"/>
  <c r="CI451" i="1"/>
  <c r="CC451" i="1"/>
  <c r="BZ451" i="1"/>
  <c r="BV451" i="1"/>
  <c r="BU451" i="1"/>
  <c r="BK451" i="1"/>
  <c r="BH451" i="1"/>
  <c r="BD451" i="1"/>
  <c r="AZ451" i="1"/>
  <c r="AV451" i="1"/>
  <c r="AP451" i="1"/>
  <c r="AL451" i="1"/>
  <c r="AJ451" i="1"/>
  <c r="AC451" i="1"/>
  <c r="X451" i="1"/>
  <c r="U451" i="1"/>
  <c r="T451" i="1"/>
  <c r="F451" i="1"/>
  <c r="GE450" i="1"/>
  <c r="GB450" i="1"/>
  <c r="FW450" i="1"/>
  <c r="FV450" i="1"/>
  <c r="FS450" i="1"/>
  <c r="FO450" i="1"/>
  <c r="FJ450" i="1"/>
  <c r="FF450" i="1"/>
  <c r="FC450" i="1"/>
  <c r="EZ450" i="1"/>
  <c r="ET450" i="1"/>
  <c r="EL450" i="1"/>
  <c r="EI450" i="1"/>
  <c r="EC450" i="1"/>
  <c r="DW450" i="1"/>
  <c r="DS450" i="1"/>
  <c r="DP450" i="1"/>
  <c r="DM450" i="1"/>
  <c r="DI450" i="1"/>
  <c r="DD450" i="1"/>
  <c r="CX450" i="1"/>
  <c r="CP450" i="1"/>
  <c r="CO450" i="1"/>
  <c r="CI450" i="1"/>
  <c r="CC450" i="1"/>
  <c r="BZ450" i="1"/>
  <c r="BV450" i="1"/>
  <c r="BU450" i="1"/>
  <c r="BK450" i="1"/>
  <c r="BH450" i="1"/>
  <c r="BD450" i="1"/>
  <c r="AZ450" i="1"/>
  <c r="AV450" i="1"/>
  <c r="AP450" i="1"/>
  <c r="AL450" i="1"/>
  <c r="AJ450" i="1"/>
  <c r="AC450" i="1"/>
  <c r="X450" i="1"/>
  <c r="U450" i="1"/>
  <c r="T450" i="1"/>
  <c r="F450" i="1"/>
  <c r="GE449" i="1"/>
  <c r="GB449" i="1"/>
  <c r="FW449" i="1"/>
  <c r="FV449" i="1"/>
  <c r="FS449" i="1"/>
  <c r="FO449" i="1"/>
  <c r="FJ449" i="1"/>
  <c r="FF449" i="1"/>
  <c r="FC449" i="1"/>
  <c r="EZ449" i="1"/>
  <c r="ET449" i="1"/>
  <c r="EL449" i="1"/>
  <c r="EI449" i="1"/>
  <c r="EC449" i="1"/>
  <c r="DW449" i="1"/>
  <c r="DS449" i="1"/>
  <c r="DP449" i="1"/>
  <c r="DM449" i="1"/>
  <c r="DI449" i="1"/>
  <c r="DD449" i="1"/>
  <c r="CX449" i="1"/>
  <c r="CP449" i="1"/>
  <c r="CO449" i="1"/>
  <c r="CI449" i="1"/>
  <c r="CC449" i="1"/>
  <c r="BZ449" i="1"/>
  <c r="BV449" i="1"/>
  <c r="BU449" i="1"/>
  <c r="BK449" i="1"/>
  <c r="K447" i="4" s="1"/>
  <c r="BH449" i="1"/>
  <c r="BD449" i="1"/>
  <c r="AZ449" i="1"/>
  <c r="AV449" i="1"/>
  <c r="AP449" i="1"/>
  <c r="AL449" i="1"/>
  <c r="AJ449" i="1"/>
  <c r="AC449" i="1"/>
  <c r="X449" i="1"/>
  <c r="U449" i="1"/>
  <c r="T449" i="1"/>
  <c r="F449" i="1"/>
  <c r="GE448" i="1"/>
  <c r="GB448" i="1"/>
  <c r="FW448" i="1"/>
  <c r="FV448" i="1"/>
  <c r="FS448" i="1"/>
  <c r="FO448" i="1"/>
  <c r="FJ448" i="1"/>
  <c r="FF448" i="1"/>
  <c r="FC448" i="1"/>
  <c r="EZ448" i="1"/>
  <c r="ET448" i="1"/>
  <c r="EL448" i="1"/>
  <c r="EI448" i="1"/>
  <c r="EC448" i="1"/>
  <c r="DW448" i="1"/>
  <c r="DS448" i="1"/>
  <c r="DP448" i="1"/>
  <c r="DM448" i="1"/>
  <c r="DI448" i="1"/>
  <c r="DD448" i="1"/>
  <c r="CX448" i="1"/>
  <c r="CP448" i="1"/>
  <c r="CO448" i="1"/>
  <c r="CI448" i="1"/>
  <c r="CC448" i="1"/>
  <c r="BZ448" i="1"/>
  <c r="BV448" i="1"/>
  <c r="BU448" i="1"/>
  <c r="BK448" i="1"/>
  <c r="K446" i="4" s="1"/>
  <c r="BH448" i="1"/>
  <c r="BD448" i="1"/>
  <c r="AZ448" i="1"/>
  <c r="AV448" i="1"/>
  <c r="AP448" i="1"/>
  <c r="AL448" i="1"/>
  <c r="AJ448" i="1"/>
  <c r="AC448" i="1"/>
  <c r="X448" i="1"/>
  <c r="U448" i="1"/>
  <c r="T448" i="1"/>
  <c r="F448" i="1"/>
  <c r="GE447" i="1"/>
  <c r="GB447" i="1"/>
  <c r="FW447" i="1"/>
  <c r="FV447" i="1"/>
  <c r="FS447" i="1"/>
  <c r="FO447" i="1"/>
  <c r="FJ447" i="1"/>
  <c r="FF447" i="1"/>
  <c r="FC447" i="1"/>
  <c r="EZ447" i="1"/>
  <c r="ET447" i="1"/>
  <c r="EL447" i="1"/>
  <c r="EI447" i="1"/>
  <c r="EC447" i="1"/>
  <c r="DW447" i="1"/>
  <c r="DS447" i="1"/>
  <c r="DP447" i="1"/>
  <c r="DM447" i="1"/>
  <c r="DI447" i="1"/>
  <c r="DD447" i="1"/>
  <c r="CX447" i="1"/>
  <c r="CP447" i="1"/>
  <c r="CO447" i="1"/>
  <c r="CI447" i="1"/>
  <c r="CC447" i="1"/>
  <c r="BZ447" i="1"/>
  <c r="BV447" i="1"/>
  <c r="BU447" i="1"/>
  <c r="BK447" i="1"/>
  <c r="K445" i="4" s="1"/>
  <c r="BH447" i="1"/>
  <c r="BD447" i="1"/>
  <c r="AZ447" i="1"/>
  <c r="AV447" i="1"/>
  <c r="AP447" i="1"/>
  <c r="AL447" i="1"/>
  <c r="AJ447" i="1"/>
  <c r="AC447" i="1"/>
  <c r="X447" i="1"/>
  <c r="U447" i="1"/>
  <c r="T447" i="1"/>
  <c r="F447" i="1"/>
  <c r="GE446" i="1"/>
  <c r="GB446" i="1"/>
  <c r="FW446" i="1"/>
  <c r="FV446" i="1"/>
  <c r="FS446" i="1"/>
  <c r="FO446" i="1"/>
  <c r="FJ446" i="1"/>
  <c r="FF446" i="1"/>
  <c r="FC446" i="1"/>
  <c r="EZ446" i="1"/>
  <c r="ET446" i="1"/>
  <c r="EL446" i="1"/>
  <c r="EI446" i="1"/>
  <c r="EC446" i="1"/>
  <c r="DW446" i="1"/>
  <c r="DS446" i="1"/>
  <c r="DP446" i="1"/>
  <c r="DM446" i="1"/>
  <c r="DI446" i="1"/>
  <c r="DD446" i="1"/>
  <c r="CX446" i="1"/>
  <c r="CP446" i="1"/>
  <c r="CO446" i="1"/>
  <c r="CI446" i="1"/>
  <c r="CC446" i="1"/>
  <c r="BZ446" i="1"/>
  <c r="BV446" i="1"/>
  <c r="BU446" i="1"/>
  <c r="BK446" i="1"/>
  <c r="K444" i="4" s="1"/>
  <c r="BH446" i="1"/>
  <c r="BD446" i="1"/>
  <c r="AZ446" i="1"/>
  <c r="AV446" i="1"/>
  <c r="AP446" i="1"/>
  <c r="AL446" i="1"/>
  <c r="AJ446" i="1"/>
  <c r="AC446" i="1"/>
  <c r="X446" i="1"/>
  <c r="U446" i="1"/>
  <c r="T446" i="1"/>
  <c r="F446" i="1"/>
  <c r="GE445" i="1"/>
  <c r="GB445" i="1"/>
  <c r="FW445" i="1"/>
  <c r="FV445" i="1"/>
  <c r="FS445" i="1"/>
  <c r="FO445" i="1"/>
  <c r="FJ445" i="1"/>
  <c r="FF445" i="1"/>
  <c r="FC445" i="1"/>
  <c r="EZ445" i="1"/>
  <c r="ET445" i="1"/>
  <c r="EL445" i="1"/>
  <c r="EI445" i="1"/>
  <c r="EC445" i="1"/>
  <c r="DW445" i="1"/>
  <c r="DS445" i="1"/>
  <c r="DP445" i="1"/>
  <c r="DM445" i="1"/>
  <c r="DI445" i="1"/>
  <c r="DD445" i="1"/>
  <c r="CX445" i="1"/>
  <c r="CP445" i="1"/>
  <c r="CO445" i="1"/>
  <c r="CI445" i="1"/>
  <c r="CC445" i="1"/>
  <c r="BZ445" i="1"/>
  <c r="BV445" i="1"/>
  <c r="BU445" i="1"/>
  <c r="BK445" i="1"/>
  <c r="K443" i="4" s="1"/>
  <c r="BH445" i="1"/>
  <c r="BD445" i="1"/>
  <c r="AZ445" i="1"/>
  <c r="AV445" i="1"/>
  <c r="AP445" i="1"/>
  <c r="AL445" i="1"/>
  <c r="AJ445" i="1"/>
  <c r="AC445" i="1"/>
  <c r="X445" i="1"/>
  <c r="U445" i="1"/>
  <c r="T445" i="1"/>
  <c r="F445" i="1"/>
  <c r="GE444" i="1"/>
  <c r="GB444" i="1"/>
  <c r="FW444" i="1"/>
  <c r="FV444" i="1"/>
  <c r="FS444" i="1"/>
  <c r="FO444" i="1"/>
  <c r="FJ444" i="1"/>
  <c r="FF444" i="1"/>
  <c r="FC444" i="1"/>
  <c r="EZ444" i="1"/>
  <c r="ET444" i="1"/>
  <c r="EL444" i="1"/>
  <c r="EI444" i="1"/>
  <c r="EC444" i="1"/>
  <c r="DW444" i="1"/>
  <c r="DS444" i="1"/>
  <c r="DP444" i="1"/>
  <c r="DM444" i="1"/>
  <c r="DI444" i="1"/>
  <c r="DD444" i="1"/>
  <c r="CX444" i="1"/>
  <c r="CP444" i="1"/>
  <c r="CO444" i="1"/>
  <c r="CI444" i="1"/>
  <c r="CC444" i="1"/>
  <c r="BZ444" i="1"/>
  <c r="BV444" i="1"/>
  <c r="BU444" i="1"/>
  <c r="BK444" i="1"/>
  <c r="K442" i="4" s="1"/>
  <c r="BH444" i="1"/>
  <c r="BD444" i="1"/>
  <c r="AZ444" i="1"/>
  <c r="AV444" i="1"/>
  <c r="AP444" i="1"/>
  <c r="AL444" i="1"/>
  <c r="AJ444" i="1"/>
  <c r="AC444" i="1"/>
  <c r="X444" i="1"/>
  <c r="U444" i="1"/>
  <c r="T444" i="1"/>
  <c r="F444" i="1"/>
  <c r="GE443" i="1"/>
  <c r="GB443" i="1"/>
  <c r="FW443" i="1"/>
  <c r="FV443" i="1"/>
  <c r="FS443" i="1"/>
  <c r="FO443" i="1"/>
  <c r="FJ443" i="1"/>
  <c r="FF443" i="1"/>
  <c r="FC443" i="1"/>
  <c r="EZ443" i="1"/>
  <c r="ET443" i="1"/>
  <c r="EL443" i="1"/>
  <c r="EI443" i="1"/>
  <c r="EC443" i="1"/>
  <c r="DW443" i="1"/>
  <c r="DS443" i="1"/>
  <c r="DP443" i="1"/>
  <c r="DM443" i="1"/>
  <c r="DI443" i="1"/>
  <c r="DD443" i="1"/>
  <c r="CX443" i="1"/>
  <c r="CP443" i="1"/>
  <c r="CO443" i="1"/>
  <c r="CI443" i="1"/>
  <c r="CC443" i="1"/>
  <c r="BZ443" i="1"/>
  <c r="BV443" i="1"/>
  <c r="BU443" i="1"/>
  <c r="BK443" i="1"/>
  <c r="K441" i="4" s="1"/>
  <c r="BH443" i="1"/>
  <c r="BD443" i="1"/>
  <c r="AZ443" i="1"/>
  <c r="AV443" i="1"/>
  <c r="AP443" i="1"/>
  <c r="AL443" i="1"/>
  <c r="AJ443" i="1"/>
  <c r="AC443" i="1"/>
  <c r="X443" i="1"/>
  <c r="U443" i="1"/>
  <c r="T443" i="1"/>
  <c r="F443" i="1"/>
  <c r="GE442" i="1"/>
  <c r="GB442" i="1"/>
  <c r="FW442" i="1"/>
  <c r="FV442" i="1"/>
  <c r="FS442" i="1"/>
  <c r="FO442" i="1"/>
  <c r="FJ442" i="1"/>
  <c r="FF442" i="1"/>
  <c r="FC442" i="1"/>
  <c r="EZ442" i="1"/>
  <c r="ET442" i="1"/>
  <c r="EL442" i="1"/>
  <c r="EI442" i="1"/>
  <c r="EC442" i="1"/>
  <c r="DW442" i="1"/>
  <c r="DS442" i="1"/>
  <c r="DP442" i="1"/>
  <c r="DM442" i="1"/>
  <c r="DI442" i="1"/>
  <c r="DD442" i="1"/>
  <c r="CX442" i="1"/>
  <c r="CP442" i="1"/>
  <c r="CO442" i="1"/>
  <c r="CI442" i="1"/>
  <c r="CC442" i="1"/>
  <c r="BZ442" i="1"/>
  <c r="BV442" i="1"/>
  <c r="BU442" i="1"/>
  <c r="BK442" i="1"/>
  <c r="K440" i="4" s="1"/>
  <c r="BH442" i="1"/>
  <c r="BD442" i="1"/>
  <c r="AZ442" i="1"/>
  <c r="AV442" i="1"/>
  <c r="AP442" i="1"/>
  <c r="AL442" i="1"/>
  <c r="AJ442" i="1"/>
  <c r="AC442" i="1"/>
  <c r="X442" i="1"/>
  <c r="U442" i="1"/>
  <c r="T442" i="1"/>
  <c r="F442" i="1"/>
  <c r="GE441" i="1"/>
  <c r="GB441" i="1"/>
  <c r="FW441" i="1"/>
  <c r="FV441" i="1"/>
  <c r="FS441" i="1"/>
  <c r="FO441" i="1"/>
  <c r="FJ441" i="1"/>
  <c r="FF441" i="1"/>
  <c r="FC441" i="1"/>
  <c r="EZ441" i="1"/>
  <c r="ET441" i="1"/>
  <c r="EL441" i="1"/>
  <c r="EI441" i="1"/>
  <c r="EC441" i="1"/>
  <c r="DW441" i="1"/>
  <c r="DS441" i="1"/>
  <c r="DP441" i="1"/>
  <c r="DM441" i="1"/>
  <c r="DI441" i="1"/>
  <c r="DD441" i="1"/>
  <c r="CX441" i="1"/>
  <c r="CP441" i="1"/>
  <c r="CO441" i="1"/>
  <c r="CI441" i="1"/>
  <c r="CC441" i="1"/>
  <c r="BZ441" i="1"/>
  <c r="BV441" i="1"/>
  <c r="BU441" i="1"/>
  <c r="BK441" i="1"/>
  <c r="BH441" i="1"/>
  <c r="BD441" i="1"/>
  <c r="AZ441" i="1"/>
  <c r="AV441" i="1"/>
  <c r="AP441" i="1"/>
  <c r="AL441" i="1"/>
  <c r="AJ441" i="1"/>
  <c r="AC441" i="1"/>
  <c r="X441" i="1"/>
  <c r="U441" i="1"/>
  <c r="T441" i="1"/>
  <c r="F441" i="1"/>
  <c r="GE440" i="1"/>
  <c r="GB440" i="1"/>
  <c r="FW440" i="1"/>
  <c r="FV440" i="1"/>
  <c r="FS440" i="1"/>
  <c r="FO440" i="1"/>
  <c r="FJ440" i="1"/>
  <c r="FF440" i="1"/>
  <c r="FC440" i="1"/>
  <c r="EZ440" i="1"/>
  <c r="ET440" i="1"/>
  <c r="EL440" i="1"/>
  <c r="EI440" i="1"/>
  <c r="EC440" i="1"/>
  <c r="DW440" i="1"/>
  <c r="DS440" i="1"/>
  <c r="DP440" i="1"/>
  <c r="DM440" i="1"/>
  <c r="DI440" i="1"/>
  <c r="DD440" i="1"/>
  <c r="CX440" i="1"/>
  <c r="CP440" i="1"/>
  <c r="CO440" i="1"/>
  <c r="CI440" i="1"/>
  <c r="CC440" i="1"/>
  <c r="BZ440" i="1"/>
  <c r="BV440" i="1"/>
  <c r="BU440" i="1"/>
  <c r="BK440" i="1"/>
  <c r="BH440" i="1"/>
  <c r="BD440" i="1"/>
  <c r="AZ440" i="1"/>
  <c r="AV440" i="1"/>
  <c r="AP440" i="1"/>
  <c r="AL440" i="1"/>
  <c r="AJ440" i="1"/>
  <c r="AC440" i="1"/>
  <c r="X440" i="1"/>
  <c r="U440" i="1"/>
  <c r="T440" i="1"/>
  <c r="F440" i="1"/>
  <c r="GE439" i="1"/>
  <c r="GB439" i="1"/>
  <c r="FW439" i="1"/>
  <c r="FV439" i="1"/>
  <c r="FS439" i="1"/>
  <c r="FO439" i="1"/>
  <c r="FJ439" i="1"/>
  <c r="FF439" i="1"/>
  <c r="FC439" i="1"/>
  <c r="EZ439" i="1"/>
  <c r="ET439" i="1"/>
  <c r="EL439" i="1"/>
  <c r="EI439" i="1"/>
  <c r="EC439" i="1"/>
  <c r="DW439" i="1"/>
  <c r="DS439" i="1"/>
  <c r="DP439" i="1"/>
  <c r="DM439" i="1"/>
  <c r="DI439" i="1"/>
  <c r="DD439" i="1"/>
  <c r="CX439" i="1"/>
  <c r="CP439" i="1"/>
  <c r="CO439" i="1"/>
  <c r="CI439" i="1"/>
  <c r="CC439" i="1"/>
  <c r="BZ439" i="1"/>
  <c r="BV439" i="1"/>
  <c r="BU439" i="1"/>
  <c r="BK439" i="1"/>
  <c r="K437" i="4" s="1"/>
  <c r="BH439" i="1"/>
  <c r="BD439" i="1"/>
  <c r="AZ439" i="1"/>
  <c r="AV439" i="1"/>
  <c r="AP439" i="1"/>
  <c r="AL439" i="1"/>
  <c r="AJ439" i="1"/>
  <c r="AC439" i="1"/>
  <c r="X439" i="1"/>
  <c r="U439" i="1"/>
  <c r="T439" i="1"/>
  <c r="F439" i="1"/>
  <c r="GE438" i="1"/>
  <c r="GB438" i="1"/>
  <c r="FW438" i="1"/>
  <c r="FV438" i="1"/>
  <c r="FS438" i="1"/>
  <c r="FO438" i="1"/>
  <c r="FJ438" i="1"/>
  <c r="FF438" i="1"/>
  <c r="FC438" i="1"/>
  <c r="EZ438" i="1"/>
  <c r="ET438" i="1"/>
  <c r="EL438" i="1"/>
  <c r="EI438" i="1"/>
  <c r="EC438" i="1"/>
  <c r="DW438" i="1"/>
  <c r="DS438" i="1"/>
  <c r="DP438" i="1"/>
  <c r="DM438" i="1"/>
  <c r="DI438" i="1"/>
  <c r="DD438" i="1"/>
  <c r="CX438" i="1"/>
  <c r="CP438" i="1"/>
  <c r="CO438" i="1"/>
  <c r="CI438" i="1"/>
  <c r="CC438" i="1"/>
  <c r="BZ438" i="1"/>
  <c r="BV438" i="1"/>
  <c r="BU438" i="1"/>
  <c r="BK438" i="1"/>
  <c r="K436" i="4" s="1"/>
  <c r="BH438" i="1"/>
  <c r="BD438" i="1"/>
  <c r="AZ438" i="1"/>
  <c r="AV438" i="1"/>
  <c r="AP438" i="1"/>
  <c r="AL438" i="1"/>
  <c r="AJ438" i="1"/>
  <c r="AC438" i="1"/>
  <c r="X438" i="1"/>
  <c r="U438" i="1"/>
  <c r="T438" i="1"/>
  <c r="F438" i="1"/>
  <c r="GE437" i="1"/>
  <c r="GB437" i="1"/>
  <c r="FW437" i="1"/>
  <c r="FV437" i="1"/>
  <c r="FS437" i="1"/>
  <c r="FO437" i="1"/>
  <c r="FJ437" i="1"/>
  <c r="FF437" i="1"/>
  <c r="FC437" i="1"/>
  <c r="EZ437" i="1"/>
  <c r="ET437" i="1"/>
  <c r="EL437" i="1"/>
  <c r="EI437" i="1"/>
  <c r="EC437" i="1"/>
  <c r="DW437" i="1"/>
  <c r="DS437" i="1"/>
  <c r="DP437" i="1"/>
  <c r="DM437" i="1"/>
  <c r="DI437" i="1"/>
  <c r="DD437" i="1"/>
  <c r="CX437" i="1"/>
  <c r="CP437" i="1"/>
  <c r="CO437" i="1"/>
  <c r="CI437" i="1"/>
  <c r="CC437" i="1"/>
  <c r="BZ437" i="1"/>
  <c r="BV437" i="1"/>
  <c r="BU437" i="1"/>
  <c r="BK437" i="1"/>
  <c r="K435" i="4" s="1"/>
  <c r="BH437" i="1"/>
  <c r="BD437" i="1"/>
  <c r="AZ437" i="1"/>
  <c r="AV437" i="1"/>
  <c r="AP437" i="1"/>
  <c r="AL437" i="1"/>
  <c r="AJ437" i="1"/>
  <c r="AC437" i="1"/>
  <c r="X437" i="1"/>
  <c r="U437" i="1"/>
  <c r="T437" i="1"/>
  <c r="F437" i="1"/>
  <c r="GE436" i="1"/>
  <c r="GB436" i="1"/>
  <c r="FW436" i="1"/>
  <c r="FV436" i="1"/>
  <c r="FS436" i="1"/>
  <c r="FO436" i="1"/>
  <c r="FJ436" i="1"/>
  <c r="FF436" i="1"/>
  <c r="FC436" i="1"/>
  <c r="EZ436" i="1"/>
  <c r="ET436" i="1"/>
  <c r="EL436" i="1"/>
  <c r="EI436" i="1"/>
  <c r="EC436" i="1"/>
  <c r="DW436" i="1"/>
  <c r="DS436" i="1"/>
  <c r="DP436" i="1"/>
  <c r="DM436" i="1"/>
  <c r="DI436" i="1"/>
  <c r="DD436" i="1"/>
  <c r="CX436" i="1"/>
  <c r="CP436" i="1"/>
  <c r="CO436" i="1"/>
  <c r="CI436" i="1"/>
  <c r="CC436" i="1"/>
  <c r="BZ436" i="1"/>
  <c r="BV436" i="1"/>
  <c r="BU436" i="1"/>
  <c r="BK436" i="1"/>
  <c r="BH436" i="1"/>
  <c r="BD436" i="1"/>
  <c r="AZ436" i="1"/>
  <c r="AV436" i="1"/>
  <c r="AP436" i="1"/>
  <c r="AL436" i="1"/>
  <c r="AJ436" i="1"/>
  <c r="AC436" i="1"/>
  <c r="X436" i="1"/>
  <c r="U436" i="1"/>
  <c r="T436" i="1"/>
  <c r="F436" i="1"/>
  <c r="GE435" i="1"/>
  <c r="GB435" i="1"/>
  <c r="FW435" i="1"/>
  <c r="FV435" i="1"/>
  <c r="FS435" i="1"/>
  <c r="FO435" i="1"/>
  <c r="FJ435" i="1"/>
  <c r="FF435" i="1"/>
  <c r="FC435" i="1"/>
  <c r="EZ435" i="1"/>
  <c r="ET435" i="1"/>
  <c r="EL435" i="1"/>
  <c r="EI435" i="1"/>
  <c r="EC435" i="1"/>
  <c r="DW435" i="1"/>
  <c r="DS435" i="1"/>
  <c r="DP435" i="1"/>
  <c r="DM435" i="1"/>
  <c r="DI435" i="1"/>
  <c r="DD435" i="1"/>
  <c r="CX435" i="1"/>
  <c r="CP435" i="1"/>
  <c r="CO435" i="1"/>
  <c r="CI435" i="1"/>
  <c r="CC435" i="1"/>
  <c r="BZ435" i="1"/>
  <c r="BV435" i="1"/>
  <c r="BU435" i="1"/>
  <c r="BK435" i="1"/>
  <c r="K433" i="4" s="1"/>
  <c r="BH435" i="1"/>
  <c r="BD435" i="1"/>
  <c r="AZ435" i="1"/>
  <c r="AV435" i="1"/>
  <c r="AP435" i="1"/>
  <c r="AL435" i="1"/>
  <c r="AJ435" i="1"/>
  <c r="AC435" i="1"/>
  <c r="X435" i="1"/>
  <c r="U435" i="1"/>
  <c r="T435" i="1"/>
  <c r="F435" i="1"/>
  <c r="GE434" i="1"/>
  <c r="GB434" i="1"/>
  <c r="FW434" i="1"/>
  <c r="FV434" i="1"/>
  <c r="FS434" i="1"/>
  <c r="FO434" i="1"/>
  <c r="FJ434" i="1"/>
  <c r="FF434" i="1"/>
  <c r="FC434" i="1"/>
  <c r="EZ434" i="1"/>
  <c r="ET434" i="1"/>
  <c r="EL434" i="1"/>
  <c r="EI434" i="1"/>
  <c r="EC434" i="1"/>
  <c r="DW434" i="1"/>
  <c r="DS434" i="1"/>
  <c r="DP434" i="1"/>
  <c r="DM434" i="1"/>
  <c r="DI434" i="1"/>
  <c r="DD434" i="1"/>
  <c r="CX434" i="1"/>
  <c r="CP434" i="1"/>
  <c r="CO434" i="1"/>
  <c r="CI434" i="1"/>
  <c r="CC434" i="1"/>
  <c r="BZ434" i="1"/>
  <c r="BV434" i="1"/>
  <c r="BU434" i="1"/>
  <c r="BK434" i="1"/>
  <c r="BH434" i="1"/>
  <c r="BD434" i="1"/>
  <c r="AZ434" i="1"/>
  <c r="AV434" i="1"/>
  <c r="AP434" i="1"/>
  <c r="AL434" i="1"/>
  <c r="AJ434" i="1"/>
  <c r="AC434" i="1"/>
  <c r="X434" i="1"/>
  <c r="U434" i="1"/>
  <c r="T434" i="1"/>
  <c r="F434" i="1"/>
  <c r="GE433" i="1"/>
  <c r="GB433" i="1"/>
  <c r="FW433" i="1"/>
  <c r="FV433" i="1"/>
  <c r="FS433" i="1"/>
  <c r="FO433" i="1"/>
  <c r="FJ433" i="1"/>
  <c r="FF433" i="1"/>
  <c r="FC433" i="1"/>
  <c r="EZ433" i="1"/>
  <c r="ET433" i="1"/>
  <c r="EL433" i="1"/>
  <c r="EI433" i="1"/>
  <c r="EC433" i="1"/>
  <c r="DW433" i="1"/>
  <c r="DS433" i="1"/>
  <c r="DP433" i="1"/>
  <c r="DM433" i="1"/>
  <c r="DI433" i="1"/>
  <c r="DD433" i="1"/>
  <c r="CX433" i="1"/>
  <c r="CP433" i="1"/>
  <c r="CO433" i="1"/>
  <c r="CI433" i="1"/>
  <c r="CC433" i="1"/>
  <c r="BZ433" i="1"/>
  <c r="BV433" i="1"/>
  <c r="BU433" i="1"/>
  <c r="BK433" i="1"/>
  <c r="K431" i="4" s="1"/>
  <c r="BH433" i="1"/>
  <c r="BD433" i="1"/>
  <c r="AZ433" i="1"/>
  <c r="AV433" i="1"/>
  <c r="AP433" i="1"/>
  <c r="AL433" i="1"/>
  <c r="AJ433" i="1"/>
  <c r="AC433" i="1"/>
  <c r="X433" i="1"/>
  <c r="U433" i="1"/>
  <c r="T433" i="1"/>
  <c r="F433" i="1"/>
  <c r="GE432" i="1"/>
  <c r="GB432" i="1"/>
  <c r="FW432" i="1"/>
  <c r="FV432" i="1"/>
  <c r="FS432" i="1"/>
  <c r="FO432" i="1"/>
  <c r="FJ432" i="1"/>
  <c r="FF432" i="1"/>
  <c r="FC432" i="1"/>
  <c r="EZ432" i="1"/>
  <c r="ET432" i="1"/>
  <c r="EL432" i="1"/>
  <c r="EI432" i="1"/>
  <c r="EC432" i="1"/>
  <c r="DW432" i="1"/>
  <c r="DS432" i="1"/>
  <c r="DP432" i="1"/>
  <c r="DM432" i="1"/>
  <c r="DI432" i="1"/>
  <c r="DD432" i="1"/>
  <c r="CX432" i="1"/>
  <c r="CP432" i="1"/>
  <c r="CO432" i="1"/>
  <c r="CI432" i="1"/>
  <c r="CC432" i="1"/>
  <c r="BZ432" i="1"/>
  <c r="BV432" i="1"/>
  <c r="BU432" i="1"/>
  <c r="BK432" i="1"/>
  <c r="K430" i="4" s="1"/>
  <c r="BH432" i="1"/>
  <c r="BD432" i="1"/>
  <c r="AZ432" i="1"/>
  <c r="AV432" i="1"/>
  <c r="AP432" i="1"/>
  <c r="AL432" i="1"/>
  <c r="AJ432" i="1"/>
  <c r="AC432" i="1"/>
  <c r="X432" i="1"/>
  <c r="U432" i="1"/>
  <c r="T432" i="1"/>
  <c r="F432" i="1"/>
  <c r="GE431" i="1"/>
  <c r="GB431" i="1"/>
  <c r="FW431" i="1"/>
  <c r="FV431" i="1"/>
  <c r="FS431" i="1"/>
  <c r="FO431" i="1"/>
  <c r="FJ431" i="1"/>
  <c r="FF431" i="1"/>
  <c r="FC431" i="1"/>
  <c r="EZ431" i="1"/>
  <c r="ET431" i="1"/>
  <c r="EL431" i="1"/>
  <c r="EI431" i="1"/>
  <c r="EC431" i="1"/>
  <c r="DW431" i="1"/>
  <c r="DS431" i="1"/>
  <c r="DP431" i="1"/>
  <c r="DM431" i="1"/>
  <c r="DI431" i="1"/>
  <c r="DD431" i="1"/>
  <c r="CX431" i="1"/>
  <c r="CP431" i="1"/>
  <c r="CO431" i="1"/>
  <c r="CI431" i="1"/>
  <c r="CC431" i="1"/>
  <c r="BZ431" i="1"/>
  <c r="BV431" i="1"/>
  <c r="BU431" i="1"/>
  <c r="BK431" i="1"/>
  <c r="K429" i="4" s="1"/>
  <c r="BH431" i="1"/>
  <c r="BD431" i="1"/>
  <c r="AZ431" i="1"/>
  <c r="AV431" i="1"/>
  <c r="AP431" i="1"/>
  <c r="AL431" i="1"/>
  <c r="AJ431" i="1"/>
  <c r="AC431" i="1"/>
  <c r="X431" i="1"/>
  <c r="U431" i="1"/>
  <c r="T431" i="1"/>
  <c r="F431" i="1"/>
  <c r="GE430" i="1"/>
  <c r="GB430" i="1"/>
  <c r="FW430" i="1"/>
  <c r="FV430" i="1"/>
  <c r="FS430" i="1"/>
  <c r="FO430" i="1"/>
  <c r="FJ430" i="1"/>
  <c r="FF430" i="1"/>
  <c r="FC430" i="1"/>
  <c r="EZ430" i="1"/>
  <c r="ET430" i="1"/>
  <c r="EL430" i="1"/>
  <c r="EI430" i="1"/>
  <c r="EC430" i="1"/>
  <c r="DW430" i="1"/>
  <c r="DS430" i="1"/>
  <c r="DP430" i="1"/>
  <c r="DM430" i="1"/>
  <c r="DI430" i="1"/>
  <c r="DD430" i="1"/>
  <c r="CX430" i="1"/>
  <c r="CP430" i="1"/>
  <c r="CO430" i="1"/>
  <c r="CI430" i="1"/>
  <c r="CC430" i="1"/>
  <c r="BZ430" i="1"/>
  <c r="BV430" i="1"/>
  <c r="BU430" i="1"/>
  <c r="BK430" i="1"/>
  <c r="BH430" i="1"/>
  <c r="BD430" i="1"/>
  <c r="AZ430" i="1"/>
  <c r="AV430" i="1"/>
  <c r="AP430" i="1"/>
  <c r="AL430" i="1"/>
  <c r="AJ430" i="1"/>
  <c r="AC430" i="1"/>
  <c r="X430" i="1"/>
  <c r="U430" i="1"/>
  <c r="T430" i="1"/>
  <c r="F430" i="1"/>
  <c r="GE429" i="1"/>
  <c r="GB429" i="1"/>
  <c r="FW429" i="1"/>
  <c r="FV429" i="1"/>
  <c r="FS429" i="1"/>
  <c r="FO429" i="1"/>
  <c r="FJ429" i="1"/>
  <c r="FF429" i="1"/>
  <c r="FC429" i="1"/>
  <c r="EZ429" i="1"/>
  <c r="ET429" i="1"/>
  <c r="EL429" i="1"/>
  <c r="EI429" i="1"/>
  <c r="EC429" i="1"/>
  <c r="DW429" i="1"/>
  <c r="DS429" i="1"/>
  <c r="DP429" i="1"/>
  <c r="DM429" i="1"/>
  <c r="DI429" i="1"/>
  <c r="DD429" i="1"/>
  <c r="CX429" i="1"/>
  <c r="CP429" i="1"/>
  <c r="CO429" i="1"/>
  <c r="CI429" i="1"/>
  <c r="CC429" i="1"/>
  <c r="BZ429" i="1"/>
  <c r="BV429" i="1"/>
  <c r="BU429" i="1"/>
  <c r="BK429" i="1"/>
  <c r="K427" i="4" s="1"/>
  <c r="BH429" i="1"/>
  <c r="BD429" i="1"/>
  <c r="AZ429" i="1"/>
  <c r="AV429" i="1"/>
  <c r="AP429" i="1"/>
  <c r="AL429" i="1"/>
  <c r="AJ429" i="1"/>
  <c r="AC429" i="1"/>
  <c r="X429" i="1"/>
  <c r="U429" i="1"/>
  <c r="T429" i="1"/>
  <c r="F429" i="1"/>
  <c r="GE428" i="1"/>
  <c r="GB428" i="1"/>
  <c r="FW428" i="1"/>
  <c r="FV428" i="1"/>
  <c r="FS428" i="1"/>
  <c r="FO428" i="1"/>
  <c r="FJ428" i="1"/>
  <c r="FF428" i="1"/>
  <c r="FC428" i="1"/>
  <c r="EZ428" i="1"/>
  <c r="ET428" i="1"/>
  <c r="EL428" i="1"/>
  <c r="EI428" i="1"/>
  <c r="EC428" i="1"/>
  <c r="DW428" i="1"/>
  <c r="DS428" i="1"/>
  <c r="DP428" i="1"/>
  <c r="DM428" i="1"/>
  <c r="DI428" i="1"/>
  <c r="DD428" i="1"/>
  <c r="CX428" i="1"/>
  <c r="CP428" i="1"/>
  <c r="CO428" i="1"/>
  <c r="CI428" i="1"/>
  <c r="CC428" i="1"/>
  <c r="BZ428" i="1"/>
  <c r="BV428" i="1"/>
  <c r="BU428" i="1"/>
  <c r="BK428" i="1"/>
  <c r="K426" i="4" s="1"/>
  <c r="BH428" i="1"/>
  <c r="BD428" i="1"/>
  <c r="AZ428" i="1"/>
  <c r="AV428" i="1"/>
  <c r="AP428" i="1"/>
  <c r="AL428" i="1"/>
  <c r="AJ428" i="1"/>
  <c r="AC428" i="1"/>
  <c r="X428" i="1"/>
  <c r="U428" i="1"/>
  <c r="T428" i="1"/>
  <c r="F428" i="1"/>
  <c r="GE427" i="1"/>
  <c r="GB427" i="1"/>
  <c r="FW427" i="1"/>
  <c r="FV427" i="1"/>
  <c r="FS427" i="1"/>
  <c r="FO427" i="1"/>
  <c r="FJ427" i="1"/>
  <c r="FF427" i="1"/>
  <c r="FC427" i="1"/>
  <c r="EZ427" i="1"/>
  <c r="ET427" i="1"/>
  <c r="EL427" i="1"/>
  <c r="EI427" i="1"/>
  <c r="EC427" i="1"/>
  <c r="DW427" i="1"/>
  <c r="DS427" i="1"/>
  <c r="DP427" i="1"/>
  <c r="DM427" i="1"/>
  <c r="DI427" i="1"/>
  <c r="DD427" i="1"/>
  <c r="CX427" i="1"/>
  <c r="CP427" i="1"/>
  <c r="CO427" i="1"/>
  <c r="CI427" i="1"/>
  <c r="CC427" i="1"/>
  <c r="BZ427" i="1"/>
  <c r="BV427" i="1"/>
  <c r="BU427" i="1"/>
  <c r="BK427" i="1"/>
  <c r="BH427" i="1"/>
  <c r="BD427" i="1"/>
  <c r="AZ427" i="1"/>
  <c r="AV427" i="1"/>
  <c r="AP427" i="1"/>
  <c r="AL427" i="1"/>
  <c r="AJ427" i="1"/>
  <c r="AC427" i="1"/>
  <c r="X427" i="1"/>
  <c r="U427" i="1"/>
  <c r="T427" i="1"/>
  <c r="F427" i="1"/>
  <c r="GE426" i="1"/>
  <c r="GB426" i="1"/>
  <c r="FW426" i="1"/>
  <c r="FV426" i="1"/>
  <c r="FS426" i="1"/>
  <c r="FO426" i="1"/>
  <c r="FJ426" i="1"/>
  <c r="FF426" i="1"/>
  <c r="FC426" i="1"/>
  <c r="EZ426" i="1"/>
  <c r="ET426" i="1"/>
  <c r="EL426" i="1"/>
  <c r="EI426" i="1"/>
  <c r="EC426" i="1"/>
  <c r="DW426" i="1"/>
  <c r="DS426" i="1"/>
  <c r="DP426" i="1"/>
  <c r="DM426" i="1"/>
  <c r="DI426" i="1"/>
  <c r="DD426" i="1"/>
  <c r="CX426" i="1"/>
  <c r="CP426" i="1"/>
  <c r="CO426" i="1"/>
  <c r="CI426" i="1"/>
  <c r="CC426" i="1"/>
  <c r="BZ426" i="1"/>
  <c r="BV426" i="1"/>
  <c r="BU426" i="1"/>
  <c r="BK426" i="1"/>
  <c r="BH426" i="1"/>
  <c r="BD426" i="1"/>
  <c r="AZ426" i="1"/>
  <c r="AV426" i="1"/>
  <c r="AP426" i="1"/>
  <c r="AL426" i="1"/>
  <c r="AJ426" i="1"/>
  <c r="AC426" i="1"/>
  <c r="X426" i="1"/>
  <c r="U426" i="1"/>
  <c r="T426" i="1"/>
  <c r="F426" i="1"/>
  <c r="GE425" i="1"/>
  <c r="GB425" i="1"/>
  <c r="FW425" i="1"/>
  <c r="FV425" i="1"/>
  <c r="FS425" i="1"/>
  <c r="FO425" i="1"/>
  <c r="FJ425" i="1"/>
  <c r="FF425" i="1"/>
  <c r="FC425" i="1"/>
  <c r="EZ425" i="1"/>
  <c r="ET425" i="1"/>
  <c r="EL425" i="1"/>
  <c r="EI425" i="1"/>
  <c r="EC425" i="1"/>
  <c r="DW425" i="1"/>
  <c r="DS425" i="1"/>
  <c r="DP425" i="1"/>
  <c r="DM425" i="1"/>
  <c r="DI425" i="1"/>
  <c r="DD425" i="1"/>
  <c r="CX425" i="1"/>
  <c r="CP425" i="1"/>
  <c r="CO425" i="1"/>
  <c r="CI425" i="1"/>
  <c r="CC425" i="1"/>
  <c r="BZ425" i="1"/>
  <c r="BV425" i="1"/>
  <c r="BU425" i="1"/>
  <c r="BK425" i="1"/>
  <c r="K423" i="4" s="1"/>
  <c r="BH425" i="1"/>
  <c r="BD425" i="1"/>
  <c r="AZ425" i="1"/>
  <c r="AV425" i="1"/>
  <c r="AP425" i="1"/>
  <c r="AL425" i="1"/>
  <c r="AJ425" i="1"/>
  <c r="AC425" i="1"/>
  <c r="X425" i="1"/>
  <c r="U425" i="1"/>
  <c r="T425" i="1"/>
  <c r="F425" i="1"/>
  <c r="GE424" i="1"/>
  <c r="GB424" i="1"/>
  <c r="FW424" i="1"/>
  <c r="FV424" i="1"/>
  <c r="FS424" i="1"/>
  <c r="FO424" i="1"/>
  <c r="FJ424" i="1"/>
  <c r="FF424" i="1"/>
  <c r="FC424" i="1"/>
  <c r="EZ424" i="1"/>
  <c r="ET424" i="1"/>
  <c r="EL424" i="1"/>
  <c r="EI424" i="1"/>
  <c r="EC424" i="1"/>
  <c r="DW424" i="1"/>
  <c r="DS424" i="1"/>
  <c r="DP424" i="1"/>
  <c r="DM424" i="1"/>
  <c r="DI424" i="1"/>
  <c r="DD424" i="1"/>
  <c r="CX424" i="1"/>
  <c r="CP424" i="1"/>
  <c r="CO424" i="1"/>
  <c r="CI424" i="1"/>
  <c r="CC424" i="1"/>
  <c r="BZ424" i="1"/>
  <c r="BV424" i="1"/>
  <c r="BU424" i="1"/>
  <c r="BK424" i="1"/>
  <c r="K422" i="4" s="1"/>
  <c r="BH424" i="1"/>
  <c r="BD424" i="1"/>
  <c r="AZ424" i="1"/>
  <c r="AV424" i="1"/>
  <c r="AP424" i="1"/>
  <c r="AL424" i="1"/>
  <c r="AJ424" i="1"/>
  <c r="AC424" i="1"/>
  <c r="X424" i="1"/>
  <c r="U424" i="1"/>
  <c r="T424" i="1"/>
  <c r="F424" i="1"/>
  <c r="GE423" i="1"/>
  <c r="GB423" i="1"/>
  <c r="FW423" i="1"/>
  <c r="FV423" i="1"/>
  <c r="FS423" i="1"/>
  <c r="FO423" i="1"/>
  <c r="FJ423" i="1"/>
  <c r="FF423" i="1"/>
  <c r="FC423" i="1"/>
  <c r="EZ423" i="1"/>
  <c r="ET423" i="1"/>
  <c r="EL423" i="1"/>
  <c r="EI423" i="1"/>
  <c r="EC423" i="1"/>
  <c r="DW423" i="1"/>
  <c r="DS423" i="1"/>
  <c r="DP423" i="1"/>
  <c r="DM423" i="1"/>
  <c r="DI423" i="1"/>
  <c r="DD423" i="1"/>
  <c r="CX423" i="1"/>
  <c r="CP423" i="1"/>
  <c r="CO423" i="1"/>
  <c r="CI423" i="1"/>
  <c r="CC423" i="1"/>
  <c r="BZ423" i="1"/>
  <c r="BV423" i="1"/>
  <c r="BU423" i="1"/>
  <c r="BK423" i="1"/>
  <c r="K421" i="4" s="1"/>
  <c r="BH423" i="1"/>
  <c r="BD423" i="1"/>
  <c r="AZ423" i="1"/>
  <c r="AV423" i="1"/>
  <c r="AP423" i="1"/>
  <c r="AL423" i="1"/>
  <c r="AJ423" i="1"/>
  <c r="AC423" i="1"/>
  <c r="X423" i="1"/>
  <c r="U423" i="1"/>
  <c r="T423" i="1"/>
  <c r="F423" i="1"/>
  <c r="GE422" i="1"/>
  <c r="GB422" i="1"/>
  <c r="FW422" i="1"/>
  <c r="FV422" i="1"/>
  <c r="FS422" i="1"/>
  <c r="FO422" i="1"/>
  <c r="FJ422" i="1"/>
  <c r="FF422" i="1"/>
  <c r="FC422" i="1"/>
  <c r="EZ422" i="1"/>
  <c r="ET422" i="1"/>
  <c r="EL422" i="1"/>
  <c r="EI422" i="1"/>
  <c r="EC422" i="1"/>
  <c r="DW422" i="1"/>
  <c r="DS422" i="1"/>
  <c r="DP422" i="1"/>
  <c r="DM422" i="1"/>
  <c r="DI422" i="1"/>
  <c r="DD422" i="1"/>
  <c r="CX422" i="1"/>
  <c r="CP422" i="1"/>
  <c r="CO422" i="1"/>
  <c r="CI422" i="1"/>
  <c r="CC422" i="1"/>
  <c r="BZ422" i="1"/>
  <c r="BV422" i="1"/>
  <c r="BU422" i="1"/>
  <c r="BK422" i="1"/>
  <c r="BH422" i="1"/>
  <c r="BD422" i="1"/>
  <c r="AZ422" i="1"/>
  <c r="AV422" i="1"/>
  <c r="AP422" i="1"/>
  <c r="AL422" i="1"/>
  <c r="AJ422" i="1"/>
  <c r="AC422" i="1"/>
  <c r="X422" i="1"/>
  <c r="U422" i="1"/>
  <c r="T422" i="1"/>
  <c r="F422" i="1"/>
  <c r="GE421" i="1"/>
  <c r="GB421" i="1"/>
  <c r="FW421" i="1"/>
  <c r="FV421" i="1"/>
  <c r="FS421" i="1"/>
  <c r="FO421" i="1"/>
  <c r="FJ421" i="1"/>
  <c r="FF421" i="1"/>
  <c r="FC421" i="1"/>
  <c r="EZ421" i="1"/>
  <c r="ET421" i="1"/>
  <c r="EL421" i="1"/>
  <c r="EI421" i="1"/>
  <c r="EC421" i="1"/>
  <c r="DW421" i="1"/>
  <c r="DS421" i="1"/>
  <c r="DP421" i="1"/>
  <c r="DM421" i="1"/>
  <c r="DI421" i="1"/>
  <c r="DD421" i="1"/>
  <c r="CX421" i="1"/>
  <c r="CP421" i="1"/>
  <c r="CO421" i="1"/>
  <c r="CI421" i="1"/>
  <c r="CC421" i="1"/>
  <c r="BZ421" i="1"/>
  <c r="BV421" i="1"/>
  <c r="BU421" i="1"/>
  <c r="BK421" i="1"/>
  <c r="K419" i="4" s="1"/>
  <c r="BH421" i="1"/>
  <c r="BD421" i="1"/>
  <c r="AZ421" i="1"/>
  <c r="AV421" i="1"/>
  <c r="AP421" i="1"/>
  <c r="AL421" i="1"/>
  <c r="AJ421" i="1"/>
  <c r="AC421" i="1"/>
  <c r="X421" i="1"/>
  <c r="U421" i="1"/>
  <c r="T421" i="1"/>
  <c r="F421" i="1"/>
  <c r="GE420" i="1"/>
  <c r="GB420" i="1"/>
  <c r="FW420" i="1"/>
  <c r="FV420" i="1"/>
  <c r="FS420" i="1"/>
  <c r="FO420" i="1"/>
  <c r="FJ420" i="1"/>
  <c r="FF420" i="1"/>
  <c r="FC420" i="1"/>
  <c r="EZ420" i="1"/>
  <c r="ET420" i="1"/>
  <c r="EL420" i="1"/>
  <c r="EI420" i="1"/>
  <c r="EC420" i="1"/>
  <c r="DW420" i="1"/>
  <c r="DS420" i="1"/>
  <c r="DP420" i="1"/>
  <c r="DM420" i="1"/>
  <c r="DI420" i="1"/>
  <c r="DD420" i="1"/>
  <c r="CX420" i="1"/>
  <c r="CP420" i="1"/>
  <c r="CO420" i="1"/>
  <c r="CI420" i="1"/>
  <c r="CC420" i="1"/>
  <c r="BZ420" i="1"/>
  <c r="BV420" i="1"/>
  <c r="BU420" i="1"/>
  <c r="BK420" i="1"/>
  <c r="K418" i="4" s="1"/>
  <c r="BH420" i="1"/>
  <c r="BD420" i="1"/>
  <c r="AZ420" i="1"/>
  <c r="AV420" i="1"/>
  <c r="AP420" i="1"/>
  <c r="AL420" i="1"/>
  <c r="AJ420" i="1"/>
  <c r="AC420" i="1"/>
  <c r="X420" i="1"/>
  <c r="U420" i="1"/>
  <c r="T420" i="1"/>
  <c r="F420" i="1"/>
  <c r="GE419" i="1"/>
  <c r="GB419" i="1"/>
  <c r="FW419" i="1"/>
  <c r="FV419" i="1"/>
  <c r="FS419" i="1"/>
  <c r="FO419" i="1"/>
  <c r="FJ419" i="1"/>
  <c r="FF419" i="1"/>
  <c r="FC419" i="1"/>
  <c r="EZ419" i="1"/>
  <c r="ET419" i="1"/>
  <c r="EL419" i="1"/>
  <c r="EI419" i="1"/>
  <c r="EC419" i="1"/>
  <c r="DW419" i="1"/>
  <c r="DS419" i="1"/>
  <c r="DP419" i="1"/>
  <c r="DM419" i="1"/>
  <c r="DI419" i="1"/>
  <c r="DD419" i="1"/>
  <c r="CX419" i="1"/>
  <c r="CP419" i="1"/>
  <c r="CO419" i="1"/>
  <c r="CI419" i="1"/>
  <c r="CC419" i="1"/>
  <c r="BZ419" i="1"/>
  <c r="BV419" i="1"/>
  <c r="BU419" i="1"/>
  <c r="BK419" i="1"/>
  <c r="K417" i="4" s="1"/>
  <c r="BH419" i="1"/>
  <c r="BD419" i="1"/>
  <c r="AZ419" i="1"/>
  <c r="AV419" i="1"/>
  <c r="AP419" i="1"/>
  <c r="AL419" i="1"/>
  <c r="AJ419" i="1"/>
  <c r="AC419" i="1"/>
  <c r="X419" i="1"/>
  <c r="U419" i="1"/>
  <c r="T419" i="1"/>
  <c r="F419" i="1"/>
  <c r="GE418" i="1"/>
  <c r="GB418" i="1"/>
  <c r="FW418" i="1"/>
  <c r="FV418" i="1"/>
  <c r="FS418" i="1"/>
  <c r="FO418" i="1"/>
  <c r="FJ418" i="1"/>
  <c r="FF418" i="1"/>
  <c r="FC418" i="1"/>
  <c r="EZ418" i="1"/>
  <c r="ET418" i="1"/>
  <c r="EL418" i="1"/>
  <c r="EI418" i="1"/>
  <c r="EC418" i="1"/>
  <c r="DW418" i="1"/>
  <c r="DS418" i="1"/>
  <c r="DP418" i="1"/>
  <c r="DM418" i="1"/>
  <c r="DI418" i="1"/>
  <c r="DD418" i="1"/>
  <c r="CX418" i="1"/>
  <c r="CP418" i="1"/>
  <c r="CO418" i="1"/>
  <c r="CI418" i="1"/>
  <c r="CC418" i="1"/>
  <c r="BZ418" i="1"/>
  <c r="BV418" i="1"/>
  <c r="BU418" i="1"/>
  <c r="BK418" i="1"/>
  <c r="K416" i="4" s="1"/>
  <c r="BH418" i="1"/>
  <c r="BD418" i="1"/>
  <c r="AZ418" i="1"/>
  <c r="AV418" i="1"/>
  <c r="AP418" i="1"/>
  <c r="AL418" i="1"/>
  <c r="AJ418" i="1"/>
  <c r="AC418" i="1"/>
  <c r="X418" i="1"/>
  <c r="U418" i="1"/>
  <c r="T418" i="1"/>
  <c r="F418" i="1"/>
  <c r="GE417" i="1"/>
  <c r="GB417" i="1"/>
  <c r="FW417" i="1"/>
  <c r="FV417" i="1"/>
  <c r="FS417" i="1"/>
  <c r="FO417" i="1"/>
  <c r="FJ417" i="1"/>
  <c r="FF417" i="1"/>
  <c r="FC417" i="1"/>
  <c r="EZ417" i="1"/>
  <c r="ET417" i="1"/>
  <c r="EL417" i="1"/>
  <c r="EI417" i="1"/>
  <c r="EC417" i="1"/>
  <c r="DW417" i="1"/>
  <c r="DS417" i="1"/>
  <c r="DP417" i="1"/>
  <c r="DM417" i="1"/>
  <c r="DI417" i="1"/>
  <c r="DD417" i="1"/>
  <c r="CX417" i="1"/>
  <c r="CP417" i="1"/>
  <c r="CO417" i="1"/>
  <c r="CI417" i="1"/>
  <c r="CC417" i="1"/>
  <c r="BZ417" i="1"/>
  <c r="BV417" i="1"/>
  <c r="BU417" i="1"/>
  <c r="BK417" i="1"/>
  <c r="K415" i="4" s="1"/>
  <c r="BH417" i="1"/>
  <c r="BD417" i="1"/>
  <c r="AZ417" i="1"/>
  <c r="AV417" i="1"/>
  <c r="AP417" i="1"/>
  <c r="AL417" i="1"/>
  <c r="AJ417" i="1"/>
  <c r="AC417" i="1"/>
  <c r="X417" i="1"/>
  <c r="U417" i="1"/>
  <c r="T417" i="1"/>
  <c r="F417" i="1"/>
  <c r="GE416" i="1"/>
  <c r="GB416" i="1"/>
  <c r="FW416" i="1"/>
  <c r="FV416" i="1"/>
  <c r="FS416" i="1"/>
  <c r="FO416" i="1"/>
  <c r="FJ416" i="1"/>
  <c r="FF416" i="1"/>
  <c r="FC416" i="1"/>
  <c r="EZ416" i="1"/>
  <c r="ET416" i="1"/>
  <c r="EL416" i="1"/>
  <c r="EI416" i="1"/>
  <c r="EC416" i="1"/>
  <c r="DW416" i="1"/>
  <c r="DS416" i="1"/>
  <c r="DP416" i="1"/>
  <c r="DM416" i="1"/>
  <c r="DI416" i="1"/>
  <c r="DD416" i="1"/>
  <c r="CX416" i="1"/>
  <c r="CP416" i="1"/>
  <c r="CO416" i="1"/>
  <c r="CI416" i="1"/>
  <c r="CC416" i="1"/>
  <c r="BZ416" i="1"/>
  <c r="BV416" i="1"/>
  <c r="BU416" i="1"/>
  <c r="BK416" i="1"/>
  <c r="BH416" i="1"/>
  <c r="BD416" i="1"/>
  <c r="AZ416" i="1"/>
  <c r="AV416" i="1"/>
  <c r="AP416" i="1"/>
  <c r="AL416" i="1"/>
  <c r="AJ416" i="1"/>
  <c r="AC416" i="1"/>
  <c r="X416" i="1"/>
  <c r="U416" i="1"/>
  <c r="T416" i="1"/>
  <c r="F416" i="1"/>
  <c r="GE415" i="1"/>
  <c r="GB415" i="1"/>
  <c r="FW415" i="1"/>
  <c r="FV415" i="1"/>
  <c r="FS415" i="1"/>
  <c r="FO415" i="1"/>
  <c r="FJ415" i="1"/>
  <c r="FF415" i="1"/>
  <c r="FC415" i="1"/>
  <c r="EZ415" i="1"/>
  <c r="ET415" i="1"/>
  <c r="EL415" i="1"/>
  <c r="EI415" i="1"/>
  <c r="EC415" i="1"/>
  <c r="DW415" i="1"/>
  <c r="DS415" i="1"/>
  <c r="DP415" i="1"/>
  <c r="DM415" i="1"/>
  <c r="DI415" i="1"/>
  <c r="DD415" i="1"/>
  <c r="CX415" i="1"/>
  <c r="CP415" i="1"/>
  <c r="CO415" i="1"/>
  <c r="CI415" i="1"/>
  <c r="CC415" i="1"/>
  <c r="BZ415" i="1"/>
  <c r="BV415" i="1"/>
  <c r="BU415" i="1"/>
  <c r="BK415" i="1"/>
  <c r="K413" i="4" s="1"/>
  <c r="BH415" i="1"/>
  <c r="BD415" i="1"/>
  <c r="AZ415" i="1"/>
  <c r="AV415" i="1"/>
  <c r="AP415" i="1"/>
  <c r="AL415" i="1"/>
  <c r="AJ415" i="1"/>
  <c r="AC415" i="1"/>
  <c r="X415" i="1"/>
  <c r="U415" i="1"/>
  <c r="T415" i="1"/>
  <c r="F415" i="1"/>
  <c r="GE414" i="1"/>
  <c r="GB414" i="1"/>
  <c r="FW414" i="1"/>
  <c r="FV414" i="1"/>
  <c r="FS414" i="1"/>
  <c r="FO414" i="1"/>
  <c r="FJ414" i="1"/>
  <c r="FF414" i="1"/>
  <c r="FC414" i="1"/>
  <c r="EZ414" i="1"/>
  <c r="ET414" i="1"/>
  <c r="EL414" i="1"/>
  <c r="EI414" i="1"/>
  <c r="EC414" i="1"/>
  <c r="DW414" i="1"/>
  <c r="DS414" i="1"/>
  <c r="DP414" i="1"/>
  <c r="DM414" i="1"/>
  <c r="DI414" i="1"/>
  <c r="DD414" i="1"/>
  <c r="CX414" i="1"/>
  <c r="CP414" i="1"/>
  <c r="CO414" i="1"/>
  <c r="CI414" i="1"/>
  <c r="CC414" i="1"/>
  <c r="BZ414" i="1"/>
  <c r="BV414" i="1"/>
  <c r="BU414" i="1"/>
  <c r="BK414" i="1"/>
  <c r="BH414" i="1"/>
  <c r="BD414" i="1"/>
  <c r="AZ414" i="1"/>
  <c r="AV414" i="1"/>
  <c r="AP414" i="1"/>
  <c r="AL414" i="1"/>
  <c r="AJ414" i="1"/>
  <c r="AC414" i="1"/>
  <c r="X414" i="1"/>
  <c r="U414" i="1"/>
  <c r="T414" i="1"/>
  <c r="F414" i="1"/>
  <c r="GE413" i="1"/>
  <c r="GB413" i="1"/>
  <c r="FW413" i="1"/>
  <c r="FV413" i="1"/>
  <c r="FS413" i="1"/>
  <c r="FO413" i="1"/>
  <c r="FJ413" i="1"/>
  <c r="FF413" i="1"/>
  <c r="FC413" i="1"/>
  <c r="EZ413" i="1"/>
  <c r="ET413" i="1"/>
  <c r="EL413" i="1"/>
  <c r="EI413" i="1"/>
  <c r="EC413" i="1"/>
  <c r="DW413" i="1"/>
  <c r="DS413" i="1"/>
  <c r="DP413" i="1"/>
  <c r="DM413" i="1"/>
  <c r="DI413" i="1"/>
  <c r="DD413" i="1"/>
  <c r="CX413" i="1"/>
  <c r="CP413" i="1"/>
  <c r="CO413" i="1"/>
  <c r="CI413" i="1"/>
  <c r="CC413" i="1"/>
  <c r="BZ413" i="1"/>
  <c r="BV413" i="1"/>
  <c r="BU413" i="1"/>
  <c r="BK413" i="1"/>
  <c r="K411" i="4" s="1"/>
  <c r="BH413" i="1"/>
  <c r="BD413" i="1"/>
  <c r="AZ413" i="1"/>
  <c r="AV413" i="1"/>
  <c r="AP413" i="1"/>
  <c r="AL413" i="1"/>
  <c r="AJ413" i="1"/>
  <c r="AC413" i="1"/>
  <c r="X413" i="1"/>
  <c r="U413" i="1"/>
  <c r="T413" i="1"/>
  <c r="F413" i="1"/>
  <c r="GE412" i="1"/>
  <c r="GB412" i="1"/>
  <c r="FW412" i="1"/>
  <c r="FV412" i="1"/>
  <c r="FS412" i="1"/>
  <c r="FO412" i="1"/>
  <c r="FJ412" i="1"/>
  <c r="FF412" i="1"/>
  <c r="FC412" i="1"/>
  <c r="EZ412" i="1"/>
  <c r="ET412" i="1"/>
  <c r="EL412" i="1"/>
  <c r="EI412" i="1"/>
  <c r="EC412" i="1"/>
  <c r="DW412" i="1"/>
  <c r="DS412" i="1"/>
  <c r="DP412" i="1"/>
  <c r="DM412" i="1"/>
  <c r="DI412" i="1"/>
  <c r="DD412" i="1"/>
  <c r="CX412" i="1"/>
  <c r="CP412" i="1"/>
  <c r="CO412" i="1"/>
  <c r="CI412" i="1"/>
  <c r="CC412" i="1"/>
  <c r="BZ412" i="1"/>
  <c r="BV412" i="1"/>
  <c r="BU412" i="1"/>
  <c r="BK412" i="1"/>
  <c r="K410" i="4" s="1"/>
  <c r="BH412" i="1"/>
  <c r="BD412" i="1"/>
  <c r="AZ412" i="1"/>
  <c r="AV412" i="1"/>
  <c r="AP412" i="1"/>
  <c r="AL412" i="1"/>
  <c r="AJ412" i="1"/>
  <c r="AC412" i="1"/>
  <c r="X412" i="1"/>
  <c r="U412" i="1"/>
  <c r="T412" i="1"/>
  <c r="F412" i="1"/>
  <c r="GE411" i="1"/>
  <c r="GB411" i="1"/>
  <c r="FW411" i="1"/>
  <c r="FV411" i="1"/>
  <c r="FS411" i="1"/>
  <c r="FO411" i="1"/>
  <c r="FJ411" i="1"/>
  <c r="FF411" i="1"/>
  <c r="FC411" i="1"/>
  <c r="EZ411" i="1"/>
  <c r="ET411" i="1"/>
  <c r="EL411" i="1"/>
  <c r="EI411" i="1"/>
  <c r="EC411" i="1"/>
  <c r="DW411" i="1"/>
  <c r="DS411" i="1"/>
  <c r="DP411" i="1"/>
  <c r="DM411" i="1"/>
  <c r="DI411" i="1"/>
  <c r="DD411" i="1"/>
  <c r="CX411" i="1"/>
  <c r="CP411" i="1"/>
  <c r="CO411" i="1"/>
  <c r="CI411" i="1"/>
  <c r="CC411" i="1"/>
  <c r="BZ411" i="1"/>
  <c r="BV411" i="1"/>
  <c r="BU411" i="1"/>
  <c r="BK411" i="1"/>
  <c r="K409" i="4" s="1"/>
  <c r="BH411" i="1"/>
  <c r="BD411" i="1"/>
  <c r="AZ411" i="1"/>
  <c r="AV411" i="1"/>
  <c r="AP411" i="1"/>
  <c r="AL411" i="1"/>
  <c r="AJ411" i="1"/>
  <c r="AC411" i="1"/>
  <c r="X411" i="1"/>
  <c r="U411" i="1"/>
  <c r="T411" i="1"/>
  <c r="F411" i="1"/>
  <c r="GE410" i="1"/>
  <c r="GB410" i="1"/>
  <c r="FW410" i="1"/>
  <c r="FV410" i="1"/>
  <c r="FS410" i="1"/>
  <c r="FO410" i="1"/>
  <c r="FJ410" i="1"/>
  <c r="FF410" i="1"/>
  <c r="FC410" i="1"/>
  <c r="EZ410" i="1"/>
  <c r="ET410" i="1"/>
  <c r="EL410" i="1"/>
  <c r="EI410" i="1"/>
  <c r="EC410" i="1"/>
  <c r="DW410" i="1"/>
  <c r="DS410" i="1"/>
  <c r="DP410" i="1"/>
  <c r="DM410" i="1"/>
  <c r="DI410" i="1"/>
  <c r="DD410" i="1"/>
  <c r="CX410" i="1"/>
  <c r="CP410" i="1"/>
  <c r="CO410" i="1"/>
  <c r="CI410" i="1"/>
  <c r="CC410" i="1"/>
  <c r="BZ410" i="1"/>
  <c r="BV410" i="1"/>
  <c r="BU410" i="1"/>
  <c r="BK410" i="1"/>
  <c r="BH410" i="1"/>
  <c r="BD410" i="1"/>
  <c r="AZ410" i="1"/>
  <c r="AV410" i="1"/>
  <c r="AP410" i="1"/>
  <c r="AL410" i="1"/>
  <c r="AJ410" i="1"/>
  <c r="AC410" i="1"/>
  <c r="X410" i="1"/>
  <c r="U410" i="1"/>
  <c r="T410" i="1"/>
  <c r="F410" i="1"/>
  <c r="GE409" i="1"/>
  <c r="GB409" i="1"/>
  <c r="FW409" i="1"/>
  <c r="FV409" i="1"/>
  <c r="FS409" i="1"/>
  <c r="FO409" i="1"/>
  <c r="FJ409" i="1"/>
  <c r="FF409" i="1"/>
  <c r="FC409" i="1"/>
  <c r="EZ409" i="1"/>
  <c r="ET409" i="1"/>
  <c r="EL409" i="1"/>
  <c r="EI409" i="1"/>
  <c r="EC409" i="1"/>
  <c r="DW409" i="1"/>
  <c r="DS409" i="1"/>
  <c r="DP409" i="1"/>
  <c r="DM409" i="1"/>
  <c r="DI409" i="1"/>
  <c r="DD409" i="1"/>
  <c r="CX409" i="1"/>
  <c r="CP409" i="1"/>
  <c r="CO409" i="1"/>
  <c r="CI409" i="1"/>
  <c r="CC409" i="1"/>
  <c r="BZ409" i="1"/>
  <c r="BV409" i="1"/>
  <c r="BU409" i="1"/>
  <c r="BK409" i="1"/>
  <c r="K407" i="4" s="1"/>
  <c r="BH409" i="1"/>
  <c r="BD409" i="1"/>
  <c r="AZ409" i="1"/>
  <c r="AV409" i="1"/>
  <c r="AP409" i="1"/>
  <c r="AL409" i="1"/>
  <c r="AJ409" i="1"/>
  <c r="AC409" i="1"/>
  <c r="X409" i="1"/>
  <c r="U409" i="1"/>
  <c r="T409" i="1"/>
  <c r="F409" i="1"/>
  <c r="GE408" i="1"/>
  <c r="GB408" i="1"/>
  <c r="FW408" i="1"/>
  <c r="FV408" i="1"/>
  <c r="FS408" i="1"/>
  <c r="FO408" i="1"/>
  <c r="FJ408" i="1"/>
  <c r="FF408" i="1"/>
  <c r="FC408" i="1"/>
  <c r="EZ408" i="1"/>
  <c r="ET408" i="1"/>
  <c r="EL408" i="1"/>
  <c r="EI408" i="1"/>
  <c r="EC408" i="1"/>
  <c r="DW408" i="1"/>
  <c r="DS408" i="1"/>
  <c r="DP408" i="1"/>
  <c r="DM408" i="1"/>
  <c r="DI408" i="1"/>
  <c r="DD408" i="1"/>
  <c r="CX408" i="1"/>
  <c r="CP408" i="1"/>
  <c r="CO408" i="1"/>
  <c r="CI408" i="1"/>
  <c r="CC408" i="1"/>
  <c r="BZ408" i="1"/>
  <c r="BV408" i="1"/>
  <c r="BU408" i="1"/>
  <c r="BK408" i="1"/>
  <c r="K406" i="4" s="1"/>
  <c r="BH408" i="1"/>
  <c r="BD408" i="1"/>
  <c r="AZ408" i="1"/>
  <c r="AV408" i="1"/>
  <c r="AP408" i="1"/>
  <c r="AL408" i="1"/>
  <c r="AJ408" i="1"/>
  <c r="AC408" i="1"/>
  <c r="X408" i="1"/>
  <c r="U408" i="1"/>
  <c r="T408" i="1"/>
  <c r="F408" i="1"/>
  <c r="GE407" i="1"/>
  <c r="GB407" i="1"/>
  <c r="FW407" i="1"/>
  <c r="FV407" i="1"/>
  <c r="FS407" i="1"/>
  <c r="FO407" i="1"/>
  <c r="FJ407" i="1"/>
  <c r="FF407" i="1"/>
  <c r="FC407" i="1"/>
  <c r="EZ407" i="1"/>
  <c r="ET407" i="1"/>
  <c r="EL407" i="1"/>
  <c r="EI407" i="1"/>
  <c r="EC407" i="1"/>
  <c r="DW407" i="1"/>
  <c r="DS407" i="1"/>
  <c r="DP407" i="1"/>
  <c r="DM407" i="1"/>
  <c r="DI407" i="1"/>
  <c r="DD407" i="1"/>
  <c r="CX407" i="1"/>
  <c r="CP407" i="1"/>
  <c r="CO407" i="1"/>
  <c r="CI407" i="1"/>
  <c r="CC407" i="1"/>
  <c r="BZ407" i="1"/>
  <c r="BV407" i="1"/>
  <c r="BU407" i="1"/>
  <c r="BK407" i="1"/>
  <c r="K405" i="4" s="1"/>
  <c r="BH407" i="1"/>
  <c r="BD407" i="1"/>
  <c r="AZ407" i="1"/>
  <c r="AV407" i="1"/>
  <c r="AP407" i="1"/>
  <c r="AL407" i="1"/>
  <c r="AJ407" i="1"/>
  <c r="AC407" i="1"/>
  <c r="X407" i="1"/>
  <c r="U407" i="1"/>
  <c r="T407" i="1"/>
  <c r="F407" i="1"/>
  <c r="GE406" i="1"/>
  <c r="GB406" i="1"/>
  <c r="FW406" i="1"/>
  <c r="FV406" i="1"/>
  <c r="FS406" i="1"/>
  <c r="FO406" i="1"/>
  <c r="FJ406" i="1"/>
  <c r="FF406" i="1"/>
  <c r="FC406" i="1"/>
  <c r="EZ406" i="1"/>
  <c r="ET406" i="1"/>
  <c r="EL406" i="1"/>
  <c r="EI406" i="1"/>
  <c r="EC406" i="1"/>
  <c r="DW406" i="1"/>
  <c r="DS406" i="1"/>
  <c r="DP406" i="1"/>
  <c r="DM406" i="1"/>
  <c r="DI406" i="1"/>
  <c r="DD406" i="1"/>
  <c r="CX406" i="1"/>
  <c r="CP406" i="1"/>
  <c r="CO406" i="1"/>
  <c r="CI406" i="1"/>
  <c r="CC406" i="1"/>
  <c r="BZ406" i="1"/>
  <c r="BV406" i="1"/>
  <c r="BU406" i="1"/>
  <c r="BK406" i="1"/>
  <c r="BH406" i="1"/>
  <c r="BD406" i="1"/>
  <c r="AZ406" i="1"/>
  <c r="AV406" i="1"/>
  <c r="AP406" i="1"/>
  <c r="AL406" i="1"/>
  <c r="AJ406" i="1"/>
  <c r="AC406" i="1"/>
  <c r="X406" i="1"/>
  <c r="U406" i="1"/>
  <c r="T406" i="1"/>
  <c r="F406" i="1"/>
  <c r="GE405" i="1"/>
  <c r="GB405" i="1"/>
  <c r="FW405" i="1"/>
  <c r="FV405" i="1"/>
  <c r="FS405" i="1"/>
  <c r="FO405" i="1"/>
  <c r="FJ405" i="1"/>
  <c r="FF405" i="1"/>
  <c r="FC405" i="1"/>
  <c r="EZ405" i="1"/>
  <c r="ET405" i="1"/>
  <c r="EL405" i="1"/>
  <c r="EI405" i="1"/>
  <c r="EC405" i="1"/>
  <c r="DW405" i="1"/>
  <c r="DS405" i="1"/>
  <c r="DP405" i="1"/>
  <c r="DM405" i="1"/>
  <c r="DI405" i="1"/>
  <c r="DD405" i="1"/>
  <c r="CX405" i="1"/>
  <c r="CP405" i="1"/>
  <c r="CO405" i="1"/>
  <c r="CI405" i="1"/>
  <c r="CC405" i="1"/>
  <c r="BZ405" i="1"/>
  <c r="BV405" i="1"/>
  <c r="BU405" i="1"/>
  <c r="BK405" i="1"/>
  <c r="K403" i="4" s="1"/>
  <c r="BH405" i="1"/>
  <c r="BD405" i="1"/>
  <c r="AZ405" i="1"/>
  <c r="AV405" i="1"/>
  <c r="AP405" i="1"/>
  <c r="AL405" i="1"/>
  <c r="AJ405" i="1"/>
  <c r="AC405" i="1"/>
  <c r="X405" i="1"/>
  <c r="U405" i="1"/>
  <c r="T405" i="1"/>
  <c r="F405" i="1"/>
  <c r="GE404" i="1"/>
  <c r="GB404" i="1"/>
  <c r="FW404" i="1"/>
  <c r="FV404" i="1"/>
  <c r="FS404" i="1"/>
  <c r="FO404" i="1"/>
  <c r="FJ404" i="1"/>
  <c r="FF404" i="1"/>
  <c r="FC404" i="1"/>
  <c r="EZ404" i="1"/>
  <c r="ET404" i="1"/>
  <c r="EL404" i="1"/>
  <c r="EI404" i="1"/>
  <c r="EC404" i="1"/>
  <c r="DW404" i="1"/>
  <c r="DS404" i="1"/>
  <c r="DP404" i="1"/>
  <c r="DM404" i="1"/>
  <c r="DI404" i="1"/>
  <c r="DD404" i="1"/>
  <c r="CX404" i="1"/>
  <c r="CP404" i="1"/>
  <c r="CO404" i="1"/>
  <c r="CI404" i="1"/>
  <c r="CC404" i="1"/>
  <c r="BZ404" i="1"/>
  <c r="BV404" i="1"/>
  <c r="BU404" i="1"/>
  <c r="BK404" i="1"/>
  <c r="K402" i="4" s="1"/>
  <c r="BH404" i="1"/>
  <c r="BD404" i="1"/>
  <c r="AZ404" i="1"/>
  <c r="AV404" i="1"/>
  <c r="AP404" i="1"/>
  <c r="AL404" i="1"/>
  <c r="AJ404" i="1"/>
  <c r="AC404" i="1"/>
  <c r="X404" i="1"/>
  <c r="U404" i="1"/>
  <c r="T404" i="1"/>
  <c r="F404" i="1"/>
  <c r="GE403" i="1"/>
  <c r="GB403" i="1"/>
  <c r="FW403" i="1"/>
  <c r="FV403" i="1"/>
  <c r="FS403" i="1"/>
  <c r="FO403" i="1"/>
  <c r="FJ403" i="1"/>
  <c r="FF403" i="1"/>
  <c r="FC403" i="1"/>
  <c r="EZ403" i="1"/>
  <c r="ET403" i="1"/>
  <c r="EL403" i="1"/>
  <c r="EI403" i="1"/>
  <c r="EC403" i="1"/>
  <c r="DW403" i="1"/>
  <c r="DS403" i="1"/>
  <c r="DP403" i="1"/>
  <c r="DM403" i="1"/>
  <c r="DI403" i="1"/>
  <c r="DD403" i="1"/>
  <c r="CX403" i="1"/>
  <c r="CP403" i="1"/>
  <c r="CO403" i="1"/>
  <c r="CI403" i="1"/>
  <c r="CC403" i="1"/>
  <c r="BZ403" i="1"/>
  <c r="BV403" i="1"/>
  <c r="BU403" i="1"/>
  <c r="BK403" i="1"/>
  <c r="K401" i="4" s="1"/>
  <c r="BH403" i="1"/>
  <c r="BD403" i="1"/>
  <c r="AZ403" i="1"/>
  <c r="AV403" i="1"/>
  <c r="AP403" i="1"/>
  <c r="AL403" i="1"/>
  <c r="AJ403" i="1"/>
  <c r="AC403" i="1"/>
  <c r="X403" i="1"/>
  <c r="U403" i="1"/>
  <c r="T403" i="1"/>
  <c r="F403" i="1"/>
  <c r="GE402" i="1"/>
  <c r="GB402" i="1"/>
  <c r="FW402" i="1"/>
  <c r="FV402" i="1"/>
  <c r="FS402" i="1"/>
  <c r="FO402" i="1"/>
  <c r="FJ402" i="1"/>
  <c r="FF402" i="1"/>
  <c r="FC402" i="1"/>
  <c r="EZ402" i="1"/>
  <c r="ET402" i="1"/>
  <c r="EL402" i="1"/>
  <c r="EI402" i="1"/>
  <c r="EC402" i="1"/>
  <c r="DW402" i="1"/>
  <c r="DS402" i="1"/>
  <c r="DP402" i="1"/>
  <c r="DM402" i="1"/>
  <c r="DI402" i="1"/>
  <c r="DD402" i="1"/>
  <c r="CX402" i="1"/>
  <c r="CP402" i="1"/>
  <c r="CO402" i="1"/>
  <c r="CI402" i="1"/>
  <c r="CC402" i="1"/>
  <c r="BZ402" i="1"/>
  <c r="BV402" i="1"/>
  <c r="BU402" i="1"/>
  <c r="BK402" i="1"/>
  <c r="BH402" i="1"/>
  <c r="BD402" i="1"/>
  <c r="AZ402" i="1"/>
  <c r="AV402" i="1"/>
  <c r="AP402" i="1"/>
  <c r="AL402" i="1"/>
  <c r="AJ402" i="1"/>
  <c r="AC402" i="1"/>
  <c r="X402" i="1"/>
  <c r="U402" i="1"/>
  <c r="T402" i="1"/>
  <c r="F402" i="1"/>
  <c r="GE401" i="1"/>
  <c r="GB401" i="1"/>
  <c r="FW401" i="1"/>
  <c r="FV401" i="1"/>
  <c r="FS401" i="1"/>
  <c r="FO401" i="1"/>
  <c r="FJ401" i="1"/>
  <c r="FF401" i="1"/>
  <c r="FC401" i="1"/>
  <c r="EZ401" i="1"/>
  <c r="ET401" i="1"/>
  <c r="EL401" i="1"/>
  <c r="EI401" i="1"/>
  <c r="EC401" i="1"/>
  <c r="DW401" i="1"/>
  <c r="DS401" i="1"/>
  <c r="DP401" i="1"/>
  <c r="DM401" i="1"/>
  <c r="DI401" i="1"/>
  <c r="DD401" i="1"/>
  <c r="CX401" i="1"/>
  <c r="CP401" i="1"/>
  <c r="CO401" i="1"/>
  <c r="CI401" i="1"/>
  <c r="CC401" i="1"/>
  <c r="BZ401" i="1"/>
  <c r="BV401" i="1"/>
  <c r="BU401" i="1"/>
  <c r="BK401" i="1"/>
  <c r="BH401" i="1"/>
  <c r="BD401" i="1"/>
  <c r="AZ401" i="1"/>
  <c r="AV401" i="1"/>
  <c r="AP401" i="1"/>
  <c r="AL401" i="1"/>
  <c r="AJ401" i="1"/>
  <c r="AC401" i="1"/>
  <c r="X401" i="1"/>
  <c r="U401" i="1"/>
  <c r="T401" i="1"/>
  <c r="F401" i="1"/>
  <c r="GE400" i="1"/>
  <c r="GB400" i="1"/>
  <c r="FW400" i="1"/>
  <c r="FV400" i="1"/>
  <c r="FS400" i="1"/>
  <c r="FO400" i="1"/>
  <c r="FJ400" i="1"/>
  <c r="FF400" i="1"/>
  <c r="FC400" i="1"/>
  <c r="EZ400" i="1"/>
  <c r="ET400" i="1"/>
  <c r="EL400" i="1"/>
  <c r="EI400" i="1"/>
  <c r="EC400" i="1"/>
  <c r="DW400" i="1"/>
  <c r="DS400" i="1"/>
  <c r="DP400" i="1"/>
  <c r="DM400" i="1"/>
  <c r="DI400" i="1"/>
  <c r="DD400" i="1"/>
  <c r="CX400" i="1"/>
  <c r="CP400" i="1"/>
  <c r="CO400" i="1"/>
  <c r="CI400" i="1"/>
  <c r="CC400" i="1"/>
  <c r="BZ400" i="1"/>
  <c r="BV400" i="1"/>
  <c r="BU400" i="1"/>
  <c r="BK400" i="1"/>
  <c r="BH400" i="1"/>
  <c r="BD400" i="1"/>
  <c r="AZ400" i="1"/>
  <c r="AV400" i="1"/>
  <c r="AP400" i="1"/>
  <c r="AL400" i="1"/>
  <c r="AJ400" i="1"/>
  <c r="AC400" i="1"/>
  <c r="X400" i="1"/>
  <c r="U400" i="1"/>
  <c r="T400" i="1"/>
  <c r="F400" i="1"/>
  <c r="GE399" i="1"/>
  <c r="GB399" i="1"/>
  <c r="FW399" i="1"/>
  <c r="FV399" i="1"/>
  <c r="FS399" i="1"/>
  <c r="FO399" i="1"/>
  <c r="FJ399" i="1"/>
  <c r="FF399" i="1"/>
  <c r="FC399" i="1"/>
  <c r="EZ399" i="1"/>
  <c r="ET399" i="1"/>
  <c r="EL399" i="1"/>
  <c r="EI399" i="1"/>
  <c r="EC399" i="1"/>
  <c r="DW399" i="1"/>
  <c r="DS399" i="1"/>
  <c r="DP399" i="1"/>
  <c r="DM399" i="1"/>
  <c r="DI399" i="1"/>
  <c r="DD399" i="1"/>
  <c r="CX399" i="1"/>
  <c r="CP399" i="1"/>
  <c r="CO399" i="1"/>
  <c r="CI399" i="1"/>
  <c r="CC399" i="1"/>
  <c r="BZ399" i="1"/>
  <c r="BV399" i="1"/>
  <c r="BU399" i="1"/>
  <c r="BK399" i="1"/>
  <c r="K397" i="4" s="1"/>
  <c r="BH399" i="1"/>
  <c r="BD399" i="1"/>
  <c r="AZ399" i="1"/>
  <c r="AV399" i="1"/>
  <c r="AP399" i="1"/>
  <c r="AL399" i="1"/>
  <c r="AJ399" i="1"/>
  <c r="AC399" i="1"/>
  <c r="X399" i="1"/>
  <c r="U399" i="1"/>
  <c r="T399" i="1"/>
  <c r="F399" i="1"/>
  <c r="GE398" i="1"/>
  <c r="GB398" i="1"/>
  <c r="FW398" i="1"/>
  <c r="FV398" i="1"/>
  <c r="FS398" i="1"/>
  <c r="FO398" i="1"/>
  <c r="FJ398" i="1"/>
  <c r="FF398" i="1"/>
  <c r="FC398" i="1"/>
  <c r="EZ398" i="1"/>
  <c r="ET398" i="1"/>
  <c r="EL398" i="1"/>
  <c r="EI398" i="1"/>
  <c r="EC398" i="1"/>
  <c r="DW398" i="1"/>
  <c r="DS398" i="1"/>
  <c r="DP398" i="1"/>
  <c r="DM398" i="1"/>
  <c r="DI398" i="1"/>
  <c r="DD398" i="1"/>
  <c r="CX398" i="1"/>
  <c r="CP398" i="1"/>
  <c r="CO398" i="1"/>
  <c r="CI398" i="1"/>
  <c r="CC398" i="1"/>
  <c r="BZ398" i="1"/>
  <c r="BV398" i="1"/>
  <c r="BU398" i="1"/>
  <c r="BK398" i="1"/>
  <c r="K396" i="4" s="1"/>
  <c r="BH398" i="1"/>
  <c r="BD398" i="1"/>
  <c r="AZ398" i="1"/>
  <c r="AV398" i="1"/>
  <c r="AP398" i="1"/>
  <c r="AL398" i="1"/>
  <c r="AJ398" i="1"/>
  <c r="AC398" i="1"/>
  <c r="X398" i="1"/>
  <c r="U398" i="1"/>
  <c r="T398" i="1"/>
  <c r="F398" i="1"/>
  <c r="GE397" i="1"/>
  <c r="GB397" i="1"/>
  <c r="FW397" i="1"/>
  <c r="FV397" i="1"/>
  <c r="FS397" i="1"/>
  <c r="FO397" i="1"/>
  <c r="FJ397" i="1"/>
  <c r="FF397" i="1"/>
  <c r="FC397" i="1"/>
  <c r="EZ397" i="1"/>
  <c r="ET397" i="1"/>
  <c r="EL397" i="1"/>
  <c r="EI397" i="1"/>
  <c r="EC397" i="1"/>
  <c r="DW397" i="1"/>
  <c r="DS397" i="1"/>
  <c r="DP397" i="1"/>
  <c r="DM397" i="1"/>
  <c r="DI397" i="1"/>
  <c r="DD397" i="1"/>
  <c r="CX397" i="1"/>
  <c r="CP397" i="1"/>
  <c r="CO397" i="1"/>
  <c r="CI397" i="1"/>
  <c r="CC397" i="1"/>
  <c r="BZ397" i="1"/>
  <c r="BV397" i="1"/>
  <c r="BU397" i="1"/>
  <c r="BK397" i="1"/>
  <c r="K395" i="4" s="1"/>
  <c r="BH397" i="1"/>
  <c r="BD397" i="1"/>
  <c r="AZ397" i="1"/>
  <c r="AV397" i="1"/>
  <c r="AP397" i="1"/>
  <c r="AL397" i="1"/>
  <c r="AJ397" i="1"/>
  <c r="AC397" i="1"/>
  <c r="X397" i="1"/>
  <c r="U397" i="1"/>
  <c r="T397" i="1"/>
  <c r="F397" i="1"/>
  <c r="GE396" i="1"/>
  <c r="GB396" i="1"/>
  <c r="FW396" i="1"/>
  <c r="FV396" i="1"/>
  <c r="FS396" i="1"/>
  <c r="FO396" i="1"/>
  <c r="FJ396" i="1"/>
  <c r="FF396" i="1"/>
  <c r="FC396" i="1"/>
  <c r="EZ396" i="1"/>
  <c r="ET396" i="1"/>
  <c r="EL396" i="1"/>
  <c r="EI396" i="1"/>
  <c r="EC396" i="1"/>
  <c r="DW396" i="1"/>
  <c r="DS396" i="1"/>
  <c r="DP396" i="1"/>
  <c r="DM396" i="1"/>
  <c r="DI396" i="1"/>
  <c r="DD396" i="1"/>
  <c r="CX396" i="1"/>
  <c r="CP396" i="1"/>
  <c r="CO396" i="1"/>
  <c r="CI396" i="1"/>
  <c r="CC396" i="1"/>
  <c r="BZ396" i="1"/>
  <c r="BV396" i="1"/>
  <c r="BU396" i="1"/>
  <c r="BK396" i="1"/>
  <c r="BH396" i="1"/>
  <c r="BD396" i="1"/>
  <c r="AZ396" i="1"/>
  <c r="AV396" i="1"/>
  <c r="AP396" i="1"/>
  <c r="AL396" i="1"/>
  <c r="AJ396" i="1"/>
  <c r="AC396" i="1"/>
  <c r="X396" i="1"/>
  <c r="U396" i="1"/>
  <c r="T396" i="1"/>
  <c r="F396" i="1"/>
  <c r="GE395" i="1"/>
  <c r="GB395" i="1"/>
  <c r="FW395" i="1"/>
  <c r="FV395" i="1"/>
  <c r="FS395" i="1"/>
  <c r="FO395" i="1"/>
  <c r="FJ395" i="1"/>
  <c r="FF395" i="1"/>
  <c r="FC395" i="1"/>
  <c r="EZ395" i="1"/>
  <c r="ET395" i="1"/>
  <c r="EL395" i="1"/>
  <c r="EI395" i="1"/>
  <c r="EC395" i="1"/>
  <c r="DW395" i="1"/>
  <c r="DS395" i="1"/>
  <c r="DP395" i="1"/>
  <c r="DM395" i="1"/>
  <c r="DI395" i="1"/>
  <c r="DD395" i="1"/>
  <c r="CX395" i="1"/>
  <c r="CP395" i="1"/>
  <c r="CO395" i="1"/>
  <c r="CI395" i="1"/>
  <c r="CC395" i="1"/>
  <c r="BZ395" i="1"/>
  <c r="BV395" i="1"/>
  <c r="BU395" i="1"/>
  <c r="BK395" i="1"/>
  <c r="K393" i="4" s="1"/>
  <c r="BH395" i="1"/>
  <c r="BD395" i="1"/>
  <c r="AZ395" i="1"/>
  <c r="AV395" i="1"/>
  <c r="AP395" i="1"/>
  <c r="AL395" i="1"/>
  <c r="AJ395" i="1"/>
  <c r="AC395" i="1"/>
  <c r="X395" i="1"/>
  <c r="U395" i="1"/>
  <c r="T395" i="1"/>
  <c r="F395" i="1"/>
  <c r="GE394" i="1"/>
  <c r="GB394" i="1"/>
  <c r="FW394" i="1"/>
  <c r="FV394" i="1"/>
  <c r="FS394" i="1"/>
  <c r="FO394" i="1"/>
  <c r="FJ394" i="1"/>
  <c r="FF394" i="1"/>
  <c r="FC394" i="1"/>
  <c r="EZ394" i="1"/>
  <c r="ET394" i="1"/>
  <c r="EL394" i="1"/>
  <c r="EI394" i="1"/>
  <c r="EC394" i="1"/>
  <c r="DW394" i="1"/>
  <c r="DS394" i="1"/>
  <c r="DP394" i="1"/>
  <c r="DM394" i="1"/>
  <c r="DI394" i="1"/>
  <c r="DD394" i="1"/>
  <c r="CX394" i="1"/>
  <c r="CP394" i="1"/>
  <c r="CO394" i="1"/>
  <c r="CI394" i="1"/>
  <c r="CC394" i="1"/>
  <c r="BZ394" i="1"/>
  <c r="BV394" i="1"/>
  <c r="BU394" i="1"/>
  <c r="BK394" i="1"/>
  <c r="K392" i="4" s="1"/>
  <c r="BH394" i="1"/>
  <c r="BD394" i="1"/>
  <c r="AZ394" i="1"/>
  <c r="AV394" i="1"/>
  <c r="AP394" i="1"/>
  <c r="AL394" i="1"/>
  <c r="AJ394" i="1"/>
  <c r="AC394" i="1"/>
  <c r="X394" i="1"/>
  <c r="U394" i="1"/>
  <c r="T394" i="1"/>
  <c r="F394" i="1"/>
  <c r="GE393" i="1"/>
  <c r="GB393" i="1"/>
  <c r="FW393" i="1"/>
  <c r="FV393" i="1"/>
  <c r="FS393" i="1"/>
  <c r="FO393" i="1"/>
  <c r="FJ393" i="1"/>
  <c r="FF393" i="1"/>
  <c r="FC393" i="1"/>
  <c r="EZ393" i="1"/>
  <c r="ET393" i="1"/>
  <c r="EL393" i="1"/>
  <c r="EI393" i="1"/>
  <c r="EC393" i="1"/>
  <c r="DW393" i="1"/>
  <c r="DS393" i="1"/>
  <c r="DP393" i="1"/>
  <c r="DM393" i="1"/>
  <c r="DI393" i="1"/>
  <c r="DD393" i="1"/>
  <c r="CX393" i="1"/>
  <c r="CP393" i="1"/>
  <c r="CO393" i="1"/>
  <c r="CI393" i="1"/>
  <c r="CC393" i="1"/>
  <c r="BZ393" i="1"/>
  <c r="BV393" i="1"/>
  <c r="BU393" i="1"/>
  <c r="BK393" i="1"/>
  <c r="BH393" i="1"/>
  <c r="BD393" i="1"/>
  <c r="AZ393" i="1"/>
  <c r="AV393" i="1"/>
  <c r="AP393" i="1"/>
  <c r="AL393" i="1"/>
  <c r="AJ393" i="1"/>
  <c r="AC393" i="1"/>
  <c r="X393" i="1"/>
  <c r="U393" i="1"/>
  <c r="T393" i="1"/>
  <c r="F393" i="1"/>
  <c r="GE392" i="1"/>
  <c r="GB392" i="1"/>
  <c r="FW392" i="1"/>
  <c r="FV392" i="1"/>
  <c r="FS392" i="1"/>
  <c r="FO392" i="1"/>
  <c r="FJ392" i="1"/>
  <c r="FF392" i="1"/>
  <c r="FC392" i="1"/>
  <c r="EZ392" i="1"/>
  <c r="ET392" i="1"/>
  <c r="EL392" i="1"/>
  <c r="EI392" i="1"/>
  <c r="EC392" i="1"/>
  <c r="DW392" i="1"/>
  <c r="DS392" i="1"/>
  <c r="DP392" i="1"/>
  <c r="DM392" i="1"/>
  <c r="DI392" i="1"/>
  <c r="DD392" i="1"/>
  <c r="CX392" i="1"/>
  <c r="CP392" i="1"/>
  <c r="CO392" i="1"/>
  <c r="CI392" i="1"/>
  <c r="CC392" i="1"/>
  <c r="BZ392" i="1"/>
  <c r="BV392" i="1"/>
  <c r="BU392" i="1"/>
  <c r="BK392" i="1"/>
  <c r="BH392" i="1"/>
  <c r="BD392" i="1"/>
  <c r="AZ392" i="1"/>
  <c r="AV392" i="1"/>
  <c r="AP392" i="1"/>
  <c r="AL392" i="1"/>
  <c r="AJ392" i="1"/>
  <c r="AC392" i="1"/>
  <c r="X392" i="1"/>
  <c r="U392" i="1"/>
  <c r="T392" i="1"/>
  <c r="F392" i="1"/>
  <c r="GE391" i="1"/>
  <c r="GB391" i="1"/>
  <c r="FW391" i="1"/>
  <c r="FV391" i="1"/>
  <c r="FS391" i="1"/>
  <c r="FO391" i="1"/>
  <c r="FJ391" i="1"/>
  <c r="FF391" i="1"/>
  <c r="FC391" i="1"/>
  <c r="EZ391" i="1"/>
  <c r="ET391" i="1"/>
  <c r="EL391" i="1"/>
  <c r="EI391" i="1"/>
  <c r="EC391" i="1"/>
  <c r="DW391" i="1"/>
  <c r="DS391" i="1"/>
  <c r="DP391" i="1"/>
  <c r="DM391" i="1"/>
  <c r="DI391" i="1"/>
  <c r="DD391" i="1"/>
  <c r="CX391" i="1"/>
  <c r="CP391" i="1"/>
  <c r="CO391" i="1"/>
  <c r="CI391" i="1"/>
  <c r="CC391" i="1"/>
  <c r="BZ391" i="1"/>
  <c r="BV391" i="1"/>
  <c r="BU391" i="1"/>
  <c r="BK391" i="1"/>
  <c r="K389" i="4" s="1"/>
  <c r="BH391" i="1"/>
  <c r="BD391" i="1"/>
  <c r="AZ391" i="1"/>
  <c r="AV391" i="1"/>
  <c r="AP391" i="1"/>
  <c r="AL391" i="1"/>
  <c r="AJ391" i="1"/>
  <c r="AC391" i="1"/>
  <c r="X391" i="1"/>
  <c r="U391" i="1"/>
  <c r="T391" i="1"/>
  <c r="F391" i="1"/>
  <c r="GE390" i="1"/>
  <c r="GB390" i="1"/>
  <c r="FW390" i="1"/>
  <c r="FV390" i="1"/>
  <c r="FS390" i="1"/>
  <c r="FO390" i="1"/>
  <c r="FJ390" i="1"/>
  <c r="FF390" i="1"/>
  <c r="FC390" i="1"/>
  <c r="EZ390" i="1"/>
  <c r="ET390" i="1"/>
  <c r="EL390" i="1"/>
  <c r="EI390" i="1"/>
  <c r="EC390" i="1"/>
  <c r="DW390" i="1"/>
  <c r="DS390" i="1"/>
  <c r="DP390" i="1"/>
  <c r="DM390" i="1"/>
  <c r="DI390" i="1"/>
  <c r="DD390" i="1"/>
  <c r="CX390" i="1"/>
  <c r="CP390" i="1"/>
  <c r="CO390" i="1"/>
  <c r="CI390" i="1"/>
  <c r="CC390" i="1"/>
  <c r="BZ390" i="1"/>
  <c r="BV390" i="1"/>
  <c r="BU390" i="1"/>
  <c r="BK390" i="1"/>
  <c r="K388" i="4" s="1"/>
  <c r="BH390" i="1"/>
  <c r="BD390" i="1"/>
  <c r="AZ390" i="1"/>
  <c r="AV390" i="1"/>
  <c r="AP390" i="1"/>
  <c r="AL390" i="1"/>
  <c r="AJ390" i="1"/>
  <c r="AC390" i="1"/>
  <c r="X390" i="1"/>
  <c r="U390" i="1"/>
  <c r="T390" i="1"/>
  <c r="F390" i="1"/>
  <c r="GE389" i="1"/>
  <c r="GB389" i="1"/>
  <c r="FW389" i="1"/>
  <c r="FV389" i="1"/>
  <c r="FS389" i="1"/>
  <c r="FO389" i="1"/>
  <c r="FJ389" i="1"/>
  <c r="FF389" i="1"/>
  <c r="FC389" i="1"/>
  <c r="EZ389" i="1"/>
  <c r="ET389" i="1"/>
  <c r="EL389" i="1"/>
  <c r="EI389" i="1"/>
  <c r="EC389" i="1"/>
  <c r="DW389" i="1"/>
  <c r="DS389" i="1"/>
  <c r="DP389" i="1"/>
  <c r="DM389" i="1"/>
  <c r="DI389" i="1"/>
  <c r="DD389" i="1"/>
  <c r="CX389" i="1"/>
  <c r="CP389" i="1"/>
  <c r="CO389" i="1"/>
  <c r="CI389" i="1"/>
  <c r="CC389" i="1"/>
  <c r="BZ389" i="1"/>
  <c r="BV389" i="1"/>
  <c r="BU389" i="1"/>
  <c r="BK389" i="1"/>
  <c r="K387" i="4" s="1"/>
  <c r="BH389" i="1"/>
  <c r="BD389" i="1"/>
  <c r="AZ389" i="1"/>
  <c r="AV389" i="1"/>
  <c r="AP389" i="1"/>
  <c r="AL389" i="1"/>
  <c r="AJ389" i="1"/>
  <c r="AC389" i="1"/>
  <c r="X389" i="1"/>
  <c r="U389" i="1"/>
  <c r="T389" i="1"/>
  <c r="F389" i="1"/>
  <c r="GE388" i="1"/>
  <c r="GB388" i="1"/>
  <c r="FW388" i="1"/>
  <c r="FV388" i="1"/>
  <c r="FS388" i="1"/>
  <c r="FO388" i="1"/>
  <c r="FJ388" i="1"/>
  <c r="FF388" i="1"/>
  <c r="FC388" i="1"/>
  <c r="EZ388" i="1"/>
  <c r="ET388" i="1"/>
  <c r="EL388" i="1"/>
  <c r="EI388" i="1"/>
  <c r="EC388" i="1"/>
  <c r="DW388" i="1"/>
  <c r="DS388" i="1"/>
  <c r="DP388" i="1"/>
  <c r="DM388" i="1"/>
  <c r="DI388" i="1"/>
  <c r="DD388" i="1"/>
  <c r="CX388" i="1"/>
  <c r="CP388" i="1"/>
  <c r="CO388" i="1"/>
  <c r="CI388" i="1"/>
  <c r="CC388" i="1"/>
  <c r="BZ388" i="1"/>
  <c r="BV388" i="1"/>
  <c r="BU388" i="1"/>
  <c r="BK388" i="1"/>
  <c r="BH388" i="1"/>
  <c r="BD388" i="1"/>
  <c r="AZ388" i="1"/>
  <c r="AV388" i="1"/>
  <c r="AP388" i="1"/>
  <c r="AL388" i="1"/>
  <c r="AJ388" i="1"/>
  <c r="AC388" i="1"/>
  <c r="X388" i="1"/>
  <c r="U388" i="1"/>
  <c r="T388" i="1"/>
  <c r="F388" i="1"/>
  <c r="GE387" i="1"/>
  <c r="GB387" i="1"/>
  <c r="FW387" i="1"/>
  <c r="FV387" i="1"/>
  <c r="FS387" i="1"/>
  <c r="FO387" i="1"/>
  <c r="FJ387" i="1"/>
  <c r="FF387" i="1"/>
  <c r="FC387" i="1"/>
  <c r="EZ387" i="1"/>
  <c r="ET387" i="1"/>
  <c r="EL387" i="1"/>
  <c r="EI387" i="1"/>
  <c r="EC387" i="1"/>
  <c r="DW387" i="1"/>
  <c r="DS387" i="1"/>
  <c r="DP387" i="1"/>
  <c r="DM387" i="1"/>
  <c r="DI387" i="1"/>
  <c r="DD387" i="1"/>
  <c r="CX387" i="1"/>
  <c r="CP387" i="1"/>
  <c r="CO387" i="1"/>
  <c r="CI387" i="1"/>
  <c r="CC387" i="1"/>
  <c r="BZ387" i="1"/>
  <c r="BV387" i="1"/>
  <c r="BU387" i="1"/>
  <c r="BK387" i="1"/>
  <c r="K385" i="4" s="1"/>
  <c r="BH387" i="1"/>
  <c r="BD387" i="1"/>
  <c r="AZ387" i="1"/>
  <c r="AV387" i="1"/>
  <c r="AP387" i="1"/>
  <c r="AL387" i="1"/>
  <c r="AJ387" i="1"/>
  <c r="AC387" i="1"/>
  <c r="X387" i="1"/>
  <c r="U387" i="1"/>
  <c r="T387" i="1"/>
  <c r="F387" i="1"/>
  <c r="GE386" i="1"/>
  <c r="GB386" i="1"/>
  <c r="FW386" i="1"/>
  <c r="FV386" i="1"/>
  <c r="FS386" i="1"/>
  <c r="FO386" i="1"/>
  <c r="FJ386" i="1"/>
  <c r="FF386" i="1"/>
  <c r="FC386" i="1"/>
  <c r="EZ386" i="1"/>
  <c r="ET386" i="1"/>
  <c r="EL386" i="1"/>
  <c r="EI386" i="1"/>
  <c r="EC386" i="1"/>
  <c r="DW386" i="1"/>
  <c r="DS386" i="1"/>
  <c r="DP386" i="1"/>
  <c r="DM386" i="1"/>
  <c r="DI386" i="1"/>
  <c r="DD386" i="1"/>
  <c r="CX386" i="1"/>
  <c r="CP386" i="1"/>
  <c r="CO386" i="1"/>
  <c r="CI386" i="1"/>
  <c r="CC386" i="1"/>
  <c r="BZ386" i="1"/>
  <c r="BV386" i="1"/>
  <c r="BU386" i="1"/>
  <c r="BK386" i="1"/>
  <c r="BH386" i="1"/>
  <c r="BD386" i="1"/>
  <c r="AZ386" i="1"/>
  <c r="AV386" i="1"/>
  <c r="AP386" i="1"/>
  <c r="AL386" i="1"/>
  <c r="AJ386" i="1"/>
  <c r="AC386" i="1"/>
  <c r="X386" i="1"/>
  <c r="U386" i="1"/>
  <c r="T386" i="1"/>
  <c r="F386" i="1"/>
  <c r="GE385" i="1"/>
  <c r="GB385" i="1"/>
  <c r="FW385" i="1"/>
  <c r="FV385" i="1"/>
  <c r="FS385" i="1"/>
  <c r="FO385" i="1"/>
  <c r="FJ385" i="1"/>
  <c r="FF385" i="1"/>
  <c r="FC385" i="1"/>
  <c r="EZ385" i="1"/>
  <c r="ET385" i="1"/>
  <c r="EL385" i="1"/>
  <c r="EI385" i="1"/>
  <c r="EC385" i="1"/>
  <c r="DW385" i="1"/>
  <c r="DS385" i="1"/>
  <c r="DP385" i="1"/>
  <c r="DM385" i="1"/>
  <c r="DI385" i="1"/>
  <c r="DD385" i="1"/>
  <c r="CX385" i="1"/>
  <c r="CP385" i="1"/>
  <c r="CO385" i="1"/>
  <c r="CI385" i="1"/>
  <c r="CC385" i="1"/>
  <c r="BZ385" i="1"/>
  <c r="BV385" i="1"/>
  <c r="BU385" i="1"/>
  <c r="BK385" i="1"/>
  <c r="BH385" i="1"/>
  <c r="BD385" i="1"/>
  <c r="AZ385" i="1"/>
  <c r="AV385" i="1"/>
  <c r="AP385" i="1"/>
  <c r="AL385" i="1"/>
  <c r="AJ385" i="1"/>
  <c r="AC385" i="1"/>
  <c r="X385" i="1"/>
  <c r="U385" i="1"/>
  <c r="T385" i="1"/>
  <c r="F385" i="1"/>
  <c r="GE384" i="1"/>
  <c r="GB384" i="1"/>
  <c r="FW384" i="1"/>
  <c r="FV384" i="1"/>
  <c r="FS384" i="1"/>
  <c r="FO384" i="1"/>
  <c r="FJ384" i="1"/>
  <c r="FF384" i="1"/>
  <c r="FC384" i="1"/>
  <c r="EZ384" i="1"/>
  <c r="ET384" i="1"/>
  <c r="EL384" i="1"/>
  <c r="EI384" i="1"/>
  <c r="EC384" i="1"/>
  <c r="DW384" i="1"/>
  <c r="DS384" i="1"/>
  <c r="DP384" i="1"/>
  <c r="DM384" i="1"/>
  <c r="DI384" i="1"/>
  <c r="DD384" i="1"/>
  <c r="CX384" i="1"/>
  <c r="CP384" i="1"/>
  <c r="CO384" i="1"/>
  <c r="CI384" i="1"/>
  <c r="CC384" i="1"/>
  <c r="BZ384" i="1"/>
  <c r="BV384" i="1"/>
  <c r="BU384" i="1"/>
  <c r="BK384" i="1"/>
  <c r="K382" i="4" s="1"/>
  <c r="BH384" i="1"/>
  <c r="BD384" i="1"/>
  <c r="AZ384" i="1"/>
  <c r="AV384" i="1"/>
  <c r="AP384" i="1"/>
  <c r="AL384" i="1"/>
  <c r="AJ384" i="1"/>
  <c r="AC384" i="1"/>
  <c r="X384" i="1"/>
  <c r="U384" i="1"/>
  <c r="T384" i="1"/>
  <c r="F384" i="1"/>
  <c r="GE383" i="1"/>
  <c r="GB383" i="1"/>
  <c r="FW383" i="1"/>
  <c r="FV383" i="1"/>
  <c r="FS383" i="1"/>
  <c r="FO383" i="1"/>
  <c r="FJ383" i="1"/>
  <c r="FF383" i="1"/>
  <c r="FC383" i="1"/>
  <c r="EZ383" i="1"/>
  <c r="ET383" i="1"/>
  <c r="EL383" i="1"/>
  <c r="EI383" i="1"/>
  <c r="EC383" i="1"/>
  <c r="DW383" i="1"/>
  <c r="DS383" i="1"/>
  <c r="DP383" i="1"/>
  <c r="DM383" i="1"/>
  <c r="DI383" i="1"/>
  <c r="DD383" i="1"/>
  <c r="CX383" i="1"/>
  <c r="CP383" i="1"/>
  <c r="CO383" i="1"/>
  <c r="CI383" i="1"/>
  <c r="CC383" i="1"/>
  <c r="BZ383" i="1"/>
  <c r="BV383" i="1"/>
  <c r="BU383" i="1"/>
  <c r="BK383" i="1"/>
  <c r="K381" i="4" s="1"/>
  <c r="BH383" i="1"/>
  <c r="BD383" i="1"/>
  <c r="AZ383" i="1"/>
  <c r="AV383" i="1"/>
  <c r="AP383" i="1"/>
  <c r="AL383" i="1"/>
  <c r="AJ383" i="1"/>
  <c r="AC383" i="1"/>
  <c r="X383" i="1"/>
  <c r="U383" i="1"/>
  <c r="T383" i="1"/>
  <c r="F383" i="1"/>
  <c r="GE382" i="1"/>
  <c r="GB382" i="1"/>
  <c r="FW382" i="1"/>
  <c r="FV382" i="1"/>
  <c r="FS382" i="1"/>
  <c r="FO382" i="1"/>
  <c r="FJ382" i="1"/>
  <c r="FF382" i="1"/>
  <c r="FC382" i="1"/>
  <c r="EZ382" i="1"/>
  <c r="ET382" i="1"/>
  <c r="EL382" i="1"/>
  <c r="EI382" i="1"/>
  <c r="EC382" i="1"/>
  <c r="DW382" i="1"/>
  <c r="DS382" i="1"/>
  <c r="DP382" i="1"/>
  <c r="DM382" i="1"/>
  <c r="DI382" i="1"/>
  <c r="DD382" i="1"/>
  <c r="CX382" i="1"/>
  <c r="CP382" i="1"/>
  <c r="CO382" i="1"/>
  <c r="CI382" i="1"/>
  <c r="CC382" i="1"/>
  <c r="BZ382" i="1"/>
  <c r="BV382" i="1"/>
  <c r="BU382" i="1"/>
  <c r="BK382" i="1"/>
  <c r="BH382" i="1"/>
  <c r="BD382" i="1"/>
  <c r="AZ382" i="1"/>
  <c r="AV382" i="1"/>
  <c r="AP382" i="1"/>
  <c r="AL382" i="1"/>
  <c r="AJ382" i="1"/>
  <c r="AC382" i="1"/>
  <c r="X382" i="1"/>
  <c r="U382" i="1"/>
  <c r="T382" i="1"/>
  <c r="F382" i="1"/>
  <c r="GE381" i="1"/>
  <c r="GB381" i="1"/>
  <c r="FW381" i="1"/>
  <c r="FV381" i="1"/>
  <c r="FS381" i="1"/>
  <c r="FO381" i="1"/>
  <c r="FJ381" i="1"/>
  <c r="FF381" i="1"/>
  <c r="FC381" i="1"/>
  <c r="EZ381" i="1"/>
  <c r="ET381" i="1"/>
  <c r="EL381" i="1"/>
  <c r="EI381" i="1"/>
  <c r="EC381" i="1"/>
  <c r="DW381" i="1"/>
  <c r="DS381" i="1"/>
  <c r="DP381" i="1"/>
  <c r="DM381" i="1"/>
  <c r="DI381" i="1"/>
  <c r="DD381" i="1"/>
  <c r="CX381" i="1"/>
  <c r="CP381" i="1"/>
  <c r="CO381" i="1"/>
  <c r="CI381" i="1"/>
  <c r="CC381" i="1"/>
  <c r="BZ381" i="1"/>
  <c r="BV381" i="1"/>
  <c r="BU381" i="1"/>
  <c r="BK381" i="1"/>
  <c r="K379" i="4" s="1"/>
  <c r="BH381" i="1"/>
  <c r="BD381" i="1"/>
  <c r="AZ381" i="1"/>
  <c r="AV381" i="1"/>
  <c r="AP381" i="1"/>
  <c r="AL381" i="1"/>
  <c r="AJ381" i="1"/>
  <c r="AC381" i="1"/>
  <c r="X381" i="1"/>
  <c r="U381" i="1"/>
  <c r="T381" i="1"/>
  <c r="F381" i="1"/>
  <c r="GE380" i="1"/>
  <c r="GB380" i="1"/>
  <c r="FW380" i="1"/>
  <c r="FV380" i="1"/>
  <c r="FS380" i="1"/>
  <c r="FO380" i="1"/>
  <c r="FJ380" i="1"/>
  <c r="FF380" i="1"/>
  <c r="FC380" i="1"/>
  <c r="EZ380" i="1"/>
  <c r="ET380" i="1"/>
  <c r="EL380" i="1"/>
  <c r="EI380" i="1"/>
  <c r="EC380" i="1"/>
  <c r="DW380" i="1"/>
  <c r="DS380" i="1"/>
  <c r="DP380" i="1"/>
  <c r="DM380" i="1"/>
  <c r="DI380" i="1"/>
  <c r="DD380" i="1"/>
  <c r="CX380" i="1"/>
  <c r="CP380" i="1"/>
  <c r="CO380" i="1"/>
  <c r="CI380" i="1"/>
  <c r="CC380" i="1"/>
  <c r="BZ380" i="1"/>
  <c r="BV380" i="1"/>
  <c r="BU380" i="1"/>
  <c r="BK380" i="1"/>
  <c r="K378" i="4" s="1"/>
  <c r="BH380" i="1"/>
  <c r="BD380" i="1"/>
  <c r="AZ380" i="1"/>
  <c r="AV380" i="1"/>
  <c r="AP380" i="1"/>
  <c r="AL380" i="1"/>
  <c r="AJ380" i="1"/>
  <c r="AC380" i="1"/>
  <c r="X380" i="1"/>
  <c r="U380" i="1"/>
  <c r="T380" i="1"/>
  <c r="F380" i="1"/>
  <c r="GE379" i="1"/>
  <c r="GB379" i="1"/>
  <c r="FW379" i="1"/>
  <c r="FV379" i="1"/>
  <c r="FS379" i="1"/>
  <c r="FO379" i="1"/>
  <c r="FJ379" i="1"/>
  <c r="FF379" i="1"/>
  <c r="FC379" i="1"/>
  <c r="EZ379" i="1"/>
  <c r="ET379" i="1"/>
  <c r="EL379" i="1"/>
  <c r="EI379" i="1"/>
  <c r="EC379" i="1"/>
  <c r="DW379" i="1"/>
  <c r="DS379" i="1"/>
  <c r="DP379" i="1"/>
  <c r="DM379" i="1"/>
  <c r="DI379" i="1"/>
  <c r="DD379" i="1"/>
  <c r="CX379" i="1"/>
  <c r="CP379" i="1"/>
  <c r="CO379" i="1"/>
  <c r="CI379" i="1"/>
  <c r="CC379" i="1"/>
  <c r="BZ379" i="1"/>
  <c r="BV379" i="1"/>
  <c r="BU379" i="1"/>
  <c r="BK379" i="1"/>
  <c r="K377" i="4" s="1"/>
  <c r="BH379" i="1"/>
  <c r="BD379" i="1"/>
  <c r="AZ379" i="1"/>
  <c r="AV379" i="1"/>
  <c r="AP379" i="1"/>
  <c r="AL379" i="1"/>
  <c r="AJ379" i="1"/>
  <c r="AC379" i="1"/>
  <c r="X379" i="1"/>
  <c r="U379" i="1"/>
  <c r="T379" i="1"/>
  <c r="F379" i="1"/>
  <c r="GE378" i="1"/>
  <c r="GB378" i="1"/>
  <c r="FW378" i="1"/>
  <c r="FV378" i="1"/>
  <c r="FS378" i="1"/>
  <c r="FO378" i="1"/>
  <c r="FJ378" i="1"/>
  <c r="FF378" i="1"/>
  <c r="FC378" i="1"/>
  <c r="EZ378" i="1"/>
  <c r="ET378" i="1"/>
  <c r="EL378" i="1"/>
  <c r="EI378" i="1"/>
  <c r="EC378" i="1"/>
  <c r="DW378" i="1"/>
  <c r="DS378" i="1"/>
  <c r="DP378" i="1"/>
  <c r="DM378" i="1"/>
  <c r="DI378" i="1"/>
  <c r="DD378" i="1"/>
  <c r="CX378" i="1"/>
  <c r="CP378" i="1"/>
  <c r="CO378" i="1"/>
  <c r="CI378" i="1"/>
  <c r="CC378" i="1"/>
  <c r="BZ378" i="1"/>
  <c r="BV378" i="1"/>
  <c r="BU378" i="1"/>
  <c r="BK378" i="1"/>
  <c r="BH378" i="1"/>
  <c r="BD378" i="1"/>
  <c r="AZ378" i="1"/>
  <c r="AV378" i="1"/>
  <c r="AP378" i="1"/>
  <c r="AL378" i="1"/>
  <c r="AJ378" i="1"/>
  <c r="AC378" i="1"/>
  <c r="X378" i="1"/>
  <c r="U378" i="1"/>
  <c r="T378" i="1"/>
  <c r="F378" i="1"/>
  <c r="GE377" i="1"/>
  <c r="GB377" i="1"/>
  <c r="FW377" i="1"/>
  <c r="FV377" i="1"/>
  <c r="FS377" i="1"/>
  <c r="FO377" i="1"/>
  <c r="FJ377" i="1"/>
  <c r="FF377" i="1"/>
  <c r="FC377" i="1"/>
  <c r="EZ377" i="1"/>
  <c r="ET377" i="1"/>
  <c r="EL377" i="1"/>
  <c r="EI377" i="1"/>
  <c r="EC377" i="1"/>
  <c r="DW377" i="1"/>
  <c r="DS377" i="1"/>
  <c r="DP377" i="1"/>
  <c r="DM377" i="1"/>
  <c r="DI377" i="1"/>
  <c r="DD377" i="1"/>
  <c r="CX377" i="1"/>
  <c r="CP377" i="1"/>
  <c r="CO377" i="1"/>
  <c r="CI377" i="1"/>
  <c r="CC377" i="1"/>
  <c r="BZ377" i="1"/>
  <c r="BV377" i="1"/>
  <c r="BU377" i="1"/>
  <c r="BK377" i="1"/>
  <c r="K375" i="4" s="1"/>
  <c r="BH377" i="1"/>
  <c r="BD377" i="1"/>
  <c r="AZ377" i="1"/>
  <c r="AV377" i="1"/>
  <c r="AP377" i="1"/>
  <c r="AL377" i="1"/>
  <c r="AJ377" i="1"/>
  <c r="AC377" i="1"/>
  <c r="X377" i="1"/>
  <c r="U377" i="1"/>
  <c r="T377" i="1"/>
  <c r="F377" i="1"/>
  <c r="GE376" i="1"/>
  <c r="GB376" i="1"/>
  <c r="FW376" i="1"/>
  <c r="FV376" i="1"/>
  <c r="FS376" i="1"/>
  <c r="FO376" i="1"/>
  <c r="FJ376" i="1"/>
  <c r="FF376" i="1"/>
  <c r="FC376" i="1"/>
  <c r="EZ376" i="1"/>
  <c r="ET376" i="1"/>
  <c r="EL376" i="1"/>
  <c r="EI376" i="1"/>
  <c r="EC376" i="1"/>
  <c r="DW376" i="1"/>
  <c r="DS376" i="1"/>
  <c r="DP376" i="1"/>
  <c r="DM376" i="1"/>
  <c r="DI376" i="1"/>
  <c r="DD376" i="1"/>
  <c r="CX376" i="1"/>
  <c r="CP376" i="1"/>
  <c r="CO376" i="1"/>
  <c r="CI376" i="1"/>
  <c r="CC376" i="1"/>
  <c r="BZ376" i="1"/>
  <c r="BV376" i="1"/>
  <c r="BU376" i="1"/>
  <c r="BK376" i="1"/>
  <c r="K374" i="4" s="1"/>
  <c r="BH376" i="1"/>
  <c r="BD376" i="1"/>
  <c r="AZ376" i="1"/>
  <c r="AV376" i="1"/>
  <c r="AP376" i="1"/>
  <c r="AL376" i="1"/>
  <c r="AJ376" i="1"/>
  <c r="AC376" i="1"/>
  <c r="X376" i="1"/>
  <c r="U376" i="1"/>
  <c r="T376" i="1"/>
  <c r="F376" i="1"/>
  <c r="GE375" i="1"/>
  <c r="GB375" i="1"/>
  <c r="FW375" i="1"/>
  <c r="FV375" i="1"/>
  <c r="FS375" i="1"/>
  <c r="FO375" i="1"/>
  <c r="FJ375" i="1"/>
  <c r="FF375" i="1"/>
  <c r="FC375" i="1"/>
  <c r="EZ375" i="1"/>
  <c r="ET375" i="1"/>
  <c r="EL375" i="1"/>
  <c r="EI375" i="1"/>
  <c r="EC375" i="1"/>
  <c r="DW375" i="1"/>
  <c r="DS375" i="1"/>
  <c r="DP375" i="1"/>
  <c r="DM375" i="1"/>
  <c r="DI375" i="1"/>
  <c r="DD375" i="1"/>
  <c r="CX375" i="1"/>
  <c r="CP375" i="1"/>
  <c r="CO375" i="1"/>
  <c r="CI375" i="1"/>
  <c r="CC375" i="1"/>
  <c r="BZ375" i="1"/>
  <c r="BV375" i="1"/>
  <c r="BU375" i="1"/>
  <c r="BK375" i="1"/>
  <c r="K373" i="4" s="1"/>
  <c r="BH375" i="1"/>
  <c r="BD375" i="1"/>
  <c r="AZ375" i="1"/>
  <c r="AV375" i="1"/>
  <c r="AP375" i="1"/>
  <c r="AL375" i="1"/>
  <c r="AJ375" i="1"/>
  <c r="AC375" i="1"/>
  <c r="X375" i="1"/>
  <c r="U375" i="1"/>
  <c r="T375" i="1"/>
  <c r="F375" i="1"/>
  <c r="GE374" i="1"/>
  <c r="GB374" i="1"/>
  <c r="FW374" i="1"/>
  <c r="FV374" i="1"/>
  <c r="FS374" i="1"/>
  <c r="FO374" i="1"/>
  <c r="FJ374" i="1"/>
  <c r="FF374" i="1"/>
  <c r="FC374" i="1"/>
  <c r="EZ374" i="1"/>
  <c r="ET374" i="1"/>
  <c r="EL374" i="1"/>
  <c r="EI374" i="1"/>
  <c r="EC374" i="1"/>
  <c r="DW374" i="1"/>
  <c r="DS374" i="1"/>
  <c r="DP374" i="1"/>
  <c r="DM374" i="1"/>
  <c r="DI374" i="1"/>
  <c r="DD374" i="1"/>
  <c r="CX374" i="1"/>
  <c r="CP374" i="1"/>
  <c r="CO374" i="1"/>
  <c r="CI374" i="1"/>
  <c r="CC374" i="1"/>
  <c r="BZ374" i="1"/>
  <c r="BV374" i="1"/>
  <c r="BU374" i="1"/>
  <c r="BK374" i="1"/>
  <c r="BH374" i="1"/>
  <c r="BD374" i="1"/>
  <c r="AZ374" i="1"/>
  <c r="AV374" i="1"/>
  <c r="AP374" i="1"/>
  <c r="AL374" i="1"/>
  <c r="AJ374" i="1"/>
  <c r="AC374" i="1"/>
  <c r="X374" i="1"/>
  <c r="U374" i="1"/>
  <c r="T374" i="1"/>
  <c r="F374" i="1"/>
  <c r="GE373" i="1"/>
  <c r="GB373" i="1"/>
  <c r="FW373" i="1"/>
  <c r="FV373" i="1"/>
  <c r="FS373" i="1"/>
  <c r="FO373" i="1"/>
  <c r="FJ373" i="1"/>
  <c r="FF373" i="1"/>
  <c r="FC373" i="1"/>
  <c r="EZ373" i="1"/>
  <c r="ET373" i="1"/>
  <c r="EL373" i="1"/>
  <c r="EI373" i="1"/>
  <c r="EC373" i="1"/>
  <c r="DW373" i="1"/>
  <c r="DS373" i="1"/>
  <c r="DP373" i="1"/>
  <c r="DM373" i="1"/>
  <c r="DI373" i="1"/>
  <c r="DD373" i="1"/>
  <c r="CX373" i="1"/>
  <c r="CP373" i="1"/>
  <c r="CO373" i="1"/>
  <c r="CI373" i="1"/>
  <c r="CC373" i="1"/>
  <c r="BZ373" i="1"/>
  <c r="BV373" i="1"/>
  <c r="BU373" i="1"/>
  <c r="BK373" i="1"/>
  <c r="K371" i="4" s="1"/>
  <c r="BH373" i="1"/>
  <c r="BD373" i="1"/>
  <c r="AZ373" i="1"/>
  <c r="AV373" i="1"/>
  <c r="AP373" i="1"/>
  <c r="AL373" i="1"/>
  <c r="AJ373" i="1"/>
  <c r="AC373" i="1"/>
  <c r="X373" i="1"/>
  <c r="U373" i="1"/>
  <c r="T373" i="1"/>
  <c r="F373" i="1"/>
  <c r="GE372" i="1"/>
  <c r="GB372" i="1"/>
  <c r="FW372" i="1"/>
  <c r="FV372" i="1"/>
  <c r="FS372" i="1"/>
  <c r="FO372" i="1"/>
  <c r="FJ372" i="1"/>
  <c r="FF372" i="1"/>
  <c r="FC372" i="1"/>
  <c r="EZ372" i="1"/>
  <c r="ET372" i="1"/>
  <c r="EL372" i="1"/>
  <c r="EI372" i="1"/>
  <c r="EC372" i="1"/>
  <c r="DW372" i="1"/>
  <c r="DS372" i="1"/>
  <c r="DP372" i="1"/>
  <c r="DM372" i="1"/>
  <c r="DI372" i="1"/>
  <c r="DD372" i="1"/>
  <c r="CX372" i="1"/>
  <c r="CP372" i="1"/>
  <c r="CO372" i="1"/>
  <c r="CI372" i="1"/>
  <c r="CC372" i="1"/>
  <c r="BZ372" i="1"/>
  <c r="BV372" i="1"/>
  <c r="BU372" i="1"/>
  <c r="BK372" i="1"/>
  <c r="K370" i="4" s="1"/>
  <c r="BH372" i="1"/>
  <c r="BD372" i="1"/>
  <c r="AZ372" i="1"/>
  <c r="AV372" i="1"/>
  <c r="AP372" i="1"/>
  <c r="AL372" i="1"/>
  <c r="AJ372" i="1"/>
  <c r="AC372" i="1"/>
  <c r="X372" i="1"/>
  <c r="U372" i="1"/>
  <c r="T372" i="1"/>
  <c r="F372" i="1"/>
  <c r="GE371" i="1"/>
  <c r="GB371" i="1"/>
  <c r="FW371" i="1"/>
  <c r="FV371" i="1"/>
  <c r="FS371" i="1"/>
  <c r="FO371" i="1"/>
  <c r="FJ371" i="1"/>
  <c r="FF371" i="1"/>
  <c r="FC371" i="1"/>
  <c r="EZ371" i="1"/>
  <c r="ET371" i="1"/>
  <c r="EL371" i="1"/>
  <c r="EI371" i="1"/>
  <c r="EC371" i="1"/>
  <c r="DW371" i="1"/>
  <c r="DS371" i="1"/>
  <c r="DP371" i="1"/>
  <c r="DM371" i="1"/>
  <c r="DI371" i="1"/>
  <c r="DD371" i="1"/>
  <c r="CX371" i="1"/>
  <c r="CP371" i="1"/>
  <c r="CO371" i="1"/>
  <c r="CI371" i="1"/>
  <c r="CC371" i="1"/>
  <c r="BZ371" i="1"/>
  <c r="BV371" i="1"/>
  <c r="BU371" i="1"/>
  <c r="BK371" i="1"/>
  <c r="K369" i="4" s="1"/>
  <c r="BH371" i="1"/>
  <c r="BD371" i="1"/>
  <c r="AZ371" i="1"/>
  <c r="AV371" i="1"/>
  <c r="AP371" i="1"/>
  <c r="AL371" i="1"/>
  <c r="AJ371" i="1"/>
  <c r="AC371" i="1"/>
  <c r="X371" i="1"/>
  <c r="U371" i="1"/>
  <c r="T371" i="1"/>
  <c r="F371" i="1"/>
  <c r="GE370" i="1"/>
  <c r="GB370" i="1"/>
  <c r="FW370" i="1"/>
  <c r="FV370" i="1"/>
  <c r="FS370" i="1"/>
  <c r="FO370" i="1"/>
  <c r="FJ370" i="1"/>
  <c r="FF370" i="1"/>
  <c r="FC370" i="1"/>
  <c r="EZ370" i="1"/>
  <c r="ET370" i="1"/>
  <c r="EL370" i="1"/>
  <c r="EI370" i="1"/>
  <c r="EC370" i="1"/>
  <c r="DW370" i="1"/>
  <c r="DS370" i="1"/>
  <c r="DP370" i="1"/>
  <c r="DM370" i="1"/>
  <c r="DI370" i="1"/>
  <c r="DD370" i="1"/>
  <c r="CX370" i="1"/>
  <c r="CP370" i="1"/>
  <c r="CO370" i="1"/>
  <c r="CI370" i="1"/>
  <c r="CC370" i="1"/>
  <c r="BZ370" i="1"/>
  <c r="BV370" i="1"/>
  <c r="BU370" i="1"/>
  <c r="BK370" i="1"/>
  <c r="K368" i="4" s="1"/>
  <c r="BH370" i="1"/>
  <c r="BD370" i="1"/>
  <c r="AZ370" i="1"/>
  <c r="AV370" i="1"/>
  <c r="AP370" i="1"/>
  <c r="AL370" i="1"/>
  <c r="AJ370" i="1"/>
  <c r="AC370" i="1"/>
  <c r="X370" i="1"/>
  <c r="U370" i="1"/>
  <c r="T370" i="1"/>
  <c r="F370" i="1"/>
  <c r="GE369" i="1"/>
  <c r="GB369" i="1"/>
  <c r="FW369" i="1"/>
  <c r="FV369" i="1"/>
  <c r="FS369" i="1"/>
  <c r="FO369" i="1"/>
  <c r="FJ369" i="1"/>
  <c r="FF369" i="1"/>
  <c r="FC369" i="1"/>
  <c r="EZ369" i="1"/>
  <c r="ET369" i="1"/>
  <c r="EL369" i="1"/>
  <c r="EI369" i="1"/>
  <c r="EC369" i="1"/>
  <c r="DW369" i="1"/>
  <c r="DS369" i="1"/>
  <c r="DP369" i="1"/>
  <c r="DM369" i="1"/>
  <c r="DI369" i="1"/>
  <c r="DD369" i="1"/>
  <c r="CX369" i="1"/>
  <c r="CP369" i="1"/>
  <c r="CO369" i="1"/>
  <c r="CI369" i="1"/>
  <c r="CC369" i="1"/>
  <c r="BZ369" i="1"/>
  <c r="BV369" i="1"/>
  <c r="BU369" i="1"/>
  <c r="BK369" i="1"/>
  <c r="BH369" i="1"/>
  <c r="BD369" i="1"/>
  <c r="AZ369" i="1"/>
  <c r="AV369" i="1"/>
  <c r="AP369" i="1"/>
  <c r="AL369" i="1"/>
  <c r="AJ369" i="1"/>
  <c r="AC369" i="1"/>
  <c r="X369" i="1"/>
  <c r="U369" i="1"/>
  <c r="T369" i="1"/>
  <c r="F369" i="1"/>
  <c r="GE368" i="1"/>
  <c r="GB368" i="1"/>
  <c r="FW368" i="1"/>
  <c r="FV368" i="1"/>
  <c r="FS368" i="1"/>
  <c r="FO368" i="1"/>
  <c r="FJ368" i="1"/>
  <c r="FF368" i="1"/>
  <c r="FC368" i="1"/>
  <c r="EZ368" i="1"/>
  <c r="ET368" i="1"/>
  <c r="EL368" i="1"/>
  <c r="EI368" i="1"/>
  <c r="EC368" i="1"/>
  <c r="DW368" i="1"/>
  <c r="DS368" i="1"/>
  <c r="DP368" i="1"/>
  <c r="DM368" i="1"/>
  <c r="DI368" i="1"/>
  <c r="DD368" i="1"/>
  <c r="CX368" i="1"/>
  <c r="CP368" i="1"/>
  <c r="CO368" i="1"/>
  <c r="CI368" i="1"/>
  <c r="CC368" i="1"/>
  <c r="BZ368" i="1"/>
  <c r="BV368" i="1"/>
  <c r="BU368" i="1"/>
  <c r="BK368" i="1"/>
  <c r="BH368" i="1"/>
  <c r="BD368" i="1"/>
  <c r="AZ368" i="1"/>
  <c r="AV368" i="1"/>
  <c r="AP368" i="1"/>
  <c r="AL368" i="1"/>
  <c r="AJ368" i="1"/>
  <c r="AC368" i="1"/>
  <c r="X368" i="1"/>
  <c r="U368" i="1"/>
  <c r="T368" i="1"/>
  <c r="F368" i="1"/>
  <c r="GE367" i="1"/>
  <c r="GB367" i="1"/>
  <c r="FW367" i="1"/>
  <c r="FV367" i="1"/>
  <c r="FS367" i="1"/>
  <c r="FO367" i="1"/>
  <c r="FJ367" i="1"/>
  <c r="FF367" i="1"/>
  <c r="FC367" i="1"/>
  <c r="EZ367" i="1"/>
  <c r="ET367" i="1"/>
  <c r="EL367" i="1"/>
  <c r="EI367" i="1"/>
  <c r="EC367" i="1"/>
  <c r="DW367" i="1"/>
  <c r="DS367" i="1"/>
  <c r="DP367" i="1"/>
  <c r="DM367" i="1"/>
  <c r="DI367" i="1"/>
  <c r="DD367" i="1"/>
  <c r="CX367" i="1"/>
  <c r="CP367" i="1"/>
  <c r="CO367" i="1"/>
  <c r="CI367" i="1"/>
  <c r="CC367" i="1"/>
  <c r="BZ367" i="1"/>
  <c r="BV367" i="1"/>
  <c r="BU367" i="1"/>
  <c r="BK367" i="1"/>
  <c r="K365" i="4" s="1"/>
  <c r="BH367" i="1"/>
  <c r="BD367" i="1"/>
  <c r="AZ367" i="1"/>
  <c r="AV367" i="1"/>
  <c r="AP367" i="1"/>
  <c r="AL367" i="1"/>
  <c r="AJ367" i="1"/>
  <c r="AC367" i="1"/>
  <c r="X367" i="1"/>
  <c r="U367" i="1"/>
  <c r="T367" i="1"/>
  <c r="F367" i="1"/>
  <c r="GE366" i="1"/>
  <c r="GB366" i="1"/>
  <c r="FW366" i="1"/>
  <c r="FV366" i="1"/>
  <c r="FS366" i="1"/>
  <c r="FO366" i="1"/>
  <c r="FJ366" i="1"/>
  <c r="FF366" i="1"/>
  <c r="FC366" i="1"/>
  <c r="EZ366" i="1"/>
  <c r="ET366" i="1"/>
  <c r="EL366" i="1"/>
  <c r="EI366" i="1"/>
  <c r="EC366" i="1"/>
  <c r="DW366" i="1"/>
  <c r="DS366" i="1"/>
  <c r="DP366" i="1"/>
  <c r="DM366" i="1"/>
  <c r="DI366" i="1"/>
  <c r="DD366" i="1"/>
  <c r="CX366" i="1"/>
  <c r="CP366" i="1"/>
  <c r="CO366" i="1"/>
  <c r="CI366" i="1"/>
  <c r="CC366" i="1"/>
  <c r="BZ366" i="1"/>
  <c r="BV366" i="1"/>
  <c r="BU366" i="1"/>
  <c r="BK366" i="1"/>
  <c r="BH366" i="1"/>
  <c r="BD366" i="1"/>
  <c r="AZ366" i="1"/>
  <c r="AV366" i="1"/>
  <c r="AP366" i="1"/>
  <c r="AL366" i="1"/>
  <c r="AJ366" i="1"/>
  <c r="AC366" i="1"/>
  <c r="X366" i="1"/>
  <c r="U366" i="1"/>
  <c r="T366" i="1"/>
  <c r="F366" i="1"/>
  <c r="GE365" i="1"/>
  <c r="GB365" i="1"/>
  <c r="FW365" i="1"/>
  <c r="FV365" i="1"/>
  <c r="FS365" i="1"/>
  <c r="FO365" i="1"/>
  <c r="FJ365" i="1"/>
  <c r="FF365" i="1"/>
  <c r="FC365" i="1"/>
  <c r="EZ365" i="1"/>
  <c r="ET365" i="1"/>
  <c r="EL365" i="1"/>
  <c r="EI365" i="1"/>
  <c r="EC365" i="1"/>
  <c r="DW365" i="1"/>
  <c r="DS365" i="1"/>
  <c r="DP365" i="1"/>
  <c r="DM365" i="1"/>
  <c r="DI365" i="1"/>
  <c r="DD365" i="1"/>
  <c r="CX365" i="1"/>
  <c r="CP365" i="1"/>
  <c r="CO365" i="1"/>
  <c r="CI365" i="1"/>
  <c r="CC365" i="1"/>
  <c r="BZ365" i="1"/>
  <c r="BV365" i="1"/>
  <c r="BU365" i="1"/>
  <c r="BK365" i="1"/>
  <c r="K363" i="4" s="1"/>
  <c r="BH365" i="1"/>
  <c r="BD365" i="1"/>
  <c r="AZ365" i="1"/>
  <c r="AV365" i="1"/>
  <c r="AP365" i="1"/>
  <c r="AL365" i="1"/>
  <c r="AJ365" i="1"/>
  <c r="AC365" i="1"/>
  <c r="X365" i="1"/>
  <c r="U365" i="1"/>
  <c r="T365" i="1"/>
  <c r="F365" i="1"/>
  <c r="GE364" i="1"/>
  <c r="GB364" i="1"/>
  <c r="FW364" i="1"/>
  <c r="FV364" i="1"/>
  <c r="FS364" i="1"/>
  <c r="FO364" i="1"/>
  <c r="FJ364" i="1"/>
  <c r="FF364" i="1"/>
  <c r="FC364" i="1"/>
  <c r="EZ364" i="1"/>
  <c r="ET364" i="1"/>
  <c r="EL364" i="1"/>
  <c r="EI364" i="1"/>
  <c r="EC364" i="1"/>
  <c r="DW364" i="1"/>
  <c r="DS364" i="1"/>
  <c r="DP364" i="1"/>
  <c r="DM364" i="1"/>
  <c r="DI364" i="1"/>
  <c r="DD364" i="1"/>
  <c r="CX364" i="1"/>
  <c r="CP364" i="1"/>
  <c r="CO364" i="1"/>
  <c r="CI364" i="1"/>
  <c r="CC364" i="1"/>
  <c r="BZ364" i="1"/>
  <c r="BV364" i="1"/>
  <c r="BU364" i="1"/>
  <c r="BK364" i="1"/>
  <c r="K362" i="4" s="1"/>
  <c r="BH364" i="1"/>
  <c r="BD364" i="1"/>
  <c r="AZ364" i="1"/>
  <c r="AV364" i="1"/>
  <c r="AP364" i="1"/>
  <c r="AL364" i="1"/>
  <c r="AJ364" i="1"/>
  <c r="AC364" i="1"/>
  <c r="X364" i="1"/>
  <c r="U364" i="1"/>
  <c r="T364" i="1"/>
  <c r="F364" i="1"/>
  <c r="GE363" i="1"/>
  <c r="GB363" i="1"/>
  <c r="FW363" i="1"/>
  <c r="FV363" i="1"/>
  <c r="FS363" i="1"/>
  <c r="FO363" i="1"/>
  <c r="FJ363" i="1"/>
  <c r="FF363" i="1"/>
  <c r="FC363" i="1"/>
  <c r="EZ363" i="1"/>
  <c r="ET363" i="1"/>
  <c r="EL363" i="1"/>
  <c r="EI363" i="1"/>
  <c r="EC363" i="1"/>
  <c r="DW363" i="1"/>
  <c r="DS363" i="1"/>
  <c r="DP363" i="1"/>
  <c r="DM363" i="1"/>
  <c r="DI363" i="1"/>
  <c r="DD363" i="1"/>
  <c r="CX363" i="1"/>
  <c r="CP363" i="1"/>
  <c r="CO363" i="1"/>
  <c r="CI363" i="1"/>
  <c r="CC363" i="1"/>
  <c r="BZ363" i="1"/>
  <c r="BV363" i="1"/>
  <c r="BU363" i="1"/>
  <c r="BK363" i="1"/>
  <c r="K361" i="4" s="1"/>
  <c r="BH363" i="1"/>
  <c r="BD363" i="1"/>
  <c r="AZ363" i="1"/>
  <c r="AV363" i="1"/>
  <c r="AP363" i="1"/>
  <c r="AL363" i="1"/>
  <c r="AJ363" i="1"/>
  <c r="AC363" i="1"/>
  <c r="X363" i="1"/>
  <c r="U363" i="1"/>
  <c r="T363" i="1"/>
  <c r="F363" i="1"/>
  <c r="GE362" i="1"/>
  <c r="GB362" i="1"/>
  <c r="FW362" i="1"/>
  <c r="FV362" i="1"/>
  <c r="FS362" i="1"/>
  <c r="FO362" i="1"/>
  <c r="FJ362" i="1"/>
  <c r="FF362" i="1"/>
  <c r="FC362" i="1"/>
  <c r="EZ362" i="1"/>
  <c r="ET362" i="1"/>
  <c r="EL362" i="1"/>
  <c r="EI362" i="1"/>
  <c r="EC362" i="1"/>
  <c r="DW362" i="1"/>
  <c r="DS362" i="1"/>
  <c r="DP362" i="1"/>
  <c r="DM362" i="1"/>
  <c r="DI362" i="1"/>
  <c r="DD362" i="1"/>
  <c r="CX362" i="1"/>
  <c r="CP362" i="1"/>
  <c r="CO362" i="1"/>
  <c r="CI362" i="1"/>
  <c r="CC362" i="1"/>
  <c r="BZ362" i="1"/>
  <c r="BV362" i="1"/>
  <c r="BU362" i="1"/>
  <c r="BK362" i="1"/>
  <c r="BH362" i="1"/>
  <c r="BD362" i="1"/>
  <c r="AZ362" i="1"/>
  <c r="AV362" i="1"/>
  <c r="AP362" i="1"/>
  <c r="AL362" i="1"/>
  <c r="AJ362" i="1"/>
  <c r="AC362" i="1"/>
  <c r="X362" i="1"/>
  <c r="U362" i="1"/>
  <c r="T362" i="1"/>
  <c r="F362" i="1"/>
  <c r="GE361" i="1"/>
  <c r="GB361" i="1"/>
  <c r="FW361" i="1"/>
  <c r="FV361" i="1"/>
  <c r="FS361" i="1"/>
  <c r="FO361" i="1"/>
  <c r="FJ361" i="1"/>
  <c r="FF361" i="1"/>
  <c r="FC361" i="1"/>
  <c r="EZ361" i="1"/>
  <c r="ET361" i="1"/>
  <c r="EL361" i="1"/>
  <c r="EI361" i="1"/>
  <c r="EC361" i="1"/>
  <c r="DW361" i="1"/>
  <c r="DS361" i="1"/>
  <c r="DP361" i="1"/>
  <c r="DM361" i="1"/>
  <c r="DI361" i="1"/>
  <c r="DD361" i="1"/>
  <c r="CX361" i="1"/>
  <c r="CP361" i="1"/>
  <c r="CO361" i="1"/>
  <c r="CI361" i="1"/>
  <c r="CC361" i="1"/>
  <c r="BZ361" i="1"/>
  <c r="BV361" i="1"/>
  <c r="BU361" i="1"/>
  <c r="BK361" i="1"/>
  <c r="K359" i="4" s="1"/>
  <c r="BH361" i="1"/>
  <c r="BD361" i="1"/>
  <c r="AZ361" i="1"/>
  <c r="AV361" i="1"/>
  <c r="AP361" i="1"/>
  <c r="AL361" i="1"/>
  <c r="AJ361" i="1"/>
  <c r="AC361" i="1"/>
  <c r="X361" i="1"/>
  <c r="U361" i="1"/>
  <c r="T361" i="1"/>
  <c r="F361" i="1"/>
  <c r="GE360" i="1"/>
  <c r="GB360" i="1"/>
  <c r="FW360" i="1"/>
  <c r="FV360" i="1"/>
  <c r="FS360" i="1"/>
  <c r="FO360" i="1"/>
  <c r="FJ360" i="1"/>
  <c r="FF360" i="1"/>
  <c r="FC360" i="1"/>
  <c r="EZ360" i="1"/>
  <c r="ET360" i="1"/>
  <c r="EL360" i="1"/>
  <c r="EI360" i="1"/>
  <c r="EC360" i="1"/>
  <c r="DW360" i="1"/>
  <c r="DS360" i="1"/>
  <c r="DP360" i="1"/>
  <c r="DM360" i="1"/>
  <c r="DI360" i="1"/>
  <c r="DD360" i="1"/>
  <c r="CX360" i="1"/>
  <c r="CP360" i="1"/>
  <c r="CO360" i="1"/>
  <c r="CI360" i="1"/>
  <c r="CC360" i="1"/>
  <c r="BZ360" i="1"/>
  <c r="BV360" i="1"/>
  <c r="BU360" i="1"/>
  <c r="BK360" i="1"/>
  <c r="K358" i="4" s="1"/>
  <c r="BH360" i="1"/>
  <c r="BD360" i="1"/>
  <c r="AZ360" i="1"/>
  <c r="AV360" i="1"/>
  <c r="AP360" i="1"/>
  <c r="AL360" i="1"/>
  <c r="AJ360" i="1"/>
  <c r="AC360" i="1"/>
  <c r="X360" i="1"/>
  <c r="U360" i="1"/>
  <c r="T360" i="1"/>
  <c r="F360" i="1"/>
  <c r="GE359" i="1"/>
  <c r="GB359" i="1"/>
  <c r="FW359" i="1"/>
  <c r="FV359" i="1"/>
  <c r="FS359" i="1"/>
  <c r="FO359" i="1"/>
  <c r="FJ359" i="1"/>
  <c r="FF359" i="1"/>
  <c r="FC359" i="1"/>
  <c r="EZ359" i="1"/>
  <c r="ET359" i="1"/>
  <c r="EL359" i="1"/>
  <c r="EI359" i="1"/>
  <c r="EC359" i="1"/>
  <c r="DW359" i="1"/>
  <c r="DS359" i="1"/>
  <c r="DP359" i="1"/>
  <c r="DM359" i="1"/>
  <c r="DI359" i="1"/>
  <c r="DD359" i="1"/>
  <c r="CX359" i="1"/>
  <c r="CP359" i="1"/>
  <c r="CO359" i="1"/>
  <c r="CI359" i="1"/>
  <c r="CC359" i="1"/>
  <c r="BZ359" i="1"/>
  <c r="BV359" i="1"/>
  <c r="BU359" i="1"/>
  <c r="BK359" i="1"/>
  <c r="K357" i="4" s="1"/>
  <c r="BH359" i="1"/>
  <c r="BD359" i="1"/>
  <c r="AZ359" i="1"/>
  <c r="AV359" i="1"/>
  <c r="AP359" i="1"/>
  <c r="AL359" i="1"/>
  <c r="AJ359" i="1"/>
  <c r="AC359" i="1"/>
  <c r="X359" i="1"/>
  <c r="U359" i="1"/>
  <c r="T359" i="1"/>
  <c r="F359" i="1"/>
  <c r="GE358" i="1"/>
  <c r="GB358" i="1"/>
  <c r="FW358" i="1"/>
  <c r="FV358" i="1"/>
  <c r="FS358" i="1"/>
  <c r="FO358" i="1"/>
  <c r="FJ358" i="1"/>
  <c r="FF358" i="1"/>
  <c r="FC358" i="1"/>
  <c r="EZ358" i="1"/>
  <c r="ET358" i="1"/>
  <c r="EL358" i="1"/>
  <c r="EI358" i="1"/>
  <c r="EC358" i="1"/>
  <c r="DW358" i="1"/>
  <c r="DS358" i="1"/>
  <c r="DP358" i="1"/>
  <c r="DM358" i="1"/>
  <c r="DI358" i="1"/>
  <c r="DD358" i="1"/>
  <c r="CX358" i="1"/>
  <c r="CP358" i="1"/>
  <c r="CO358" i="1"/>
  <c r="CI358" i="1"/>
  <c r="CC358" i="1"/>
  <c r="BZ358" i="1"/>
  <c r="BV358" i="1"/>
  <c r="BU358" i="1"/>
  <c r="BK358" i="1"/>
  <c r="K356" i="4" s="1"/>
  <c r="BH358" i="1"/>
  <c r="BD358" i="1"/>
  <c r="AZ358" i="1"/>
  <c r="AV358" i="1"/>
  <c r="AP358" i="1"/>
  <c r="AL358" i="1"/>
  <c r="AJ358" i="1"/>
  <c r="AC358" i="1"/>
  <c r="X358" i="1"/>
  <c r="U358" i="1"/>
  <c r="T358" i="1"/>
  <c r="F358" i="1"/>
  <c r="GE357" i="1"/>
  <c r="GB357" i="1"/>
  <c r="FW357" i="1"/>
  <c r="FV357" i="1"/>
  <c r="FS357" i="1"/>
  <c r="FO357" i="1"/>
  <c r="FJ357" i="1"/>
  <c r="FF357" i="1"/>
  <c r="FC357" i="1"/>
  <c r="EZ357" i="1"/>
  <c r="ET357" i="1"/>
  <c r="EL357" i="1"/>
  <c r="EI357" i="1"/>
  <c r="EC357" i="1"/>
  <c r="DW357" i="1"/>
  <c r="DS357" i="1"/>
  <c r="DP357" i="1"/>
  <c r="DM357" i="1"/>
  <c r="DI357" i="1"/>
  <c r="DD357" i="1"/>
  <c r="CX357" i="1"/>
  <c r="CP357" i="1"/>
  <c r="CO357" i="1"/>
  <c r="CI357" i="1"/>
  <c r="CC357" i="1"/>
  <c r="BZ357" i="1"/>
  <c r="BV357" i="1"/>
  <c r="BU357" i="1"/>
  <c r="BK357" i="1"/>
  <c r="K355" i="4" s="1"/>
  <c r="BH357" i="1"/>
  <c r="BD357" i="1"/>
  <c r="AZ357" i="1"/>
  <c r="AV357" i="1"/>
  <c r="AP357" i="1"/>
  <c r="AL357" i="1"/>
  <c r="AJ357" i="1"/>
  <c r="AC357" i="1"/>
  <c r="X357" i="1"/>
  <c r="U357" i="1"/>
  <c r="T357" i="1"/>
  <c r="F357" i="1"/>
  <c r="GE356" i="1"/>
  <c r="GB356" i="1"/>
  <c r="FW356" i="1"/>
  <c r="FV356" i="1"/>
  <c r="FS356" i="1"/>
  <c r="FO356" i="1"/>
  <c r="FJ356" i="1"/>
  <c r="FF356" i="1"/>
  <c r="FC356" i="1"/>
  <c r="EZ356" i="1"/>
  <c r="ET356" i="1"/>
  <c r="EL356" i="1"/>
  <c r="EI356" i="1"/>
  <c r="EC356" i="1"/>
  <c r="DW356" i="1"/>
  <c r="DS356" i="1"/>
  <c r="DP356" i="1"/>
  <c r="DM356" i="1"/>
  <c r="DI356" i="1"/>
  <c r="DD356" i="1"/>
  <c r="CX356" i="1"/>
  <c r="CP356" i="1"/>
  <c r="CO356" i="1"/>
  <c r="CI356" i="1"/>
  <c r="CC356" i="1"/>
  <c r="BZ356" i="1"/>
  <c r="BV356" i="1"/>
  <c r="BU356" i="1"/>
  <c r="BK356" i="1"/>
  <c r="K354" i="4" s="1"/>
  <c r="BH356" i="1"/>
  <c r="BD356" i="1"/>
  <c r="AZ356" i="1"/>
  <c r="AV356" i="1"/>
  <c r="AP356" i="1"/>
  <c r="AL356" i="1"/>
  <c r="AJ356" i="1"/>
  <c r="AC356" i="1"/>
  <c r="X356" i="1"/>
  <c r="U356" i="1"/>
  <c r="T356" i="1"/>
  <c r="F356" i="1"/>
  <c r="GE355" i="1"/>
  <c r="GB355" i="1"/>
  <c r="FW355" i="1"/>
  <c r="FV355" i="1"/>
  <c r="FS355" i="1"/>
  <c r="FO355" i="1"/>
  <c r="FJ355" i="1"/>
  <c r="FF355" i="1"/>
  <c r="FC355" i="1"/>
  <c r="EZ355" i="1"/>
  <c r="ET355" i="1"/>
  <c r="EL355" i="1"/>
  <c r="EI355" i="1"/>
  <c r="EC355" i="1"/>
  <c r="DW355" i="1"/>
  <c r="DS355" i="1"/>
  <c r="DP355" i="1"/>
  <c r="DM355" i="1"/>
  <c r="DI355" i="1"/>
  <c r="DD355" i="1"/>
  <c r="CX355" i="1"/>
  <c r="CP355" i="1"/>
  <c r="CO355" i="1"/>
  <c r="CI355" i="1"/>
  <c r="CC355" i="1"/>
  <c r="BZ355" i="1"/>
  <c r="BV355" i="1"/>
  <c r="BU355" i="1"/>
  <c r="BK355" i="1"/>
  <c r="K353" i="4" s="1"/>
  <c r="BH355" i="1"/>
  <c r="BD355" i="1"/>
  <c r="AZ355" i="1"/>
  <c r="AV355" i="1"/>
  <c r="AP355" i="1"/>
  <c r="AL355" i="1"/>
  <c r="AJ355" i="1"/>
  <c r="AC355" i="1"/>
  <c r="X355" i="1"/>
  <c r="U355" i="1"/>
  <c r="T355" i="1"/>
  <c r="F355" i="1"/>
  <c r="GE354" i="1"/>
  <c r="GB354" i="1"/>
  <c r="FW354" i="1"/>
  <c r="FV354" i="1"/>
  <c r="FS354" i="1"/>
  <c r="FO354" i="1"/>
  <c r="FJ354" i="1"/>
  <c r="FF354" i="1"/>
  <c r="FC354" i="1"/>
  <c r="EZ354" i="1"/>
  <c r="ET354" i="1"/>
  <c r="EL354" i="1"/>
  <c r="EI354" i="1"/>
  <c r="EC354" i="1"/>
  <c r="DW354" i="1"/>
  <c r="DS354" i="1"/>
  <c r="DP354" i="1"/>
  <c r="DM354" i="1"/>
  <c r="DI354" i="1"/>
  <c r="DD354" i="1"/>
  <c r="CX354" i="1"/>
  <c r="CP354" i="1"/>
  <c r="CO354" i="1"/>
  <c r="CI354" i="1"/>
  <c r="CC354" i="1"/>
  <c r="BZ354" i="1"/>
  <c r="BV354" i="1"/>
  <c r="BU354" i="1"/>
  <c r="BK354" i="1"/>
  <c r="K352" i="4" s="1"/>
  <c r="BH354" i="1"/>
  <c r="BD354" i="1"/>
  <c r="AZ354" i="1"/>
  <c r="AV354" i="1"/>
  <c r="AP354" i="1"/>
  <c r="AL354" i="1"/>
  <c r="AJ354" i="1"/>
  <c r="AC354" i="1"/>
  <c r="X354" i="1"/>
  <c r="U354" i="1"/>
  <c r="T354" i="1"/>
  <c r="F354" i="1"/>
  <c r="GE353" i="1"/>
  <c r="GB353" i="1"/>
  <c r="FW353" i="1"/>
  <c r="FV353" i="1"/>
  <c r="FS353" i="1"/>
  <c r="FO353" i="1"/>
  <c r="FJ353" i="1"/>
  <c r="FF353" i="1"/>
  <c r="FC353" i="1"/>
  <c r="EZ353" i="1"/>
  <c r="ET353" i="1"/>
  <c r="EL353" i="1"/>
  <c r="EI353" i="1"/>
  <c r="EC353" i="1"/>
  <c r="DW353" i="1"/>
  <c r="DS353" i="1"/>
  <c r="DP353" i="1"/>
  <c r="DM353" i="1"/>
  <c r="DI353" i="1"/>
  <c r="DD353" i="1"/>
  <c r="CX353" i="1"/>
  <c r="CP353" i="1"/>
  <c r="CO353" i="1"/>
  <c r="CI353" i="1"/>
  <c r="CC353" i="1"/>
  <c r="BZ353" i="1"/>
  <c r="BV353" i="1"/>
  <c r="BU353" i="1"/>
  <c r="BK353" i="1"/>
  <c r="K351" i="4" s="1"/>
  <c r="BH353" i="1"/>
  <c r="BD353" i="1"/>
  <c r="AZ353" i="1"/>
  <c r="AV353" i="1"/>
  <c r="AP353" i="1"/>
  <c r="AL353" i="1"/>
  <c r="AJ353" i="1"/>
  <c r="AC353" i="1"/>
  <c r="X353" i="1"/>
  <c r="U353" i="1"/>
  <c r="T353" i="1"/>
  <c r="F353" i="1"/>
  <c r="GE352" i="1"/>
  <c r="GB352" i="1"/>
  <c r="FW352" i="1"/>
  <c r="FV352" i="1"/>
  <c r="FS352" i="1"/>
  <c r="FO352" i="1"/>
  <c r="FJ352" i="1"/>
  <c r="FF352" i="1"/>
  <c r="FC352" i="1"/>
  <c r="EZ352" i="1"/>
  <c r="ET352" i="1"/>
  <c r="EL352" i="1"/>
  <c r="EI352" i="1"/>
  <c r="EC352" i="1"/>
  <c r="DW352" i="1"/>
  <c r="DS352" i="1"/>
  <c r="DP352" i="1"/>
  <c r="DM352" i="1"/>
  <c r="DI352" i="1"/>
  <c r="DD352" i="1"/>
  <c r="CX352" i="1"/>
  <c r="CP352" i="1"/>
  <c r="CO352" i="1"/>
  <c r="CI352" i="1"/>
  <c r="CC352" i="1"/>
  <c r="BZ352" i="1"/>
  <c r="BV352" i="1"/>
  <c r="BU352" i="1"/>
  <c r="BK352" i="1"/>
  <c r="K350" i="4" s="1"/>
  <c r="BH352" i="1"/>
  <c r="BD352" i="1"/>
  <c r="AZ352" i="1"/>
  <c r="AV352" i="1"/>
  <c r="AP352" i="1"/>
  <c r="AL352" i="1"/>
  <c r="AJ352" i="1"/>
  <c r="AC352" i="1"/>
  <c r="X352" i="1"/>
  <c r="U352" i="1"/>
  <c r="T352" i="1"/>
  <c r="F352" i="1"/>
  <c r="GE351" i="1"/>
  <c r="GB351" i="1"/>
  <c r="FW351" i="1"/>
  <c r="FV351" i="1"/>
  <c r="FS351" i="1"/>
  <c r="FO351" i="1"/>
  <c r="FJ351" i="1"/>
  <c r="FF351" i="1"/>
  <c r="FC351" i="1"/>
  <c r="EZ351" i="1"/>
  <c r="ET351" i="1"/>
  <c r="EL351" i="1"/>
  <c r="EI351" i="1"/>
  <c r="EC351" i="1"/>
  <c r="DW351" i="1"/>
  <c r="DS351" i="1"/>
  <c r="DP351" i="1"/>
  <c r="DM351" i="1"/>
  <c r="DI351" i="1"/>
  <c r="DD351" i="1"/>
  <c r="CX351" i="1"/>
  <c r="CP351" i="1"/>
  <c r="CO351" i="1"/>
  <c r="CI351" i="1"/>
  <c r="CC351" i="1"/>
  <c r="BZ351" i="1"/>
  <c r="BV351" i="1"/>
  <c r="BU351" i="1"/>
  <c r="BK351" i="1"/>
  <c r="BH351" i="1"/>
  <c r="BD351" i="1"/>
  <c r="AZ351" i="1"/>
  <c r="AV351" i="1"/>
  <c r="AP351" i="1"/>
  <c r="AL351" i="1"/>
  <c r="AJ351" i="1"/>
  <c r="AC351" i="1"/>
  <c r="X351" i="1"/>
  <c r="U351" i="1"/>
  <c r="T351" i="1"/>
  <c r="F351" i="1"/>
  <c r="GE350" i="1"/>
  <c r="GB350" i="1"/>
  <c r="FW350" i="1"/>
  <c r="FV350" i="1"/>
  <c r="FS350" i="1"/>
  <c r="FO350" i="1"/>
  <c r="FJ350" i="1"/>
  <c r="FF350" i="1"/>
  <c r="FC350" i="1"/>
  <c r="EZ350" i="1"/>
  <c r="ET350" i="1"/>
  <c r="EL350" i="1"/>
  <c r="EI350" i="1"/>
  <c r="EC350" i="1"/>
  <c r="DW350" i="1"/>
  <c r="DS350" i="1"/>
  <c r="DP350" i="1"/>
  <c r="DM350" i="1"/>
  <c r="DI350" i="1"/>
  <c r="DD350" i="1"/>
  <c r="CX350" i="1"/>
  <c r="CP350" i="1"/>
  <c r="CO350" i="1"/>
  <c r="CI350" i="1"/>
  <c r="CC350" i="1"/>
  <c r="BZ350" i="1"/>
  <c r="BV350" i="1"/>
  <c r="BU350" i="1"/>
  <c r="BK350" i="1"/>
  <c r="K348" i="4" s="1"/>
  <c r="BH350" i="1"/>
  <c r="BD350" i="1"/>
  <c r="AZ350" i="1"/>
  <c r="AV350" i="1"/>
  <c r="AP350" i="1"/>
  <c r="AL350" i="1"/>
  <c r="AJ350" i="1"/>
  <c r="AC350" i="1"/>
  <c r="X350" i="1"/>
  <c r="U350" i="1"/>
  <c r="T350" i="1"/>
  <c r="F350" i="1"/>
  <c r="GE349" i="1"/>
  <c r="GB349" i="1"/>
  <c r="FW349" i="1"/>
  <c r="FV349" i="1"/>
  <c r="FS349" i="1"/>
  <c r="FO349" i="1"/>
  <c r="FJ349" i="1"/>
  <c r="FF349" i="1"/>
  <c r="FC349" i="1"/>
  <c r="EZ349" i="1"/>
  <c r="ET349" i="1"/>
  <c r="EL349" i="1"/>
  <c r="EI349" i="1"/>
  <c r="EC349" i="1"/>
  <c r="DW349" i="1"/>
  <c r="DS349" i="1"/>
  <c r="DP349" i="1"/>
  <c r="DM349" i="1"/>
  <c r="DI349" i="1"/>
  <c r="DD349" i="1"/>
  <c r="CX349" i="1"/>
  <c r="CP349" i="1"/>
  <c r="CO349" i="1"/>
  <c r="CI349" i="1"/>
  <c r="CC349" i="1"/>
  <c r="BZ349" i="1"/>
  <c r="BV349" i="1"/>
  <c r="BU349" i="1"/>
  <c r="BK349" i="1"/>
  <c r="K347" i="4" s="1"/>
  <c r="BH349" i="1"/>
  <c r="BD349" i="1"/>
  <c r="AZ349" i="1"/>
  <c r="AV349" i="1"/>
  <c r="AP349" i="1"/>
  <c r="AL349" i="1"/>
  <c r="AJ349" i="1"/>
  <c r="AC349" i="1"/>
  <c r="X349" i="1"/>
  <c r="U349" i="1"/>
  <c r="T349" i="1"/>
  <c r="F349" i="1"/>
  <c r="GE348" i="1"/>
  <c r="GB348" i="1"/>
  <c r="FW348" i="1"/>
  <c r="FV348" i="1"/>
  <c r="FS348" i="1"/>
  <c r="FO348" i="1"/>
  <c r="FJ348" i="1"/>
  <c r="FF348" i="1"/>
  <c r="FC348" i="1"/>
  <c r="EZ348" i="1"/>
  <c r="ET348" i="1"/>
  <c r="EL348" i="1"/>
  <c r="EI348" i="1"/>
  <c r="EC348" i="1"/>
  <c r="DW348" i="1"/>
  <c r="DS348" i="1"/>
  <c r="DP348" i="1"/>
  <c r="DM348" i="1"/>
  <c r="DI348" i="1"/>
  <c r="DD348" i="1"/>
  <c r="CX348" i="1"/>
  <c r="CP348" i="1"/>
  <c r="CO348" i="1"/>
  <c r="CI348" i="1"/>
  <c r="CC348" i="1"/>
  <c r="BZ348" i="1"/>
  <c r="BV348" i="1"/>
  <c r="BU348" i="1"/>
  <c r="BK348" i="1"/>
  <c r="BH348" i="1"/>
  <c r="BD348" i="1"/>
  <c r="AZ348" i="1"/>
  <c r="AV348" i="1"/>
  <c r="AP348" i="1"/>
  <c r="AL348" i="1"/>
  <c r="AJ348" i="1"/>
  <c r="AC348" i="1"/>
  <c r="X348" i="1"/>
  <c r="U348" i="1"/>
  <c r="T348" i="1"/>
  <c r="F348" i="1"/>
  <c r="GE347" i="1"/>
  <c r="GB347" i="1"/>
  <c r="FW347" i="1"/>
  <c r="FV347" i="1"/>
  <c r="FS347" i="1"/>
  <c r="FO347" i="1"/>
  <c r="FJ347" i="1"/>
  <c r="FF347" i="1"/>
  <c r="FC347" i="1"/>
  <c r="EZ347" i="1"/>
  <c r="ET347" i="1"/>
  <c r="EL347" i="1"/>
  <c r="EI347" i="1"/>
  <c r="EC347" i="1"/>
  <c r="DW347" i="1"/>
  <c r="DS347" i="1"/>
  <c r="DP347" i="1"/>
  <c r="DM347" i="1"/>
  <c r="DI347" i="1"/>
  <c r="DD347" i="1"/>
  <c r="CX347" i="1"/>
  <c r="CP347" i="1"/>
  <c r="CO347" i="1"/>
  <c r="CI347" i="1"/>
  <c r="CC347" i="1"/>
  <c r="BZ347" i="1"/>
  <c r="BV347" i="1"/>
  <c r="BU347" i="1"/>
  <c r="BK347" i="1"/>
  <c r="K345" i="4" s="1"/>
  <c r="BH347" i="1"/>
  <c r="BD347" i="1"/>
  <c r="AZ347" i="1"/>
  <c r="AV347" i="1"/>
  <c r="AP347" i="1"/>
  <c r="AL347" i="1"/>
  <c r="AJ347" i="1"/>
  <c r="AC347" i="1"/>
  <c r="X347" i="1"/>
  <c r="U347" i="1"/>
  <c r="T347" i="1"/>
  <c r="F347" i="1"/>
  <c r="GE346" i="1"/>
  <c r="GB346" i="1"/>
  <c r="FW346" i="1"/>
  <c r="FV346" i="1"/>
  <c r="FS346" i="1"/>
  <c r="FO346" i="1"/>
  <c r="FJ346" i="1"/>
  <c r="FF346" i="1"/>
  <c r="FC346" i="1"/>
  <c r="EZ346" i="1"/>
  <c r="ET346" i="1"/>
  <c r="EL346" i="1"/>
  <c r="EI346" i="1"/>
  <c r="EC346" i="1"/>
  <c r="DW346" i="1"/>
  <c r="DS346" i="1"/>
  <c r="DP346" i="1"/>
  <c r="DM346" i="1"/>
  <c r="DI346" i="1"/>
  <c r="DD346" i="1"/>
  <c r="CX346" i="1"/>
  <c r="CP346" i="1"/>
  <c r="CO346" i="1"/>
  <c r="CI346" i="1"/>
  <c r="CC346" i="1"/>
  <c r="BZ346" i="1"/>
  <c r="BV346" i="1"/>
  <c r="BU346" i="1"/>
  <c r="BK346" i="1"/>
  <c r="BH346" i="1"/>
  <c r="BD346" i="1"/>
  <c r="AZ346" i="1"/>
  <c r="AV346" i="1"/>
  <c r="AP346" i="1"/>
  <c r="AL346" i="1"/>
  <c r="AJ346" i="1"/>
  <c r="AC346" i="1"/>
  <c r="X346" i="1"/>
  <c r="U346" i="1"/>
  <c r="T346" i="1"/>
  <c r="F346" i="1"/>
  <c r="GE345" i="1"/>
  <c r="GB345" i="1"/>
  <c r="FW345" i="1"/>
  <c r="FV345" i="1"/>
  <c r="FS345" i="1"/>
  <c r="FO345" i="1"/>
  <c r="FJ345" i="1"/>
  <c r="FF345" i="1"/>
  <c r="FC345" i="1"/>
  <c r="EZ345" i="1"/>
  <c r="ET345" i="1"/>
  <c r="EL345" i="1"/>
  <c r="EI345" i="1"/>
  <c r="EC345" i="1"/>
  <c r="DW345" i="1"/>
  <c r="DS345" i="1"/>
  <c r="DP345" i="1"/>
  <c r="DM345" i="1"/>
  <c r="DI345" i="1"/>
  <c r="DD345" i="1"/>
  <c r="CX345" i="1"/>
  <c r="CP345" i="1"/>
  <c r="CO345" i="1"/>
  <c r="CI345" i="1"/>
  <c r="CC345" i="1"/>
  <c r="BZ345" i="1"/>
  <c r="BV345" i="1"/>
  <c r="BU345" i="1"/>
  <c r="BK345" i="1"/>
  <c r="K343" i="4" s="1"/>
  <c r="BH345" i="1"/>
  <c r="BD345" i="1"/>
  <c r="AZ345" i="1"/>
  <c r="AV345" i="1"/>
  <c r="AP345" i="1"/>
  <c r="AL345" i="1"/>
  <c r="AJ345" i="1"/>
  <c r="AC345" i="1"/>
  <c r="X345" i="1"/>
  <c r="U345" i="1"/>
  <c r="T345" i="1"/>
  <c r="F345" i="1"/>
  <c r="GE344" i="1"/>
  <c r="GB344" i="1"/>
  <c r="FW344" i="1"/>
  <c r="FV344" i="1"/>
  <c r="FS344" i="1"/>
  <c r="FO344" i="1"/>
  <c r="FJ344" i="1"/>
  <c r="FF344" i="1"/>
  <c r="FC344" i="1"/>
  <c r="EZ344" i="1"/>
  <c r="ET344" i="1"/>
  <c r="EL344" i="1"/>
  <c r="EI344" i="1"/>
  <c r="EC344" i="1"/>
  <c r="DW344" i="1"/>
  <c r="DS344" i="1"/>
  <c r="DP344" i="1"/>
  <c r="DM344" i="1"/>
  <c r="DI344" i="1"/>
  <c r="DD344" i="1"/>
  <c r="CX344" i="1"/>
  <c r="CP344" i="1"/>
  <c r="CO344" i="1"/>
  <c r="CI344" i="1"/>
  <c r="CC344" i="1"/>
  <c r="BZ344" i="1"/>
  <c r="BV344" i="1"/>
  <c r="BU344" i="1"/>
  <c r="BK344" i="1"/>
  <c r="K342" i="4" s="1"/>
  <c r="BH344" i="1"/>
  <c r="BD344" i="1"/>
  <c r="AZ344" i="1"/>
  <c r="AV344" i="1"/>
  <c r="AP344" i="1"/>
  <c r="AL344" i="1"/>
  <c r="AJ344" i="1"/>
  <c r="AC344" i="1"/>
  <c r="X344" i="1"/>
  <c r="U344" i="1"/>
  <c r="T344" i="1"/>
  <c r="F344" i="1"/>
  <c r="GE343" i="1"/>
  <c r="GB343" i="1"/>
  <c r="FW343" i="1"/>
  <c r="FV343" i="1"/>
  <c r="FS343" i="1"/>
  <c r="FO343" i="1"/>
  <c r="FJ343" i="1"/>
  <c r="FF343" i="1"/>
  <c r="FC343" i="1"/>
  <c r="EZ343" i="1"/>
  <c r="ET343" i="1"/>
  <c r="EL343" i="1"/>
  <c r="EI343" i="1"/>
  <c r="EC343" i="1"/>
  <c r="DW343" i="1"/>
  <c r="DS343" i="1"/>
  <c r="DP343" i="1"/>
  <c r="DM343" i="1"/>
  <c r="DI343" i="1"/>
  <c r="DD343" i="1"/>
  <c r="CX343" i="1"/>
  <c r="CP343" i="1"/>
  <c r="CO343" i="1"/>
  <c r="CI343" i="1"/>
  <c r="CC343" i="1"/>
  <c r="BZ343" i="1"/>
  <c r="BV343" i="1"/>
  <c r="BU343" i="1"/>
  <c r="BK343" i="1"/>
  <c r="K341" i="4" s="1"/>
  <c r="BH343" i="1"/>
  <c r="BD343" i="1"/>
  <c r="AZ343" i="1"/>
  <c r="AV343" i="1"/>
  <c r="AP343" i="1"/>
  <c r="AL343" i="1"/>
  <c r="AJ343" i="1"/>
  <c r="AC343" i="1"/>
  <c r="X343" i="1"/>
  <c r="U343" i="1"/>
  <c r="T343" i="1"/>
  <c r="F343" i="1"/>
  <c r="GE342" i="1"/>
  <c r="GB342" i="1"/>
  <c r="FW342" i="1"/>
  <c r="FV342" i="1"/>
  <c r="FS342" i="1"/>
  <c r="FO342" i="1"/>
  <c r="FJ342" i="1"/>
  <c r="FF342" i="1"/>
  <c r="FC342" i="1"/>
  <c r="EZ342" i="1"/>
  <c r="ET342" i="1"/>
  <c r="EL342" i="1"/>
  <c r="EI342" i="1"/>
  <c r="EC342" i="1"/>
  <c r="DW342" i="1"/>
  <c r="DS342" i="1"/>
  <c r="DP342" i="1"/>
  <c r="DM342" i="1"/>
  <c r="DI342" i="1"/>
  <c r="DD342" i="1"/>
  <c r="CX342" i="1"/>
  <c r="CP342" i="1"/>
  <c r="CO342" i="1"/>
  <c r="CI342" i="1"/>
  <c r="CC342" i="1"/>
  <c r="BZ342" i="1"/>
  <c r="BV342" i="1"/>
  <c r="BU342" i="1"/>
  <c r="BK342" i="1"/>
  <c r="K340" i="4" s="1"/>
  <c r="BH342" i="1"/>
  <c r="BD342" i="1"/>
  <c r="AZ342" i="1"/>
  <c r="AV342" i="1"/>
  <c r="AP342" i="1"/>
  <c r="AL342" i="1"/>
  <c r="AJ342" i="1"/>
  <c r="AC342" i="1"/>
  <c r="X342" i="1"/>
  <c r="U342" i="1"/>
  <c r="T342" i="1"/>
  <c r="F342" i="1"/>
  <c r="GE341" i="1"/>
  <c r="GB341" i="1"/>
  <c r="FW341" i="1"/>
  <c r="FV341" i="1"/>
  <c r="FS341" i="1"/>
  <c r="FO341" i="1"/>
  <c r="FJ341" i="1"/>
  <c r="FF341" i="1"/>
  <c r="FC341" i="1"/>
  <c r="EZ341" i="1"/>
  <c r="ET341" i="1"/>
  <c r="EL341" i="1"/>
  <c r="EI341" i="1"/>
  <c r="EC341" i="1"/>
  <c r="DW341" i="1"/>
  <c r="DS341" i="1"/>
  <c r="DP341" i="1"/>
  <c r="DM341" i="1"/>
  <c r="DI341" i="1"/>
  <c r="DD341" i="1"/>
  <c r="CX341" i="1"/>
  <c r="CP341" i="1"/>
  <c r="CO341" i="1"/>
  <c r="CI341" i="1"/>
  <c r="CC341" i="1"/>
  <c r="BZ341" i="1"/>
  <c r="BV341" i="1"/>
  <c r="BU341" i="1"/>
  <c r="BK341" i="1"/>
  <c r="K339" i="4" s="1"/>
  <c r="BH341" i="1"/>
  <c r="BD341" i="1"/>
  <c r="AZ341" i="1"/>
  <c r="AV341" i="1"/>
  <c r="AP341" i="1"/>
  <c r="AL341" i="1"/>
  <c r="AJ341" i="1"/>
  <c r="AC341" i="1"/>
  <c r="X341" i="1"/>
  <c r="U341" i="1"/>
  <c r="T341" i="1"/>
  <c r="F341" i="1"/>
  <c r="GE340" i="1"/>
  <c r="GB340" i="1"/>
  <c r="FW340" i="1"/>
  <c r="FV340" i="1"/>
  <c r="FS340" i="1"/>
  <c r="FO340" i="1"/>
  <c r="FJ340" i="1"/>
  <c r="FF340" i="1"/>
  <c r="FC340" i="1"/>
  <c r="EZ340" i="1"/>
  <c r="ET340" i="1"/>
  <c r="EL340" i="1"/>
  <c r="EI340" i="1"/>
  <c r="EC340" i="1"/>
  <c r="DW340" i="1"/>
  <c r="DS340" i="1"/>
  <c r="DP340" i="1"/>
  <c r="DM340" i="1"/>
  <c r="DI340" i="1"/>
  <c r="DD340" i="1"/>
  <c r="CX340" i="1"/>
  <c r="CP340" i="1"/>
  <c r="CO340" i="1"/>
  <c r="CI340" i="1"/>
  <c r="CC340" i="1"/>
  <c r="BZ340" i="1"/>
  <c r="BV340" i="1"/>
  <c r="BU340" i="1"/>
  <c r="BK340" i="1"/>
  <c r="BH340" i="1"/>
  <c r="BD340" i="1"/>
  <c r="AZ340" i="1"/>
  <c r="AV340" i="1"/>
  <c r="AP340" i="1"/>
  <c r="AL340" i="1"/>
  <c r="AJ340" i="1"/>
  <c r="AC340" i="1"/>
  <c r="X340" i="1"/>
  <c r="U340" i="1"/>
  <c r="T340" i="1"/>
  <c r="F340" i="1"/>
  <c r="GE339" i="1"/>
  <c r="GB339" i="1"/>
  <c r="FW339" i="1"/>
  <c r="FV339" i="1"/>
  <c r="FS339" i="1"/>
  <c r="FO339" i="1"/>
  <c r="FJ339" i="1"/>
  <c r="FF339" i="1"/>
  <c r="FC339" i="1"/>
  <c r="EZ339" i="1"/>
  <c r="ET339" i="1"/>
  <c r="EL339" i="1"/>
  <c r="EI339" i="1"/>
  <c r="EC339" i="1"/>
  <c r="DW339" i="1"/>
  <c r="DS339" i="1"/>
  <c r="DP339" i="1"/>
  <c r="DM339" i="1"/>
  <c r="DI339" i="1"/>
  <c r="DD339" i="1"/>
  <c r="CX339" i="1"/>
  <c r="CP339" i="1"/>
  <c r="CO339" i="1"/>
  <c r="CI339" i="1"/>
  <c r="CC339" i="1"/>
  <c r="BZ339" i="1"/>
  <c r="BV339" i="1"/>
  <c r="BU339" i="1"/>
  <c r="BK339" i="1"/>
  <c r="K337" i="4" s="1"/>
  <c r="BH339" i="1"/>
  <c r="BD339" i="1"/>
  <c r="AZ339" i="1"/>
  <c r="AV339" i="1"/>
  <c r="AP339" i="1"/>
  <c r="AL339" i="1"/>
  <c r="AJ339" i="1"/>
  <c r="AC339" i="1"/>
  <c r="X339" i="1"/>
  <c r="U339" i="1"/>
  <c r="T339" i="1"/>
  <c r="F339" i="1"/>
  <c r="GE338" i="1"/>
  <c r="GB338" i="1"/>
  <c r="FW338" i="1"/>
  <c r="FV338" i="1"/>
  <c r="FS338" i="1"/>
  <c r="FO338" i="1"/>
  <c r="FJ338" i="1"/>
  <c r="FF338" i="1"/>
  <c r="FC338" i="1"/>
  <c r="EZ338" i="1"/>
  <c r="ET338" i="1"/>
  <c r="EL338" i="1"/>
  <c r="EI338" i="1"/>
  <c r="EC338" i="1"/>
  <c r="DW338" i="1"/>
  <c r="DS338" i="1"/>
  <c r="DP338" i="1"/>
  <c r="DM338" i="1"/>
  <c r="DI338" i="1"/>
  <c r="DD338" i="1"/>
  <c r="CX338" i="1"/>
  <c r="CP338" i="1"/>
  <c r="CO338" i="1"/>
  <c r="CI338" i="1"/>
  <c r="CC338" i="1"/>
  <c r="BZ338" i="1"/>
  <c r="BV338" i="1"/>
  <c r="BU338" i="1"/>
  <c r="BK338" i="1"/>
  <c r="K336" i="4" s="1"/>
  <c r="BH338" i="1"/>
  <c r="BD338" i="1"/>
  <c r="AZ338" i="1"/>
  <c r="AV338" i="1"/>
  <c r="AP338" i="1"/>
  <c r="AL338" i="1"/>
  <c r="AJ338" i="1"/>
  <c r="AC338" i="1"/>
  <c r="X338" i="1"/>
  <c r="U338" i="1"/>
  <c r="T338" i="1"/>
  <c r="F338" i="1"/>
  <c r="GE337" i="1"/>
  <c r="GB337" i="1"/>
  <c r="FW337" i="1"/>
  <c r="FV337" i="1"/>
  <c r="FS337" i="1"/>
  <c r="FO337" i="1"/>
  <c r="FJ337" i="1"/>
  <c r="FF337" i="1"/>
  <c r="FC337" i="1"/>
  <c r="EZ337" i="1"/>
  <c r="ET337" i="1"/>
  <c r="EL337" i="1"/>
  <c r="EI337" i="1"/>
  <c r="EC337" i="1"/>
  <c r="DW337" i="1"/>
  <c r="DS337" i="1"/>
  <c r="DP337" i="1"/>
  <c r="DM337" i="1"/>
  <c r="DI337" i="1"/>
  <c r="DD337" i="1"/>
  <c r="CX337" i="1"/>
  <c r="CP337" i="1"/>
  <c r="CO337" i="1"/>
  <c r="CI337" i="1"/>
  <c r="CC337" i="1"/>
  <c r="BZ337" i="1"/>
  <c r="BV337" i="1"/>
  <c r="BU337" i="1"/>
  <c r="BK337" i="1"/>
  <c r="K335" i="4" s="1"/>
  <c r="BH337" i="1"/>
  <c r="BD337" i="1"/>
  <c r="AZ337" i="1"/>
  <c r="AV337" i="1"/>
  <c r="AP337" i="1"/>
  <c r="AL337" i="1"/>
  <c r="AJ337" i="1"/>
  <c r="AC337" i="1"/>
  <c r="X337" i="1"/>
  <c r="U337" i="1"/>
  <c r="T337" i="1"/>
  <c r="F337" i="1"/>
  <c r="GE336" i="1"/>
  <c r="GB336" i="1"/>
  <c r="FW336" i="1"/>
  <c r="FV336" i="1"/>
  <c r="FS336" i="1"/>
  <c r="FO336" i="1"/>
  <c r="FJ336" i="1"/>
  <c r="FF336" i="1"/>
  <c r="FC336" i="1"/>
  <c r="EZ336" i="1"/>
  <c r="ET336" i="1"/>
  <c r="EL336" i="1"/>
  <c r="EI336" i="1"/>
  <c r="EC336" i="1"/>
  <c r="DW336" i="1"/>
  <c r="DS336" i="1"/>
  <c r="DP336" i="1"/>
  <c r="DM336" i="1"/>
  <c r="DI336" i="1"/>
  <c r="DD336" i="1"/>
  <c r="CX336" i="1"/>
  <c r="CP336" i="1"/>
  <c r="CO336" i="1"/>
  <c r="CI336" i="1"/>
  <c r="CC336" i="1"/>
  <c r="BZ336" i="1"/>
  <c r="BV336" i="1"/>
  <c r="BU336" i="1"/>
  <c r="BK336" i="1"/>
  <c r="BH336" i="1"/>
  <c r="BD336" i="1"/>
  <c r="AZ336" i="1"/>
  <c r="AV336" i="1"/>
  <c r="AP336" i="1"/>
  <c r="AL336" i="1"/>
  <c r="AJ336" i="1"/>
  <c r="AC336" i="1"/>
  <c r="X336" i="1"/>
  <c r="U336" i="1"/>
  <c r="T336" i="1"/>
  <c r="F336" i="1"/>
  <c r="GE335" i="1"/>
  <c r="GB335" i="1"/>
  <c r="FW335" i="1"/>
  <c r="FV335" i="1"/>
  <c r="FS335" i="1"/>
  <c r="FO335" i="1"/>
  <c r="FJ335" i="1"/>
  <c r="FF335" i="1"/>
  <c r="FC335" i="1"/>
  <c r="EZ335" i="1"/>
  <c r="ET335" i="1"/>
  <c r="EL335" i="1"/>
  <c r="EI335" i="1"/>
  <c r="EC335" i="1"/>
  <c r="DW335" i="1"/>
  <c r="DS335" i="1"/>
  <c r="DP335" i="1"/>
  <c r="DM335" i="1"/>
  <c r="DI335" i="1"/>
  <c r="DD335" i="1"/>
  <c r="CX335" i="1"/>
  <c r="CP335" i="1"/>
  <c r="CO335" i="1"/>
  <c r="CI335" i="1"/>
  <c r="CC335" i="1"/>
  <c r="BZ335" i="1"/>
  <c r="BV335" i="1"/>
  <c r="BU335" i="1"/>
  <c r="BK335" i="1"/>
  <c r="K333" i="4" s="1"/>
  <c r="BH335" i="1"/>
  <c r="BD335" i="1"/>
  <c r="AZ335" i="1"/>
  <c r="AV335" i="1"/>
  <c r="AP335" i="1"/>
  <c r="AL335" i="1"/>
  <c r="AJ335" i="1"/>
  <c r="AC335" i="1"/>
  <c r="X335" i="1"/>
  <c r="U335" i="1"/>
  <c r="T335" i="1"/>
  <c r="F335" i="1"/>
  <c r="GE334" i="1"/>
  <c r="GB334" i="1"/>
  <c r="FW334" i="1"/>
  <c r="FV334" i="1"/>
  <c r="FS334" i="1"/>
  <c r="FO334" i="1"/>
  <c r="FJ334" i="1"/>
  <c r="FF334" i="1"/>
  <c r="FC334" i="1"/>
  <c r="EZ334" i="1"/>
  <c r="ET334" i="1"/>
  <c r="EL334" i="1"/>
  <c r="EI334" i="1"/>
  <c r="EC334" i="1"/>
  <c r="DW334" i="1"/>
  <c r="DS334" i="1"/>
  <c r="DP334" i="1"/>
  <c r="DM334" i="1"/>
  <c r="DI334" i="1"/>
  <c r="DD334" i="1"/>
  <c r="CX334" i="1"/>
  <c r="CP334" i="1"/>
  <c r="CO334" i="1"/>
  <c r="CI334" i="1"/>
  <c r="CC334" i="1"/>
  <c r="BZ334" i="1"/>
  <c r="BV334" i="1"/>
  <c r="BU334" i="1"/>
  <c r="BK334" i="1"/>
  <c r="K332" i="4" s="1"/>
  <c r="BH334" i="1"/>
  <c r="BD334" i="1"/>
  <c r="AZ334" i="1"/>
  <c r="AV334" i="1"/>
  <c r="AP334" i="1"/>
  <c r="AL334" i="1"/>
  <c r="AJ334" i="1"/>
  <c r="AC334" i="1"/>
  <c r="X334" i="1"/>
  <c r="U334" i="1"/>
  <c r="T334" i="1"/>
  <c r="F334" i="1"/>
  <c r="GE333" i="1"/>
  <c r="GB333" i="1"/>
  <c r="FW333" i="1"/>
  <c r="FV333" i="1"/>
  <c r="FS333" i="1"/>
  <c r="FO333" i="1"/>
  <c r="FJ333" i="1"/>
  <c r="FF333" i="1"/>
  <c r="FC333" i="1"/>
  <c r="EZ333" i="1"/>
  <c r="ET333" i="1"/>
  <c r="EL333" i="1"/>
  <c r="EI333" i="1"/>
  <c r="EC333" i="1"/>
  <c r="DW333" i="1"/>
  <c r="DS333" i="1"/>
  <c r="DP333" i="1"/>
  <c r="DM333" i="1"/>
  <c r="DI333" i="1"/>
  <c r="DD333" i="1"/>
  <c r="CX333" i="1"/>
  <c r="CP333" i="1"/>
  <c r="CO333" i="1"/>
  <c r="CI333" i="1"/>
  <c r="CC333" i="1"/>
  <c r="BZ333" i="1"/>
  <c r="BV333" i="1"/>
  <c r="BU333" i="1"/>
  <c r="BK333" i="1"/>
  <c r="K331" i="4" s="1"/>
  <c r="BH333" i="1"/>
  <c r="BD333" i="1"/>
  <c r="AZ333" i="1"/>
  <c r="AV333" i="1"/>
  <c r="AP333" i="1"/>
  <c r="AL333" i="1"/>
  <c r="AJ333" i="1"/>
  <c r="AC333" i="1"/>
  <c r="X333" i="1"/>
  <c r="U333" i="1"/>
  <c r="T333" i="1"/>
  <c r="F333" i="1"/>
  <c r="GE332" i="1"/>
  <c r="GB332" i="1"/>
  <c r="FW332" i="1"/>
  <c r="FV332" i="1"/>
  <c r="FS332" i="1"/>
  <c r="FO332" i="1"/>
  <c r="FJ332" i="1"/>
  <c r="FF332" i="1"/>
  <c r="FC332" i="1"/>
  <c r="EZ332" i="1"/>
  <c r="ET332" i="1"/>
  <c r="EL332" i="1"/>
  <c r="EI332" i="1"/>
  <c r="EC332" i="1"/>
  <c r="DW332" i="1"/>
  <c r="DS332" i="1"/>
  <c r="DP332" i="1"/>
  <c r="DM332" i="1"/>
  <c r="DI332" i="1"/>
  <c r="DD332" i="1"/>
  <c r="CX332" i="1"/>
  <c r="CP332" i="1"/>
  <c r="CO332" i="1"/>
  <c r="CI332" i="1"/>
  <c r="CC332" i="1"/>
  <c r="BZ332" i="1"/>
  <c r="BV332" i="1"/>
  <c r="BU332" i="1"/>
  <c r="BK332" i="1"/>
  <c r="K330" i="4" s="1"/>
  <c r="BH332" i="1"/>
  <c r="BD332" i="1"/>
  <c r="AZ332" i="1"/>
  <c r="AV332" i="1"/>
  <c r="AP332" i="1"/>
  <c r="AL332" i="1"/>
  <c r="AJ332" i="1"/>
  <c r="AC332" i="1"/>
  <c r="X332" i="1"/>
  <c r="U332" i="1"/>
  <c r="T332" i="1"/>
  <c r="F332" i="1"/>
  <c r="GE331" i="1"/>
  <c r="GB331" i="1"/>
  <c r="FW331" i="1"/>
  <c r="FV331" i="1"/>
  <c r="FS331" i="1"/>
  <c r="FO331" i="1"/>
  <c r="FJ331" i="1"/>
  <c r="FF331" i="1"/>
  <c r="FC331" i="1"/>
  <c r="EZ331" i="1"/>
  <c r="ET331" i="1"/>
  <c r="EL331" i="1"/>
  <c r="EI331" i="1"/>
  <c r="EC331" i="1"/>
  <c r="DW331" i="1"/>
  <c r="DS331" i="1"/>
  <c r="DP331" i="1"/>
  <c r="DM331" i="1"/>
  <c r="DI331" i="1"/>
  <c r="DD331" i="1"/>
  <c r="CX331" i="1"/>
  <c r="CP331" i="1"/>
  <c r="CO331" i="1"/>
  <c r="CI331" i="1"/>
  <c r="CC331" i="1"/>
  <c r="BZ331" i="1"/>
  <c r="BV331" i="1"/>
  <c r="BU331" i="1"/>
  <c r="BK331" i="1"/>
  <c r="K329" i="4" s="1"/>
  <c r="BH331" i="1"/>
  <c r="BD331" i="1"/>
  <c r="AZ331" i="1"/>
  <c r="AV331" i="1"/>
  <c r="AP331" i="1"/>
  <c r="AL331" i="1"/>
  <c r="AJ331" i="1"/>
  <c r="AC331" i="1"/>
  <c r="X331" i="1"/>
  <c r="U331" i="1"/>
  <c r="T331" i="1"/>
  <c r="F331" i="1"/>
  <c r="GE330" i="1"/>
  <c r="GB330" i="1"/>
  <c r="FW330" i="1"/>
  <c r="FV330" i="1"/>
  <c r="FS330" i="1"/>
  <c r="FO330" i="1"/>
  <c r="FJ330" i="1"/>
  <c r="FF330" i="1"/>
  <c r="FC330" i="1"/>
  <c r="EZ330" i="1"/>
  <c r="ET330" i="1"/>
  <c r="EL330" i="1"/>
  <c r="EI330" i="1"/>
  <c r="EC330" i="1"/>
  <c r="DW330" i="1"/>
  <c r="DS330" i="1"/>
  <c r="DP330" i="1"/>
  <c r="DM330" i="1"/>
  <c r="DI330" i="1"/>
  <c r="DD330" i="1"/>
  <c r="CX330" i="1"/>
  <c r="CP330" i="1"/>
  <c r="CO330" i="1"/>
  <c r="CI330" i="1"/>
  <c r="CC330" i="1"/>
  <c r="BZ330" i="1"/>
  <c r="BV330" i="1"/>
  <c r="BU330" i="1"/>
  <c r="BK330" i="1"/>
  <c r="BH330" i="1"/>
  <c r="BD330" i="1"/>
  <c r="AZ330" i="1"/>
  <c r="AV330" i="1"/>
  <c r="AP330" i="1"/>
  <c r="AL330" i="1"/>
  <c r="AJ330" i="1"/>
  <c r="AC330" i="1"/>
  <c r="X330" i="1"/>
  <c r="U330" i="1"/>
  <c r="T330" i="1"/>
  <c r="F330" i="1"/>
  <c r="GE329" i="1"/>
  <c r="GB329" i="1"/>
  <c r="FW329" i="1"/>
  <c r="FV329" i="1"/>
  <c r="FS329" i="1"/>
  <c r="FO329" i="1"/>
  <c r="FJ329" i="1"/>
  <c r="FF329" i="1"/>
  <c r="FC329" i="1"/>
  <c r="EZ329" i="1"/>
  <c r="ET329" i="1"/>
  <c r="EL329" i="1"/>
  <c r="EI329" i="1"/>
  <c r="EC329" i="1"/>
  <c r="DW329" i="1"/>
  <c r="DS329" i="1"/>
  <c r="DP329" i="1"/>
  <c r="DM329" i="1"/>
  <c r="DI329" i="1"/>
  <c r="DD329" i="1"/>
  <c r="CX329" i="1"/>
  <c r="CP329" i="1"/>
  <c r="CO329" i="1"/>
  <c r="CI329" i="1"/>
  <c r="CC329" i="1"/>
  <c r="BZ329" i="1"/>
  <c r="BV329" i="1"/>
  <c r="BU329" i="1"/>
  <c r="BK329" i="1"/>
  <c r="K327" i="4" s="1"/>
  <c r="BH329" i="1"/>
  <c r="BD329" i="1"/>
  <c r="AZ329" i="1"/>
  <c r="AV329" i="1"/>
  <c r="AP329" i="1"/>
  <c r="AL329" i="1"/>
  <c r="AJ329" i="1"/>
  <c r="AC329" i="1"/>
  <c r="X329" i="1"/>
  <c r="U329" i="1"/>
  <c r="T329" i="1"/>
  <c r="F329" i="1"/>
  <c r="GE328" i="1"/>
  <c r="GB328" i="1"/>
  <c r="FW328" i="1"/>
  <c r="FV328" i="1"/>
  <c r="FS328" i="1"/>
  <c r="FO328" i="1"/>
  <c r="FJ328" i="1"/>
  <c r="FF328" i="1"/>
  <c r="FC328" i="1"/>
  <c r="EZ328" i="1"/>
  <c r="ET328" i="1"/>
  <c r="EL328" i="1"/>
  <c r="EI328" i="1"/>
  <c r="EC328" i="1"/>
  <c r="DW328" i="1"/>
  <c r="DS328" i="1"/>
  <c r="DP328" i="1"/>
  <c r="DM328" i="1"/>
  <c r="DI328" i="1"/>
  <c r="DD328" i="1"/>
  <c r="CX328" i="1"/>
  <c r="CP328" i="1"/>
  <c r="CO328" i="1"/>
  <c r="CI328" i="1"/>
  <c r="CC328" i="1"/>
  <c r="BZ328" i="1"/>
  <c r="BV328" i="1"/>
  <c r="BU328" i="1"/>
  <c r="BK328" i="1"/>
  <c r="K326" i="4" s="1"/>
  <c r="BH328" i="1"/>
  <c r="BD328" i="1"/>
  <c r="AZ328" i="1"/>
  <c r="AV328" i="1"/>
  <c r="AP328" i="1"/>
  <c r="AL328" i="1"/>
  <c r="AJ328" i="1"/>
  <c r="AC328" i="1"/>
  <c r="X328" i="1"/>
  <c r="U328" i="1"/>
  <c r="T328" i="1"/>
  <c r="F328" i="1"/>
  <c r="GE327" i="1"/>
  <c r="GB327" i="1"/>
  <c r="FW327" i="1"/>
  <c r="FV327" i="1"/>
  <c r="FS327" i="1"/>
  <c r="FO327" i="1"/>
  <c r="FJ327" i="1"/>
  <c r="FF327" i="1"/>
  <c r="FC327" i="1"/>
  <c r="EZ327" i="1"/>
  <c r="ET327" i="1"/>
  <c r="EL327" i="1"/>
  <c r="EI327" i="1"/>
  <c r="EC327" i="1"/>
  <c r="DW327" i="1"/>
  <c r="DS327" i="1"/>
  <c r="DP327" i="1"/>
  <c r="DM327" i="1"/>
  <c r="DI327" i="1"/>
  <c r="DD327" i="1"/>
  <c r="CX327" i="1"/>
  <c r="CP327" i="1"/>
  <c r="CO327" i="1"/>
  <c r="CI327" i="1"/>
  <c r="CC327" i="1"/>
  <c r="BZ327" i="1"/>
  <c r="BV327" i="1"/>
  <c r="BU327" i="1"/>
  <c r="BK327" i="1"/>
  <c r="K325" i="4" s="1"/>
  <c r="BH327" i="1"/>
  <c r="BD327" i="1"/>
  <c r="AZ327" i="1"/>
  <c r="AV327" i="1"/>
  <c r="AP327" i="1"/>
  <c r="AL327" i="1"/>
  <c r="AJ327" i="1"/>
  <c r="AC327" i="1"/>
  <c r="X327" i="1"/>
  <c r="U327" i="1"/>
  <c r="T327" i="1"/>
  <c r="F327" i="1"/>
  <c r="GE326" i="1"/>
  <c r="GB326" i="1"/>
  <c r="FW326" i="1"/>
  <c r="FV326" i="1"/>
  <c r="FS326" i="1"/>
  <c r="FO326" i="1"/>
  <c r="FJ326" i="1"/>
  <c r="FF326" i="1"/>
  <c r="FC326" i="1"/>
  <c r="EZ326" i="1"/>
  <c r="ET326" i="1"/>
  <c r="EL326" i="1"/>
  <c r="EI326" i="1"/>
  <c r="EC326" i="1"/>
  <c r="DW326" i="1"/>
  <c r="DS326" i="1"/>
  <c r="DP326" i="1"/>
  <c r="DM326" i="1"/>
  <c r="DI326" i="1"/>
  <c r="DD326" i="1"/>
  <c r="CX326" i="1"/>
  <c r="CP326" i="1"/>
  <c r="CO326" i="1"/>
  <c r="CI326" i="1"/>
  <c r="CC326" i="1"/>
  <c r="BZ326" i="1"/>
  <c r="BV326" i="1"/>
  <c r="BU326" i="1"/>
  <c r="BK326" i="1"/>
  <c r="BH326" i="1"/>
  <c r="BD326" i="1"/>
  <c r="AZ326" i="1"/>
  <c r="AV326" i="1"/>
  <c r="AP326" i="1"/>
  <c r="AL326" i="1"/>
  <c r="AJ326" i="1"/>
  <c r="AC326" i="1"/>
  <c r="X326" i="1"/>
  <c r="U326" i="1"/>
  <c r="T326" i="1"/>
  <c r="F326" i="1"/>
  <c r="GE325" i="1"/>
  <c r="GB325" i="1"/>
  <c r="FW325" i="1"/>
  <c r="FV325" i="1"/>
  <c r="FS325" i="1"/>
  <c r="FO325" i="1"/>
  <c r="FJ325" i="1"/>
  <c r="FF325" i="1"/>
  <c r="FC325" i="1"/>
  <c r="EZ325" i="1"/>
  <c r="ET325" i="1"/>
  <c r="EL325" i="1"/>
  <c r="EI325" i="1"/>
  <c r="EC325" i="1"/>
  <c r="DW325" i="1"/>
  <c r="DS325" i="1"/>
  <c r="DP325" i="1"/>
  <c r="DM325" i="1"/>
  <c r="DI325" i="1"/>
  <c r="DD325" i="1"/>
  <c r="CX325" i="1"/>
  <c r="CP325" i="1"/>
  <c r="CO325" i="1"/>
  <c r="CI325" i="1"/>
  <c r="CC325" i="1"/>
  <c r="BZ325" i="1"/>
  <c r="BV325" i="1"/>
  <c r="BU325" i="1"/>
  <c r="BK325" i="1"/>
  <c r="K323" i="4" s="1"/>
  <c r="BH325" i="1"/>
  <c r="BD325" i="1"/>
  <c r="AZ325" i="1"/>
  <c r="AV325" i="1"/>
  <c r="AP325" i="1"/>
  <c r="AL325" i="1"/>
  <c r="AJ325" i="1"/>
  <c r="AC325" i="1"/>
  <c r="X325" i="1"/>
  <c r="U325" i="1"/>
  <c r="T325" i="1"/>
  <c r="F325" i="1"/>
  <c r="GE324" i="1"/>
  <c r="GB324" i="1"/>
  <c r="FW324" i="1"/>
  <c r="FV324" i="1"/>
  <c r="FS324" i="1"/>
  <c r="FO324" i="1"/>
  <c r="FJ324" i="1"/>
  <c r="FF324" i="1"/>
  <c r="FC324" i="1"/>
  <c r="EZ324" i="1"/>
  <c r="ET324" i="1"/>
  <c r="EL324" i="1"/>
  <c r="EI324" i="1"/>
  <c r="EC324" i="1"/>
  <c r="DW324" i="1"/>
  <c r="DS324" i="1"/>
  <c r="DP324" i="1"/>
  <c r="DM324" i="1"/>
  <c r="DI324" i="1"/>
  <c r="DD324" i="1"/>
  <c r="CX324" i="1"/>
  <c r="CP324" i="1"/>
  <c r="CO324" i="1"/>
  <c r="CI324" i="1"/>
  <c r="CC324" i="1"/>
  <c r="BZ324" i="1"/>
  <c r="BV324" i="1"/>
  <c r="BU324" i="1"/>
  <c r="BK324" i="1"/>
  <c r="K322" i="4" s="1"/>
  <c r="BH324" i="1"/>
  <c r="BD324" i="1"/>
  <c r="AZ324" i="1"/>
  <c r="AV324" i="1"/>
  <c r="AP324" i="1"/>
  <c r="AL324" i="1"/>
  <c r="AJ324" i="1"/>
  <c r="AC324" i="1"/>
  <c r="X324" i="1"/>
  <c r="U324" i="1"/>
  <c r="T324" i="1"/>
  <c r="F324" i="1"/>
  <c r="GE323" i="1"/>
  <c r="GB323" i="1"/>
  <c r="FW323" i="1"/>
  <c r="FV323" i="1"/>
  <c r="FS323" i="1"/>
  <c r="FO323" i="1"/>
  <c r="FJ323" i="1"/>
  <c r="FF323" i="1"/>
  <c r="FC323" i="1"/>
  <c r="EZ323" i="1"/>
  <c r="ET323" i="1"/>
  <c r="EL323" i="1"/>
  <c r="EI323" i="1"/>
  <c r="EC323" i="1"/>
  <c r="DW323" i="1"/>
  <c r="DS323" i="1"/>
  <c r="DP323" i="1"/>
  <c r="DM323" i="1"/>
  <c r="DI323" i="1"/>
  <c r="DD323" i="1"/>
  <c r="CX323" i="1"/>
  <c r="CP323" i="1"/>
  <c r="CO323" i="1"/>
  <c r="CI323" i="1"/>
  <c r="CC323" i="1"/>
  <c r="BZ323" i="1"/>
  <c r="BV323" i="1"/>
  <c r="BU323" i="1"/>
  <c r="BK323" i="1"/>
  <c r="BH323" i="1"/>
  <c r="BD323" i="1"/>
  <c r="AZ323" i="1"/>
  <c r="AV323" i="1"/>
  <c r="AP323" i="1"/>
  <c r="AL323" i="1"/>
  <c r="AJ323" i="1"/>
  <c r="AC323" i="1"/>
  <c r="X323" i="1"/>
  <c r="U323" i="1"/>
  <c r="T323" i="1"/>
  <c r="F323" i="1"/>
  <c r="GE322" i="1"/>
  <c r="GB322" i="1"/>
  <c r="FW322" i="1"/>
  <c r="FV322" i="1"/>
  <c r="FS322" i="1"/>
  <c r="FO322" i="1"/>
  <c r="FJ322" i="1"/>
  <c r="FF322" i="1"/>
  <c r="FC322" i="1"/>
  <c r="EZ322" i="1"/>
  <c r="ET322" i="1"/>
  <c r="EL322" i="1"/>
  <c r="EI322" i="1"/>
  <c r="EC322" i="1"/>
  <c r="DW322" i="1"/>
  <c r="DS322" i="1"/>
  <c r="DP322" i="1"/>
  <c r="DM322" i="1"/>
  <c r="DI322" i="1"/>
  <c r="DD322" i="1"/>
  <c r="CX322" i="1"/>
  <c r="CP322" i="1"/>
  <c r="CO322" i="1"/>
  <c r="CI322" i="1"/>
  <c r="CC322" i="1"/>
  <c r="BZ322" i="1"/>
  <c r="BV322" i="1"/>
  <c r="BU322" i="1"/>
  <c r="BK322" i="1"/>
  <c r="BH322" i="1"/>
  <c r="BD322" i="1"/>
  <c r="AZ322" i="1"/>
  <c r="AV322" i="1"/>
  <c r="AP322" i="1"/>
  <c r="AL322" i="1"/>
  <c r="AJ322" i="1"/>
  <c r="AC322" i="1"/>
  <c r="X322" i="1"/>
  <c r="U322" i="1"/>
  <c r="T322" i="1"/>
  <c r="F322" i="1"/>
  <c r="GE321" i="1"/>
  <c r="GB321" i="1"/>
  <c r="FW321" i="1"/>
  <c r="FV321" i="1"/>
  <c r="FS321" i="1"/>
  <c r="FO321" i="1"/>
  <c r="FJ321" i="1"/>
  <c r="FF321" i="1"/>
  <c r="FC321" i="1"/>
  <c r="EZ321" i="1"/>
  <c r="ET321" i="1"/>
  <c r="EL321" i="1"/>
  <c r="EI321" i="1"/>
  <c r="EC321" i="1"/>
  <c r="DW321" i="1"/>
  <c r="DS321" i="1"/>
  <c r="DP321" i="1"/>
  <c r="DM321" i="1"/>
  <c r="DI321" i="1"/>
  <c r="DD321" i="1"/>
  <c r="CX321" i="1"/>
  <c r="CP321" i="1"/>
  <c r="CO321" i="1"/>
  <c r="CI321" i="1"/>
  <c r="CC321" i="1"/>
  <c r="BZ321" i="1"/>
  <c r="BV321" i="1"/>
  <c r="BU321" i="1"/>
  <c r="BK321" i="1"/>
  <c r="K319" i="4" s="1"/>
  <c r="BH321" i="1"/>
  <c r="BD321" i="1"/>
  <c r="AZ321" i="1"/>
  <c r="AV321" i="1"/>
  <c r="AP321" i="1"/>
  <c r="AL321" i="1"/>
  <c r="AJ321" i="1"/>
  <c r="AC321" i="1"/>
  <c r="X321" i="1"/>
  <c r="U321" i="1"/>
  <c r="T321" i="1"/>
  <c r="F321" i="1"/>
  <c r="GE320" i="1"/>
  <c r="GB320" i="1"/>
  <c r="FW320" i="1"/>
  <c r="FV320" i="1"/>
  <c r="FS320" i="1"/>
  <c r="FO320" i="1"/>
  <c r="FJ320" i="1"/>
  <c r="FF320" i="1"/>
  <c r="FC320" i="1"/>
  <c r="EZ320" i="1"/>
  <c r="ET320" i="1"/>
  <c r="EL320" i="1"/>
  <c r="EI320" i="1"/>
  <c r="EC320" i="1"/>
  <c r="DW320" i="1"/>
  <c r="DS320" i="1"/>
  <c r="DP320" i="1"/>
  <c r="DM320" i="1"/>
  <c r="DI320" i="1"/>
  <c r="DD320" i="1"/>
  <c r="CX320" i="1"/>
  <c r="CP320" i="1"/>
  <c r="CO320" i="1"/>
  <c r="CI320" i="1"/>
  <c r="CC320" i="1"/>
  <c r="BZ320" i="1"/>
  <c r="BV320" i="1"/>
  <c r="BU320" i="1"/>
  <c r="BK320" i="1"/>
  <c r="K318" i="4" s="1"/>
  <c r="BH320" i="1"/>
  <c r="BD320" i="1"/>
  <c r="AZ320" i="1"/>
  <c r="AV320" i="1"/>
  <c r="AP320" i="1"/>
  <c r="AL320" i="1"/>
  <c r="AJ320" i="1"/>
  <c r="AC320" i="1"/>
  <c r="X320" i="1"/>
  <c r="U320" i="1"/>
  <c r="T320" i="1"/>
  <c r="F320" i="1"/>
  <c r="GE319" i="1"/>
  <c r="GB319" i="1"/>
  <c r="FW319" i="1"/>
  <c r="FV319" i="1"/>
  <c r="FS319" i="1"/>
  <c r="FO319" i="1"/>
  <c r="FJ319" i="1"/>
  <c r="FF319" i="1"/>
  <c r="FC319" i="1"/>
  <c r="EZ319" i="1"/>
  <c r="ET319" i="1"/>
  <c r="EL319" i="1"/>
  <c r="EI319" i="1"/>
  <c r="EC319" i="1"/>
  <c r="DW319" i="1"/>
  <c r="DS319" i="1"/>
  <c r="DP319" i="1"/>
  <c r="DM319" i="1"/>
  <c r="DI319" i="1"/>
  <c r="DD319" i="1"/>
  <c r="CX319" i="1"/>
  <c r="CP319" i="1"/>
  <c r="CO319" i="1"/>
  <c r="CI319" i="1"/>
  <c r="CC319" i="1"/>
  <c r="BZ319" i="1"/>
  <c r="BV319" i="1"/>
  <c r="BU319" i="1"/>
  <c r="BK319" i="1"/>
  <c r="K317" i="4" s="1"/>
  <c r="BH319" i="1"/>
  <c r="BD319" i="1"/>
  <c r="AZ319" i="1"/>
  <c r="AV319" i="1"/>
  <c r="AP319" i="1"/>
  <c r="AL319" i="1"/>
  <c r="AJ319" i="1"/>
  <c r="AC319" i="1"/>
  <c r="X319" i="1"/>
  <c r="U319" i="1"/>
  <c r="T319" i="1"/>
  <c r="F319" i="1"/>
  <c r="GE318" i="1"/>
  <c r="GB318" i="1"/>
  <c r="FW318" i="1"/>
  <c r="FV318" i="1"/>
  <c r="FS318" i="1"/>
  <c r="FO318" i="1"/>
  <c r="FJ318" i="1"/>
  <c r="FF318" i="1"/>
  <c r="FC318" i="1"/>
  <c r="EZ318" i="1"/>
  <c r="ET318" i="1"/>
  <c r="EL318" i="1"/>
  <c r="EI318" i="1"/>
  <c r="EC318" i="1"/>
  <c r="DW318" i="1"/>
  <c r="DS318" i="1"/>
  <c r="DP318" i="1"/>
  <c r="DM318" i="1"/>
  <c r="DI318" i="1"/>
  <c r="DD318" i="1"/>
  <c r="CX318" i="1"/>
  <c r="CP318" i="1"/>
  <c r="CO318" i="1"/>
  <c r="CI318" i="1"/>
  <c r="CC318" i="1"/>
  <c r="BZ318" i="1"/>
  <c r="BV318" i="1"/>
  <c r="BU318" i="1"/>
  <c r="BK318" i="1"/>
  <c r="BH318" i="1"/>
  <c r="BD318" i="1"/>
  <c r="AZ318" i="1"/>
  <c r="AV318" i="1"/>
  <c r="AP318" i="1"/>
  <c r="AL318" i="1"/>
  <c r="AJ318" i="1"/>
  <c r="AC318" i="1"/>
  <c r="X318" i="1"/>
  <c r="U318" i="1"/>
  <c r="T318" i="1"/>
  <c r="F318" i="1"/>
  <c r="GE317" i="1"/>
  <c r="GB317" i="1"/>
  <c r="FW317" i="1"/>
  <c r="FV317" i="1"/>
  <c r="FS317" i="1"/>
  <c r="FO317" i="1"/>
  <c r="FJ317" i="1"/>
  <c r="FF317" i="1"/>
  <c r="FC317" i="1"/>
  <c r="EZ317" i="1"/>
  <c r="ET317" i="1"/>
  <c r="EL317" i="1"/>
  <c r="EI317" i="1"/>
  <c r="EC317" i="1"/>
  <c r="DW317" i="1"/>
  <c r="DS317" i="1"/>
  <c r="DP317" i="1"/>
  <c r="DM317" i="1"/>
  <c r="DI317" i="1"/>
  <c r="DD317" i="1"/>
  <c r="CX317" i="1"/>
  <c r="CP317" i="1"/>
  <c r="CO317" i="1"/>
  <c r="CI317" i="1"/>
  <c r="CC317" i="1"/>
  <c r="BZ317" i="1"/>
  <c r="BV317" i="1"/>
  <c r="BU317" i="1"/>
  <c r="BK317" i="1"/>
  <c r="K315" i="4" s="1"/>
  <c r="BH317" i="1"/>
  <c r="BD317" i="1"/>
  <c r="AZ317" i="1"/>
  <c r="AV317" i="1"/>
  <c r="AP317" i="1"/>
  <c r="AL317" i="1"/>
  <c r="AJ317" i="1"/>
  <c r="AC317" i="1"/>
  <c r="X317" i="1"/>
  <c r="U317" i="1"/>
  <c r="T317" i="1"/>
  <c r="F317" i="1"/>
  <c r="GE316" i="1"/>
  <c r="GB316" i="1"/>
  <c r="FW316" i="1"/>
  <c r="FV316" i="1"/>
  <c r="FS316" i="1"/>
  <c r="FO316" i="1"/>
  <c r="FJ316" i="1"/>
  <c r="FF316" i="1"/>
  <c r="FC316" i="1"/>
  <c r="EZ316" i="1"/>
  <c r="ET316" i="1"/>
  <c r="EL316" i="1"/>
  <c r="EI316" i="1"/>
  <c r="EC316" i="1"/>
  <c r="DW316" i="1"/>
  <c r="DS316" i="1"/>
  <c r="DP316" i="1"/>
  <c r="DM316" i="1"/>
  <c r="DI316" i="1"/>
  <c r="DD316" i="1"/>
  <c r="CX316" i="1"/>
  <c r="CP316" i="1"/>
  <c r="CO316" i="1"/>
  <c r="CI316" i="1"/>
  <c r="CC316" i="1"/>
  <c r="BZ316" i="1"/>
  <c r="BV316" i="1"/>
  <c r="BU316" i="1"/>
  <c r="BK316" i="1"/>
  <c r="BH316" i="1"/>
  <c r="BD316" i="1"/>
  <c r="AZ316" i="1"/>
  <c r="AV316" i="1"/>
  <c r="AP316" i="1"/>
  <c r="AL316" i="1"/>
  <c r="AJ316" i="1"/>
  <c r="AC316" i="1"/>
  <c r="X316" i="1"/>
  <c r="U316" i="1"/>
  <c r="T316" i="1"/>
  <c r="F316" i="1"/>
  <c r="GE315" i="1"/>
  <c r="GB315" i="1"/>
  <c r="FW315" i="1"/>
  <c r="FV315" i="1"/>
  <c r="FS315" i="1"/>
  <c r="FO315" i="1"/>
  <c r="FJ315" i="1"/>
  <c r="FF315" i="1"/>
  <c r="FC315" i="1"/>
  <c r="EZ315" i="1"/>
  <c r="ET315" i="1"/>
  <c r="EL315" i="1"/>
  <c r="EI315" i="1"/>
  <c r="EC315" i="1"/>
  <c r="DW315" i="1"/>
  <c r="DS315" i="1"/>
  <c r="DP315" i="1"/>
  <c r="DM315" i="1"/>
  <c r="DI315" i="1"/>
  <c r="DD315" i="1"/>
  <c r="CX315" i="1"/>
  <c r="CP315" i="1"/>
  <c r="CO315" i="1"/>
  <c r="CI315" i="1"/>
  <c r="CC315" i="1"/>
  <c r="BZ315" i="1"/>
  <c r="BV315" i="1"/>
  <c r="BU315" i="1"/>
  <c r="BK315" i="1"/>
  <c r="K313" i="4" s="1"/>
  <c r="BH315" i="1"/>
  <c r="BD315" i="1"/>
  <c r="AZ315" i="1"/>
  <c r="AV315" i="1"/>
  <c r="AP315" i="1"/>
  <c r="AL315" i="1"/>
  <c r="AJ315" i="1"/>
  <c r="AC315" i="1"/>
  <c r="X315" i="1"/>
  <c r="U315" i="1"/>
  <c r="T315" i="1"/>
  <c r="F315" i="1"/>
  <c r="GE314" i="1"/>
  <c r="GB314" i="1"/>
  <c r="FW314" i="1"/>
  <c r="FV314" i="1"/>
  <c r="FS314" i="1"/>
  <c r="FO314" i="1"/>
  <c r="FJ314" i="1"/>
  <c r="FF314" i="1"/>
  <c r="FC314" i="1"/>
  <c r="EZ314" i="1"/>
  <c r="ET314" i="1"/>
  <c r="EL314" i="1"/>
  <c r="EI314" i="1"/>
  <c r="EC314" i="1"/>
  <c r="DW314" i="1"/>
  <c r="DS314" i="1"/>
  <c r="DP314" i="1"/>
  <c r="DM314" i="1"/>
  <c r="DI314" i="1"/>
  <c r="DD314" i="1"/>
  <c r="CX314" i="1"/>
  <c r="CP314" i="1"/>
  <c r="CO314" i="1"/>
  <c r="CI314" i="1"/>
  <c r="CC314" i="1"/>
  <c r="BZ314" i="1"/>
  <c r="BV314" i="1"/>
  <c r="BU314" i="1"/>
  <c r="BK314" i="1"/>
  <c r="K312" i="4" s="1"/>
  <c r="BH314" i="1"/>
  <c r="BD314" i="1"/>
  <c r="AZ314" i="1"/>
  <c r="AV314" i="1"/>
  <c r="AP314" i="1"/>
  <c r="AL314" i="1"/>
  <c r="AJ314" i="1"/>
  <c r="AC314" i="1"/>
  <c r="X314" i="1"/>
  <c r="U314" i="1"/>
  <c r="T314" i="1"/>
  <c r="F314" i="1"/>
  <c r="GE313" i="1"/>
  <c r="GB313" i="1"/>
  <c r="FW313" i="1"/>
  <c r="FV313" i="1"/>
  <c r="FS313" i="1"/>
  <c r="FO313" i="1"/>
  <c r="FJ313" i="1"/>
  <c r="FF313" i="1"/>
  <c r="FC313" i="1"/>
  <c r="EZ313" i="1"/>
  <c r="ET313" i="1"/>
  <c r="EL313" i="1"/>
  <c r="EI313" i="1"/>
  <c r="EC313" i="1"/>
  <c r="DW313" i="1"/>
  <c r="DS313" i="1"/>
  <c r="DP313" i="1"/>
  <c r="DM313" i="1"/>
  <c r="DI313" i="1"/>
  <c r="DD313" i="1"/>
  <c r="CX313" i="1"/>
  <c r="CP313" i="1"/>
  <c r="CO313" i="1"/>
  <c r="CI313" i="1"/>
  <c r="CC313" i="1"/>
  <c r="BZ313" i="1"/>
  <c r="BV313" i="1"/>
  <c r="BU313" i="1"/>
  <c r="BK313" i="1"/>
  <c r="K311" i="4" s="1"/>
  <c r="BH313" i="1"/>
  <c r="BD313" i="1"/>
  <c r="AZ313" i="1"/>
  <c r="AV313" i="1"/>
  <c r="AP313" i="1"/>
  <c r="AL313" i="1"/>
  <c r="AJ313" i="1"/>
  <c r="AC313" i="1"/>
  <c r="X313" i="1"/>
  <c r="U313" i="1"/>
  <c r="T313" i="1"/>
  <c r="F313" i="1"/>
  <c r="GE312" i="1"/>
  <c r="GB312" i="1"/>
  <c r="FW312" i="1"/>
  <c r="FV312" i="1"/>
  <c r="FS312" i="1"/>
  <c r="FO312" i="1"/>
  <c r="FJ312" i="1"/>
  <c r="FF312" i="1"/>
  <c r="FC312" i="1"/>
  <c r="EZ312" i="1"/>
  <c r="ET312" i="1"/>
  <c r="EL312" i="1"/>
  <c r="EI312" i="1"/>
  <c r="EC312" i="1"/>
  <c r="DW312" i="1"/>
  <c r="DS312" i="1"/>
  <c r="DP312" i="1"/>
  <c r="DM312" i="1"/>
  <c r="DI312" i="1"/>
  <c r="DD312" i="1"/>
  <c r="CX312" i="1"/>
  <c r="CP312" i="1"/>
  <c r="CO312" i="1"/>
  <c r="CI312" i="1"/>
  <c r="CC312" i="1"/>
  <c r="BZ312" i="1"/>
  <c r="BV312" i="1"/>
  <c r="BU312" i="1"/>
  <c r="BK312" i="1"/>
  <c r="BH312" i="1"/>
  <c r="BD312" i="1"/>
  <c r="AZ312" i="1"/>
  <c r="AV312" i="1"/>
  <c r="AP312" i="1"/>
  <c r="AL312" i="1"/>
  <c r="AJ312" i="1"/>
  <c r="AC312" i="1"/>
  <c r="X312" i="1"/>
  <c r="U312" i="1"/>
  <c r="T312" i="1"/>
  <c r="F312" i="1"/>
  <c r="GE311" i="1"/>
  <c r="GB311" i="1"/>
  <c r="FW311" i="1"/>
  <c r="FV311" i="1"/>
  <c r="FS311" i="1"/>
  <c r="FO311" i="1"/>
  <c r="FJ311" i="1"/>
  <c r="FF311" i="1"/>
  <c r="FC311" i="1"/>
  <c r="EZ311" i="1"/>
  <c r="ET311" i="1"/>
  <c r="EL311" i="1"/>
  <c r="EI311" i="1"/>
  <c r="EC311" i="1"/>
  <c r="DW311" i="1"/>
  <c r="DS311" i="1"/>
  <c r="DP311" i="1"/>
  <c r="DM311" i="1"/>
  <c r="DI311" i="1"/>
  <c r="DD311" i="1"/>
  <c r="CX311" i="1"/>
  <c r="CP311" i="1"/>
  <c r="CO311" i="1"/>
  <c r="CI311" i="1"/>
  <c r="CC311" i="1"/>
  <c r="BZ311" i="1"/>
  <c r="BV311" i="1"/>
  <c r="BU311" i="1"/>
  <c r="BK311" i="1"/>
  <c r="K309" i="4" s="1"/>
  <c r="BH311" i="1"/>
  <c r="BD311" i="1"/>
  <c r="AZ311" i="1"/>
  <c r="AV311" i="1"/>
  <c r="AP311" i="1"/>
  <c r="AL311" i="1"/>
  <c r="AJ311" i="1"/>
  <c r="AC311" i="1"/>
  <c r="X311" i="1"/>
  <c r="U311" i="1"/>
  <c r="T311" i="1"/>
  <c r="F311" i="1"/>
  <c r="GE310" i="1"/>
  <c r="GB310" i="1"/>
  <c r="FW310" i="1"/>
  <c r="FV310" i="1"/>
  <c r="FS310" i="1"/>
  <c r="FO310" i="1"/>
  <c r="FJ310" i="1"/>
  <c r="FF310" i="1"/>
  <c r="FC310" i="1"/>
  <c r="EZ310" i="1"/>
  <c r="ET310" i="1"/>
  <c r="EL310" i="1"/>
  <c r="EI310" i="1"/>
  <c r="EC310" i="1"/>
  <c r="DW310" i="1"/>
  <c r="DS310" i="1"/>
  <c r="DP310" i="1"/>
  <c r="DM310" i="1"/>
  <c r="DI310" i="1"/>
  <c r="DD310" i="1"/>
  <c r="CX310" i="1"/>
  <c r="CP310" i="1"/>
  <c r="CO310" i="1"/>
  <c r="CI310" i="1"/>
  <c r="CC310" i="1"/>
  <c r="BZ310" i="1"/>
  <c r="BV310" i="1"/>
  <c r="BU310" i="1"/>
  <c r="BK310" i="1"/>
  <c r="K308" i="4" s="1"/>
  <c r="BH310" i="1"/>
  <c r="BD310" i="1"/>
  <c r="AZ310" i="1"/>
  <c r="AV310" i="1"/>
  <c r="AP310" i="1"/>
  <c r="AL310" i="1"/>
  <c r="AJ310" i="1"/>
  <c r="AC310" i="1"/>
  <c r="X310" i="1"/>
  <c r="U310" i="1"/>
  <c r="T310" i="1"/>
  <c r="F310" i="1"/>
  <c r="GE309" i="1"/>
  <c r="GB309" i="1"/>
  <c r="FW309" i="1"/>
  <c r="FV309" i="1"/>
  <c r="FS309" i="1"/>
  <c r="FO309" i="1"/>
  <c r="FJ309" i="1"/>
  <c r="FF309" i="1"/>
  <c r="FC309" i="1"/>
  <c r="EZ309" i="1"/>
  <c r="ET309" i="1"/>
  <c r="EL309" i="1"/>
  <c r="EI309" i="1"/>
  <c r="EC309" i="1"/>
  <c r="DW309" i="1"/>
  <c r="DS309" i="1"/>
  <c r="DP309" i="1"/>
  <c r="DM309" i="1"/>
  <c r="DI309" i="1"/>
  <c r="DD309" i="1"/>
  <c r="CX309" i="1"/>
  <c r="CP309" i="1"/>
  <c r="CO309" i="1"/>
  <c r="CI309" i="1"/>
  <c r="CC309" i="1"/>
  <c r="BZ309" i="1"/>
  <c r="BV309" i="1"/>
  <c r="BU309" i="1"/>
  <c r="BK309" i="1"/>
  <c r="K307" i="4" s="1"/>
  <c r="BH309" i="1"/>
  <c r="BD309" i="1"/>
  <c r="AZ309" i="1"/>
  <c r="AV309" i="1"/>
  <c r="AP309" i="1"/>
  <c r="AL309" i="1"/>
  <c r="AJ309" i="1"/>
  <c r="AC309" i="1"/>
  <c r="X309" i="1"/>
  <c r="U309" i="1"/>
  <c r="T309" i="1"/>
  <c r="F309" i="1"/>
  <c r="GE308" i="1"/>
  <c r="GB308" i="1"/>
  <c r="FW308" i="1"/>
  <c r="FV308" i="1"/>
  <c r="FS308" i="1"/>
  <c r="FO308" i="1"/>
  <c r="FJ308" i="1"/>
  <c r="FF308" i="1"/>
  <c r="FC308" i="1"/>
  <c r="EZ308" i="1"/>
  <c r="ET308" i="1"/>
  <c r="EL308" i="1"/>
  <c r="EI308" i="1"/>
  <c r="EC308" i="1"/>
  <c r="DW308" i="1"/>
  <c r="DS308" i="1"/>
  <c r="DP308" i="1"/>
  <c r="DM308" i="1"/>
  <c r="DI308" i="1"/>
  <c r="DD308" i="1"/>
  <c r="CX308" i="1"/>
  <c r="CP308" i="1"/>
  <c r="CO308" i="1"/>
  <c r="CI308" i="1"/>
  <c r="CC308" i="1"/>
  <c r="BZ308" i="1"/>
  <c r="BV308" i="1"/>
  <c r="BU308" i="1"/>
  <c r="BK308" i="1"/>
  <c r="BH308" i="1"/>
  <c r="BD308" i="1"/>
  <c r="AZ308" i="1"/>
  <c r="AV308" i="1"/>
  <c r="AP308" i="1"/>
  <c r="AL308" i="1"/>
  <c r="AJ308" i="1"/>
  <c r="AC308" i="1"/>
  <c r="X308" i="1"/>
  <c r="U308" i="1"/>
  <c r="T308" i="1"/>
  <c r="F308" i="1"/>
  <c r="GE307" i="1"/>
  <c r="GB307" i="1"/>
  <c r="FW307" i="1"/>
  <c r="FV307" i="1"/>
  <c r="FS307" i="1"/>
  <c r="FO307" i="1"/>
  <c r="FJ307" i="1"/>
  <c r="FF307" i="1"/>
  <c r="FC307" i="1"/>
  <c r="EZ307" i="1"/>
  <c r="ET307" i="1"/>
  <c r="EL307" i="1"/>
  <c r="EI307" i="1"/>
  <c r="EC307" i="1"/>
  <c r="DW307" i="1"/>
  <c r="DS307" i="1"/>
  <c r="DP307" i="1"/>
  <c r="DM307" i="1"/>
  <c r="DI307" i="1"/>
  <c r="DD307" i="1"/>
  <c r="CX307" i="1"/>
  <c r="CP307" i="1"/>
  <c r="CO307" i="1"/>
  <c r="CI307" i="1"/>
  <c r="CC307" i="1"/>
  <c r="BZ307" i="1"/>
  <c r="BV307" i="1"/>
  <c r="BU307" i="1"/>
  <c r="BK307" i="1"/>
  <c r="K305" i="4" s="1"/>
  <c r="BH307" i="1"/>
  <c r="BD307" i="1"/>
  <c r="AZ307" i="1"/>
  <c r="AV307" i="1"/>
  <c r="AP307" i="1"/>
  <c r="AL307" i="1"/>
  <c r="AJ307" i="1"/>
  <c r="AC307" i="1"/>
  <c r="X307" i="1"/>
  <c r="U307" i="1"/>
  <c r="T307" i="1"/>
  <c r="F307" i="1"/>
  <c r="GE306" i="1"/>
  <c r="GB306" i="1"/>
  <c r="FW306" i="1"/>
  <c r="FV306" i="1"/>
  <c r="FS306" i="1"/>
  <c r="FO306" i="1"/>
  <c r="FJ306" i="1"/>
  <c r="FF306" i="1"/>
  <c r="FC306" i="1"/>
  <c r="EZ306" i="1"/>
  <c r="ET306" i="1"/>
  <c r="EL306" i="1"/>
  <c r="EI306" i="1"/>
  <c r="EC306" i="1"/>
  <c r="DW306" i="1"/>
  <c r="DS306" i="1"/>
  <c r="DP306" i="1"/>
  <c r="DM306" i="1"/>
  <c r="DI306" i="1"/>
  <c r="DD306" i="1"/>
  <c r="CX306" i="1"/>
  <c r="CP306" i="1"/>
  <c r="CO306" i="1"/>
  <c r="CI306" i="1"/>
  <c r="CC306" i="1"/>
  <c r="BZ306" i="1"/>
  <c r="BV306" i="1"/>
  <c r="BU306" i="1"/>
  <c r="BK306" i="1"/>
  <c r="K304" i="4" s="1"/>
  <c r="BH306" i="1"/>
  <c r="BD306" i="1"/>
  <c r="AZ306" i="1"/>
  <c r="AV306" i="1"/>
  <c r="AP306" i="1"/>
  <c r="AL306" i="1"/>
  <c r="AJ306" i="1"/>
  <c r="AC306" i="1"/>
  <c r="X306" i="1"/>
  <c r="U306" i="1"/>
  <c r="T306" i="1"/>
  <c r="F306" i="1"/>
  <c r="GE305" i="1"/>
  <c r="GB305" i="1"/>
  <c r="FW305" i="1"/>
  <c r="FV305" i="1"/>
  <c r="FS305" i="1"/>
  <c r="FO305" i="1"/>
  <c r="FJ305" i="1"/>
  <c r="FF305" i="1"/>
  <c r="FC305" i="1"/>
  <c r="EZ305" i="1"/>
  <c r="ET305" i="1"/>
  <c r="EL305" i="1"/>
  <c r="EI305" i="1"/>
  <c r="EC305" i="1"/>
  <c r="DW305" i="1"/>
  <c r="DS305" i="1"/>
  <c r="DP305" i="1"/>
  <c r="DM305" i="1"/>
  <c r="DI305" i="1"/>
  <c r="DD305" i="1"/>
  <c r="CX305" i="1"/>
  <c r="CP305" i="1"/>
  <c r="CO305" i="1"/>
  <c r="CI305" i="1"/>
  <c r="CC305" i="1"/>
  <c r="BZ305" i="1"/>
  <c r="BV305" i="1"/>
  <c r="BU305" i="1"/>
  <c r="BK305" i="1"/>
  <c r="K303" i="4" s="1"/>
  <c r="BH305" i="1"/>
  <c r="BD305" i="1"/>
  <c r="AZ305" i="1"/>
  <c r="AV305" i="1"/>
  <c r="AP305" i="1"/>
  <c r="AL305" i="1"/>
  <c r="AJ305" i="1"/>
  <c r="AC305" i="1"/>
  <c r="X305" i="1"/>
  <c r="U305" i="1"/>
  <c r="T305" i="1"/>
  <c r="F305" i="1"/>
  <c r="GE304" i="1"/>
  <c r="GB304" i="1"/>
  <c r="FW304" i="1"/>
  <c r="FV304" i="1"/>
  <c r="FS304" i="1"/>
  <c r="FO304" i="1"/>
  <c r="FJ304" i="1"/>
  <c r="FF304" i="1"/>
  <c r="FC304" i="1"/>
  <c r="EZ304" i="1"/>
  <c r="ET304" i="1"/>
  <c r="EL304" i="1"/>
  <c r="EI304" i="1"/>
  <c r="EC304" i="1"/>
  <c r="DW304" i="1"/>
  <c r="DS304" i="1"/>
  <c r="DP304" i="1"/>
  <c r="DM304" i="1"/>
  <c r="DI304" i="1"/>
  <c r="DD304" i="1"/>
  <c r="CX304" i="1"/>
  <c r="CP304" i="1"/>
  <c r="CO304" i="1"/>
  <c r="CI304" i="1"/>
  <c r="CC304" i="1"/>
  <c r="BZ304" i="1"/>
  <c r="BV304" i="1"/>
  <c r="BU304" i="1"/>
  <c r="BK304" i="1"/>
  <c r="BH304" i="1"/>
  <c r="BD304" i="1"/>
  <c r="AZ304" i="1"/>
  <c r="AV304" i="1"/>
  <c r="AP304" i="1"/>
  <c r="AL304" i="1"/>
  <c r="AJ304" i="1"/>
  <c r="AC304" i="1"/>
  <c r="X304" i="1"/>
  <c r="U304" i="1"/>
  <c r="T304" i="1"/>
  <c r="F304" i="1"/>
  <c r="GE303" i="1"/>
  <c r="GB303" i="1"/>
  <c r="FW303" i="1"/>
  <c r="FV303" i="1"/>
  <c r="FS303" i="1"/>
  <c r="FO303" i="1"/>
  <c r="FJ303" i="1"/>
  <c r="FF303" i="1"/>
  <c r="FC303" i="1"/>
  <c r="EZ303" i="1"/>
  <c r="ET303" i="1"/>
  <c r="EL303" i="1"/>
  <c r="EI303" i="1"/>
  <c r="EC303" i="1"/>
  <c r="DW303" i="1"/>
  <c r="DS303" i="1"/>
  <c r="DP303" i="1"/>
  <c r="DM303" i="1"/>
  <c r="DI303" i="1"/>
  <c r="DD303" i="1"/>
  <c r="CX303" i="1"/>
  <c r="CP303" i="1"/>
  <c r="CO303" i="1"/>
  <c r="CI303" i="1"/>
  <c r="CC303" i="1"/>
  <c r="BZ303" i="1"/>
  <c r="BV303" i="1"/>
  <c r="BU303" i="1"/>
  <c r="BK303" i="1"/>
  <c r="K301" i="4" s="1"/>
  <c r="BH303" i="1"/>
  <c r="BD303" i="1"/>
  <c r="AZ303" i="1"/>
  <c r="AV303" i="1"/>
  <c r="AP303" i="1"/>
  <c r="AL303" i="1"/>
  <c r="AJ303" i="1"/>
  <c r="AC303" i="1"/>
  <c r="X303" i="1"/>
  <c r="U303" i="1"/>
  <c r="T303" i="1"/>
  <c r="F303" i="1"/>
  <c r="GE302" i="1"/>
  <c r="GB302" i="1"/>
  <c r="FW302" i="1"/>
  <c r="FV302" i="1"/>
  <c r="FS302" i="1"/>
  <c r="FO302" i="1"/>
  <c r="FJ302" i="1"/>
  <c r="FF302" i="1"/>
  <c r="FC302" i="1"/>
  <c r="EZ302" i="1"/>
  <c r="ET302" i="1"/>
  <c r="EL302" i="1"/>
  <c r="EI302" i="1"/>
  <c r="EC302" i="1"/>
  <c r="DW302" i="1"/>
  <c r="DS302" i="1"/>
  <c r="DP302" i="1"/>
  <c r="DM302" i="1"/>
  <c r="DI302" i="1"/>
  <c r="DD302" i="1"/>
  <c r="CX302" i="1"/>
  <c r="CP302" i="1"/>
  <c r="CO302" i="1"/>
  <c r="CI302" i="1"/>
  <c r="CC302" i="1"/>
  <c r="BZ302" i="1"/>
  <c r="BV302" i="1"/>
  <c r="BU302" i="1"/>
  <c r="BK302" i="1"/>
  <c r="K300" i="4" s="1"/>
  <c r="BH302" i="1"/>
  <c r="BD302" i="1"/>
  <c r="AZ302" i="1"/>
  <c r="AV302" i="1"/>
  <c r="AP302" i="1"/>
  <c r="AL302" i="1"/>
  <c r="AJ302" i="1"/>
  <c r="AC302" i="1"/>
  <c r="X302" i="1"/>
  <c r="U302" i="1"/>
  <c r="T302" i="1"/>
  <c r="F302" i="1"/>
  <c r="GE301" i="1"/>
  <c r="GB301" i="1"/>
  <c r="FW301" i="1"/>
  <c r="FV301" i="1"/>
  <c r="FS301" i="1"/>
  <c r="FO301" i="1"/>
  <c r="FJ301" i="1"/>
  <c r="FF301" i="1"/>
  <c r="FC301" i="1"/>
  <c r="EZ301" i="1"/>
  <c r="ET301" i="1"/>
  <c r="EL301" i="1"/>
  <c r="EI301" i="1"/>
  <c r="EC301" i="1"/>
  <c r="DW301" i="1"/>
  <c r="DS301" i="1"/>
  <c r="DP301" i="1"/>
  <c r="DM301" i="1"/>
  <c r="DI301" i="1"/>
  <c r="DD301" i="1"/>
  <c r="CX301" i="1"/>
  <c r="CP301" i="1"/>
  <c r="CO301" i="1"/>
  <c r="CI301" i="1"/>
  <c r="CC301" i="1"/>
  <c r="BZ301" i="1"/>
  <c r="BV301" i="1"/>
  <c r="BU301" i="1"/>
  <c r="BK301" i="1"/>
  <c r="BH301" i="1"/>
  <c r="BD301" i="1"/>
  <c r="AZ301" i="1"/>
  <c r="AV301" i="1"/>
  <c r="AP301" i="1"/>
  <c r="AL301" i="1"/>
  <c r="AJ301" i="1"/>
  <c r="AC301" i="1"/>
  <c r="X301" i="1"/>
  <c r="U301" i="1"/>
  <c r="T301" i="1"/>
  <c r="F301" i="1"/>
  <c r="GE300" i="1"/>
  <c r="GB300" i="1"/>
  <c r="FW300" i="1"/>
  <c r="FV300" i="1"/>
  <c r="FS300" i="1"/>
  <c r="FO300" i="1"/>
  <c r="FJ300" i="1"/>
  <c r="FF300" i="1"/>
  <c r="FC300" i="1"/>
  <c r="EZ300" i="1"/>
  <c r="ET300" i="1"/>
  <c r="EL300" i="1"/>
  <c r="EI300" i="1"/>
  <c r="EC300" i="1"/>
  <c r="DW300" i="1"/>
  <c r="DS300" i="1"/>
  <c r="DP300" i="1"/>
  <c r="DM300" i="1"/>
  <c r="DI300" i="1"/>
  <c r="DD300" i="1"/>
  <c r="CX300" i="1"/>
  <c r="CP300" i="1"/>
  <c r="CO300" i="1"/>
  <c r="CI300" i="1"/>
  <c r="CC300" i="1"/>
  <c r="BZ300" i="1"/>
  <c r="BV300" i="1"/>
  <c r="BU300" i="1"/>
  <c r="BK300" i="1"/>
  <c r="K298" i="4" s="1"/>
  <c r="BH300" i="1"/>
  <c r="BD300" i="1"/>
  <c r="AZ300" i="1"/>
  <c r="AV300" i="1"/>
  <c r="AP300" i="1"/>
  <c r="AL300" i="1"/>
  <c r="AJ300" i="1"/>
  <c r="AC300" i="1"/>
  <c r="X300" i="1"/>
  <c r="U300" i="1"/>
  <c r="T300" i="1"/>
  <c r="F300" i="1"/>
  <c r="GE299" i="1"/>
  <c r="GB299" i="1"/>
  <c r="FW299" i="1"/>
  <c r="FV299" i="1"/>
  <c r="FS299" i="1"/>
  <c r="FO299" i="1"/>
  <c r="FJ299" i="1"/>
  <c r="FF299" i="1"/>
  <c r="FC299" i="1"/>
  <c r="EZ299" i="1"/>
  <c r="ET299" i="1"/>
  <c r="EL299" i="1"/>
  <c r="EI299" i="1"/>
  <c r="EC299" i="1"/>
  <c r="DW299" i="1"/>
  <c r="DS299" i="1"/>
  <c r="DP299" i="1"/>
  <c r="DM299" i="1"/>
  <c r="DI299" i="1"/>
  <c r="DD299" i="1"/>
  <c r="CX299" i="1"/>
  <c r="CP299" i="1"/>
  <c r="CO299" i="1"/>
  <c r="CI299" i="1"/>
  <c r="CC299" i="1"/>
  <c r="BZ299" i="1"/>
  <c r="BV299" i="1"/>
  <c r="BU299" i="1"/>
  <c r="BK299" i="1"/>
  <c r="K297" i="4" s="1"/>
  <c r="BH299" i="1"/>
  <c r="BD299" i="1"/>
  <c r="AZ299" i="1"/>
  <c r="AV299" i="1"/>
  <c r="AP299" i="1"/>
  <c r="AL299" i="1"/>
  <c r="AJ299" i="1"/>
  <c r="AC299" i="1"/>
  <c r="X299" i="1"/>
  <c r="U299" i="1"/>
  <c r="T299" i="1"/>
  <c r="F299" i="1"/>
  <c r="GE298" i="1"/>
  <c r="GB298" i="1"/>
  <c r="FW298" i="1"/>
  <c r="FV298" i="1"/>
  <c r="FS298" i="1"/>
  <c r="FO298" i="1"/>
  <c r="FJ298" i="1"/>
  <c r="FF298" i="1"/>
  <c r="FC298" i="1"/>
  <c r="EZ298" i="1"/>
  <c r="ET298" i="1"/>
  <c r="EL298" i="1"/>
  <c r="EI298" i="1"/>
  <c r="EC298" i="1"/>
  <c r="DW298" i="1"/>
  <c r="DS298" i="1"/>
  <c r="DP298" i="1"/>
  <c r="DM298" i="1"/>
  <c r="DI298" i="1"/>
  <c r="DD298" i="1"/>
  <c r="CX298" i="1"/>
  <c r="CP298" i="1"/>
  <c r="CO298" i="1"/>
  <c r="CI298" i="1"/>
  <c r="CC298" i="1"/>
  <c r="BZ298" i="1"/>
  <c r="BV298" i="1"/>
  <c r="BU298" i="1"/>
  <c r="BK298" i="1"/>
  <c r="BH298" i="1"/>
  <c r="BD298" i="1"/>
  <c r="AZ298" i="1"/>
  <c r="AV298" i="1"/>
  <c r="AP298" i="1"/>
  <c r="AL298" i="1"/>
  <c r="AJ298" i="1"/>
  <c r="AC298" i="1"/>
  <c r="X298" i="1"/>
  <c r="U298" i="1"/>
  <c r="T298" i="1"/>
  <c r="F298" i="1"/>
  <c r="GE297" i="1"/>
  <c r="GB297" i="1"/>
  <c r="FW297" i="1"/>
  <c r="FV297" i="1"/>
  <c r="FS297" i="1"/>
  <c r="FO297" i="1"/>
  <c r="FJ297" i="1"/>
  <c r="FF297" i="1"/>
  <c r="FC297" i="1"/>
  <c r="EZ297" i="1"/>
  <c r="ET297" i="1"/>
  <c r="EL297" i="1"/>
  <c r="EI297" i="1"/>
  <c r="EC297" i="1"/>
  <c r="DW297" i="1"/>
  <c r="DS297" i="1"/>
  <c r="DP297" i="1"/>
  <c r="DM297" i="1"/>
  <c r="DI297" i="1"/>
  <c r="DD297" i="1"/>
  <c r="CX297" i="1"/>
  <c r="CP297" i="1"/>
  <c r="CO297" i="1"/>
  <c r="CI297" i="1"/>
  <c r="CC297" i="1"/>
  <c r="BZ297" i="1"/>
  <c r="BV297" i="1"/>
  <c r="BU297" i="1"/>
  <c r="BK297" i="1"/>
  <c r="K295" i="4" s="1"/>
  <c r="BH297" i="1"/>
  <c r="BD297" i="1"/>
  <c r="AZ297" i="1"/>
  <c r="AV297" i="1"/>
  <c r="AP297" i="1"/>
  <c r="AL297" i="1"/>
  <c r="AJ297" i="1"/>
  <c r="AC297" i="1"/>
  <c r="X297" i="1"/>
  <c r="U297" i="1"/>
  <c r="T297" i="1"/>
  <c r="F297" i="1"/>
  <c r="GE296" i="1"/>
  <c r="GB296" i="1"/>
  <c r="FW296" i="1"/>
  <c r="FV296" i="1"/>
  <c r="FS296" i="1"/>
  <c r="FO296" i="1"/>
  <c r="FJ296" i="1"/>
  <c r="FF296" i="1"/>
  <c r="FC296" i="1"/>
  <c r="EZ296" i="1"/>
  <c r="ET296" i="1"/>
  <c r="EL296" i="1"/>
  <c r="EI296" i="1"/>
  <c r="EC296" i="1"/>
  <c r="DW296" i="1"/>
  <c r="DS296" i="1"/>
  <c r="DP296" i="1"/>
  <c r="DM296" i="1"/>
  <c r="DI296" i="1"/>
  <c r="DD296" i="1"/>
  <c r="CX296" i="1"/>
  <c r="CP296" i="1"/>
  <c r="CO296" i="1"/>
  <c r="CI296" i="1"/>
  <c r="CC296" i="1"/>
  <c r="BZ296" i="1"/>
  <c r="BV296" i="1"/>
  <c r="BU296" i="1"/>
  <c r="BK296" i="1"/>
  <c r="BH296" i="1"/>
  <c r="BD296" i="1"/>
  <c r="AZ296" i="1"/>
  <c r="AV296" i="1"/>
  <c r="AP296" i="1"/>
  <c r="AL296" i="1"/>
  <c r="AJ296" i="1"/>
  <c r="AC296" i="1"/>
  <c r="X296" i="1"/>
  <c r="U296" i="1"/>
  <c r="T296" i="1"/>
  <c r="F296" i="1"/>
  <c r="GE295" i="1"/>
  <c r="GB295" i="1"/>
  <c r="FW295" i="1"/>
  <c r="FV295" i="1"/>
  <c r="FS295" i="1"/>
  <c r="FO295" i="1"/>
  <c r="FJ295" i="1"/>
  <c r="FF295" i="1"/>
  <c r="FC295" i="1"/>
  <c r="EZ295" i="1"/>
  <c r="ET295" i="1"/>
  <c r="EL295" i="1"/>
  <c r="EI295" i="1"/>
  <c r="EC295" i="1"/>
  <c r="DW295" i="1"/>
  <c r="DS295" i="1"/>
  <c r="DP295" i="1"/>
  <c r="DM295" i="1"/>
  <c r="DI295" i="1"/>
  <c r="DD295" i="1"/>
  <c r="CX295" i="1"/>
  <c r="CP295" i="1"/>
  <c r="CO295" i="1"/>
  <c r="CI295" i="1"/>
  <c r="CC295" i="1"/>
  <c r="BZ295" i="1"/>
  <c r="BV295" i="1"/>
  <c r="BU295" i="1"/>
  <c r="BK295" i="1"/>
  <c r="BH295" i="1"/>
  <c r="BD295" i="1"/>
  <c r="AZ295" i="1"/>
  <c r="AV295" i="1"/>
  <c r="AP295" i="1"/>
  <c r="AL295" i="1"/>
  <c r="AJ295" i="1"/>
  <c r="AC295" i="1"/>
  <c r="X295" i="1"/>
  <c r="U295" i="1"/>
  <c r="T295" i="1"/>
  <c r="F295" i="1"/>
  <c r="GE294" i="1"/>
  <c r="GB294" i="1"/>
  <c r="FW294" i="1"/>
  <c r="FV294" i="1"/>
  <c r="FS294" i="1"/>
  <c r="FO294" i="1"/>
  <c r="FJ294" i="1"/>
  <c r="FF294" i="1"/>
  <c r="FC294" i="1"/>
  <c r="EZ294" i="1"/>
  <c r="ET294" i="1"/>
  <c r="EL294" i="1"/>
  <c r="EI294" i="1"/>
  <c r="EC294" i="1"/>
  <c r="DW294" i="1"/>
  <c r="DS294" i="1"/>
  <c r="DP294" i="1"/>
  <c r="DM294" i="1"/>
  <c r="DI294" i="1"/>
  <c r="DD294" i="1"/>
  <c r="CX294" i="1"/>
  <c r="CP294" i="1"/>
  <c r="CO294" i="1"/>
  <c r="CI294" i="1"/>
  <c r="CC294" i="1"/>
  <c r="BZ294" i="1"/>
  <c r="BV294" i="1"/>
  <c r="BU294" i="1"/>
  <c r="BK294" i="1"/>
  <c r="K292" i="4" s="1"/>
  <c r="BH294" i="1"/>
  <c r="BD294" i="1"/>
  <c r="AZ294" i="1"/>
  <c r="AV294" i="1"/>
  <c r="AP294" i="1"/>
  <c r="AL294" i="1"/>
  <c r="AJ294" i="1"/>
  <c r="AC294" i="1"/>
  <c r="X294" i="1"/>
  <c r="U294" i="1"/>
  <c r="T294" i="1"/>
  <c r="F294" i="1"/>
  <c r="GE293" i="1"/>
  <c r="GB293" i="1"/>
  <c r="FW293" i="1"/>
  <c r="FV293" i="1"/>
  <c r="FS293" i="1"/>
  <c r="FO293" i="1"/>
  <c r="FJ293" i="1"/>
  <c r="FF293" i="1"/>
  <c r="FC293" i="1"/>
  <c r="EZ293" i="1"/>
  <c r="ET293" i="1"/>
  <c r="EL293" i="1"/>
  <c r="EI293" i="1"/>
  <c r="EC293" i="1"/>
  <c r="DW293" i="1"/>
  <c r="DS293" i="1"/>
  <c r="DP293" i="1"/>
  <c r="DM293" i="1"/>
  <c r="DI293" i="1"/>
  <c r="DD293" i="1"/>
  <c r="CX293" i="1"/>
  <c r="CP293" i="1"/>
  <c r="CO293" i="1"/>
  <c r="CI293" i="1"/>
  <c r="CC293" i="1"/>
  <c r="BZ293" i="1"/>
  <c r="BV293" i="1"/>
  <c r="BU293" i="1"/>
  <c r="BK293" i="1"/>
  <c r="K291" i="4" s="1"/>
  <c r="BH293" i="1"/>
  <c r="BD293" i="1"/>
  <c r="AZ293" i="1"/>
  <c r="AV293" i="1"/>
  <c r="AP293" i="1"/>
  <c r="AL293" i="1"/>
  <c r="AJ293" i="1"/>
  <c r="AC293" i="1"/>
  <c r="X293" i="1"/>
  <c r="U293" i="1"/>
  <c r="T293" i="1"/>
  <c r="F293" i="1"/>
  <c r="GE292" i="1"/>
  <c r="GB292" i="1"/>
  <c r="FW292" i="1"/>
  <c r="FV292" i="1"/>
  <c r="FS292" i="1"/>
  <c r="FO292" i="1"/>
  <c r="FJ292" i="1"/>
  <c r="FF292" i="1"/>
  <c r="FC292" i="1"/>
  <c r="EZ292" i="1"/>
  <c r="ET292" i="1"/>
  <c r="EL292" i="1"/>
  <c r="EI292" i="1"/>
  <c r="EC292" i="1"/>
  <c r="DW292" i="1"/>
  <c r="DS292" i="1"/>
  <c r="DP292" i="1"/>
  <c r="DM292" i="1"/>
  <c r="DI292" i="1"/>
  <c r="DD292" i="1"/>
  <c r="CX292" i="1"/>
  <c r="CP292" i="1"/>
  <c r="CO292" i="1"/>
  <c r="CI292" i="1"/>
  <c r="CC292" i="1"/>
  <c r="BZ292" i="1"/>
  <c r="BV292" i="1"/>
  <c r="BU292" i="1"/>
  <c r="BK292" i="1"/>
  <c r="BH292" i="1"/>
  <c r="BD292" i="1"/>
  <c r="AZ292" i="1"/>
  <c r="AV292" i="1"/>
  <c r="AP292" i="1"/>
  <c r="AL292" i="1"/>
  <c r="AJ292" i="1"/>
  <c r="AC292" i="1"/>
  <c r="X292" i="1"/>
  <c r="U292" i="1"/>
  <c r="T292" i="1"/>
  <c r="F292" i="1"/>
  <c r="GE291" i="1"/>
  <c r="GB291" i="1"/>
  <c r="FW291" i="1"/>
  <c r="FV291" i="1"/>
  <c r="FS291" i="1"/>
  <c r="FO291" i="1"/>
  <c r="FJ291" i="1"/>
  <c r="FF291" i="1"/>
  <c r="FC291" i="1"/>
  <c r="EZ291" i="1"/>
  <c r="ET291" i="1"/>
  <c r="EL291" i="1"/>
  <c r="EI291" i="1"/>
  <c r="EC291" i="1"/>
  <c r="DW291" i="1"/>
  <c r="DS291" i="1"/>
  <c r="DP291" i="1"/>
  <c r="DM291" i="1"/>
  <c r="DI291" i="1"/>
  <c r="DD291" i="1"/>
  <c r="CX291" i="1"/>
  <c r="CP291" i="1"/>
  <c r="CO291" i="1"/>
  <c r="CI291" i="1"/>
  <c r="CC291" i="1"/>
  <c r="BZ291" i="1"/>
  <c r="BV291" i="1"/>
  <c r="BU291" i="1"/>
  <c r="BK291" i="1"/>
  <c r="K289" i="4" s="1"/>
  <c r="BH291" i="1"/>
  <c r="BD291" i="1"/>
  <c r="AZ291" i="1"/>
  <c r="AV291" i="1"/>
  <c r="AP291" i="1"/>
  <c r="AL291" i="1"/>
  <c r="AJ291" i="1"/>
  <c r="AC291" i="1"/>
  <c r="X291" i="1"/>
  <c r="U291" i="1"/>
  <c r="T291" i="1"/>
  <c r="F291" i="1"/>
  <c r="GE290" i="1"/>
  <c r="GB290" i="1"/>
  <c r="FW290" i="1"/>
  <c r="FV290" i="1"/>
  <c r="FS290" i="1"/>
  <c r="FO290" i="1"/>
  <c r="FJ290" i="1"/>
  <c r="FF290" i="1"/>
  <c r="FC290" i="1"/>
  <c r="EZ290" i="1"/>
  <c r="ET290" i="1"/>
  <c r="EL290" i="1"/>
  <c r="EI290" i="1"/>
  <c r="EC290" i="1"/>
  <c r="DW290" i="1"/>
  <c r="DS290" i="1"/>
  <c r="DP290" i="1"/>
  <c r="DM290" i="1"/>
  <c r="DI290" i="1"/>
  <c r="DD290" i="1"/>
  <c r="CX290" i="1"/>
  <c r="CP290" i="1"/>
  <c r="CO290" i="1"/>
  <c r="CI290" i="1"/>
  <c r="CC290" i="1"/>
  <c r="BZ290" i="1"/>
  <c r="BV290" i="1"/>
  <c r="BU290" i="1"/>
  <c r="BK290" i="1"/>
  <c r="BH290" i="1"/>
  <c r="BD290" i="1"/>
  <c r="AZ290" i="1"/>
  <c r="AV290" i="1"/>
  <c r="AP290" i="1"/>
  <c r="AL290" i="1"/>
  <c r="AJ290" i="1"/>
  <c r="AC290" i="1"/>
  <c r="X290" i="1"/>
  <c r="U290" i="1"/>
  <c r="T290" i="1"/>
  <c r="F290" i="1"/>
  <c r="GE289" i="1"/>
  <c r="GB289" i="1"/>
  <c r="FW289" i="1"/>
  <c r="FV289" i="1"/>
  <c r="FS289" i="1"/>
  <c r="FO289" i="1"/>
  <c r="FJ289" i="1"/>
  <c r="FF289" i="1"/>
  <c r="FC289" i="1"/>
  <c r="EZ289" i="1"/>
  <c r="ET289" i="1"/>
  <c r="EL289" i="1"/>
  <c r="EI289" i="1"/>
  <c r="EC289" i="1"/>
  <c r="DW289" i="1"/>
  <c r="DS289" i="1"/>
  <c r="DP289" i="1"/>
  <c r="DM289" i="1"/>
  <c r="DI289" i="1"/>
  <c r="DD289" i="1"/>
  <c r="CX289" i="1"/>
  <c r="CP289" i="1"/>
  <c r="CO289" i="1"/>
  <c r="CI289" i="1"/>
  <c r="CC289" i="1"/>
  <c r="BZ289" i="1"/>
  <c r="BV289" i="1"/>
  <c r="BU289" i="1"/>
  <c r="BK289" i="1"/>
  <c r="K287" i="4" s="1"/>
  <c r="BH289" i="1"/>
  <c r="BD289" i="1"/>
  <c r="AZ289" i="1"/>
  <c r="AV289" i="1"/>
  <c r="AP289" i="1"/>
  <c r="AL289" i="1"/>
  <c r="AJ289" i="1"/>
  <c r="AC289" i="1"/>
  <c r="X289" i="1"/>
  <c r="U289" i="1"/>
  <c r="T289" i="1"/>
  <c r="F289" i="1"/>
  <c r="GE288" i="1"/>
  <c r="GB288" i="1"/>
  <c r="FW288" i="1"/>
  <c r="FV288" i="1"/>
  <c r="FS288" i="1"/>
  <c r="FO288" i="1"/>
  <c r="FJ288" i="1"/>
  <c r="FF288" i="1"/>
  <c r="FC288" i="1"/>
  <c r="EZ288" i="1"/>
  <c r="ET288" i="1"/>
  <c r="EL288" i="1"/>
  <c r="EI288" i="1"/>
  <c r="EC288" i="1"/>
  <c r="DW288" i="1"/>
  <c r="DS288" i="1"/>
  <c r="DP288" i="1"/>
  <c r="DM288" i="1"/>
  <c r="DI288" i="1"/>
  <c r="DD288" i="1"/>
  <c r="CX288" i="1"/>
  <c r="CP288" i="1"/>
  <c r="CO288" i="1"/>
  <c r="CI288" i="1"/>
  <c r="CC288" i="1"/>
  <c r="BZ288" i="1"/>
  <c r="BV288" i="1"/>
  <c r="BU288" i="1"/>
  <c r="BK288" i="1"/>
  <c r="BH288" i="1"/>
  <c r="BD288" i="1"/>
  <c r="AZ288" i="1"/>
  <c r="AV288" i="1"/>
  <c r="AP288" i="1"/>
  <c r="AL288" i="1"/>
  <c r="AJ288" i="1"/>
  <c r="AC288" i="1"/>
  <c r="X288" i="1"/>
  <c r="U288" i="1"/>
  <c r="T288" i="1"/>
  <c r="F288" i="1"/>
  <c r="GE287" i="1"/>
  <c r="GB287" i="1"/>
  <c r="FW287" i="1"/>
  <c r="FV287" i="1"/>
  <c r="FS287" i="1"/>
  <c r="FO287" i="1"/>
  <c r="FJ287" i="1"/>
  <c r="FF287" i="1"/>
  <c r="FC287" i="1"/>
  <c r="EZ287" i="1"/>
  <c r="ET287" i="1"/>
  <c r="EL287" i="1"/>
  <c r="EI287" i="1"/>
  <c r="EC287" i="1"/>
  <c r="DW287" i="1"/>
  <c r="DS287" i="1"/>
  <c r="DP287" i="1"/>
  <c r="DM287" i="1"/>
  <c r="DI287" i="1"/>
  <c r="DD287" i="1"/>
  <c r="CX287" i="1"/>
  <c r="CP287" i="1"/>
  <c r="CO287" i="1"/>
  <c r="CI287" i="1"/>
  <c r="CC287" i="1"/>
  <c r="BZ287" i="1"/>
  <c r="BV287" i="1"/>
  <c r="BU287" i="1"/>
  <c r="BK287" i="1"/>
  <c r="K285" i="4" s="1"/>
  <c r="BH287" i="1"/>
  <c r="BD287" i="1"/>
  <c r="AZ287" i="1"/>
  <c r="AV287" i="1"/>
  <c r="AP287" i="1"/>
  <c r="AL287" i="1"/>
  <c r="AJ287" i="1"/>
  <c r="AC287" i="1"/>
  <c r="X287" i="1"/>
  <c r="U287" i="1"/>
  <c r="T287" i="1"/>
  <c r="F287" i="1"/>
  <c r="GE286" i="1"/>
  <c r="GB286" i="1"/>
  <c r="FW286" i="1"/>
  <c r="FV286" i="1"/>
  <c r="FS286" i="1"/>
  <c r="FO286" i="1"/>
  <c r="FJ286" i="1"/>
  <c r="FF286" i="1"/>
  <c r="FC286" i="1"/>
  <c r="EZ286" i="1"/>
  <c r="ET286" i="1"/>
  <c r="EL286" i="1"/>
  <c r="EI286" i="1"/>
  <c r="EC286" i="1"/>
  <c r="DW286" i="1"/>
  <c r="DS286" i="1"/>
  <c r="DP286" i="1"/>
  <c r="DM286" i="1"/>
  <c r="DI286" i="1"/>
  <c r="DD286" i="1"/>
  <c r="CX286" i="1"/>
  <c r="CP286" i="1"/>
  <c r="CO286" i="1"/>
  <c r="CI286" i="1"/>
  <c r="CC286" i="1"/>
  <c r="BZ286" i="1"/>
  <c r="BV286" i="1"/>
  <c r="BU286" i="1"/>
  <c r="BK286" i="1"/>
  <c r="K284" i="4" s="1"/>
  <c r="BH286" i="1"/>
  <c r="BD286" i="1"/>
  <c r="AZ286" i="1"/>
  <c r="AV286" i="1"/>
  <c r="AP286" i="1"/>
  <c r="AL286" i="1"/>
  <c r="AJ286" i="1"/>
  <c r="AC286" i="1"/>
  <c r="X286" i="1"/>
  <c r="U286" i="1"/>
  <c r="T286" i="1"/>
  <c r="F286" i="1"/>
  <c r="GE285" i="1"/>
  <c r="GB285" i="1"/>
  <c r="FW285" i="1"/>
  <c r="FV285" i="1"/>
  <c r="FS285" i="1"/>
  <c r="FO285" i="1"/>
  <c r="FJ285" i="1"/>
  <c r="FF285" i="1"/>
  <c r="FC285" i="1"/>
  <c r="EZ285" i="1"/>
  <c r="ET285" i="1"/>
  <c r="EL285" i="1"/>
  <c r="EI285" i="1"/>
  <c r="EC285" i="1"/>
  <c r="DW285" i="1"/>
  <c r="DS285" i="1"/>
  <c r="DP285" i="1"/>
  <c r="DM285" i="1"/>
  <c r="DI285" i="1"/>
  <c r="DD285" i="1"/>
  <c r="CX285" i="1"/>
  <c r="CP285" i="1"/>
  <c r="CO285" i="1"/>
  <c r="CI285" i="1"/>
  <c r="CC285" i="1"/>
  <c r="BZ285" i="1"/>
  <c r="BV285" i="1"/>
  <c r="BU285" i="1"/>
  <c r="BK285" i="1"/>
  <c r="K283" i="4" s="1"/>
  <c r="BH285" i="1"/>
  <c r="BD285" i="1"/>
  <c r="AZ285" i="1"/>
  <c r="AV285" i="1"/>
  <c r="AP285" i="1"/>
  <c r="AL285" i="1"/>
  <c r="AJ285" i="1"/>
  <c r="AC285" i="1"/>
  <c r="X285" i="1"/>
  <c r="U285" i="1"/>
  <c r="T285" i="1"/>
  <c r="F285" i="1"/>
  <c r="GE284" i="1"/>
  <c r="GB284" i="1"/>
  <c r="FW284" i="1"/>
  <c r="FV284" i="1"/>
  <c r="FS284" i="1"/>
  <c r="FO284" i="1"/>
  <c r="FJ284" i="1"/>
  <c r="FF284" i="1"/>
  <c r="FC284" i="1"/>
  <c r="EZ284" i="1"/>
  <c r="ET284" i="1"/>
  <c r="EL284" i="1"/>
  <c r="EI284" i="1"/>
  <c r="EC284" i="1"/>
  <c r="DW284" i="1"/>
  <c r="DS284" i="1"/>
  <c r="DP284" i="1"/>
  <c r="DM284" i="1"/>
  <c r="DI284" i="1"/>
  <c r="DD284" i="1"/>
  <c r="CX284" i="1"/>
  <c r="CP284" i="1"/>
  <c r="CO284" i="1"/>
  <c r="CI284" i="1"/>
  <c r="CC284" i="1"/>
  <c r="BZ284" i="1"/>
  <c r="BV284" i="1"/>
  <c r="BU284" i="1"/>
  <c r="BK284" i="1"/>
  <c r="BH284" i="1"/>
  <c r="BD284" i="1"/>
  <c r="AZ284" i="1"/>
  <c r="AV284" i="1"/>
  <c r="AP284" i="1"/>
  <c r="AL284" i="1"/>
  <c r="AJ284" i="1"/>
  <c r="AC284" i="1"/>
  <c r="X284" i="1"/>
  <c r="U284" i="1"/>
  <c r="T284" i="1"/>
  <c r="F284" i="1"/>
  <c r="GE283" i="1"/>
  <c r="GB283" i="1"/>
  <c r="FW283" i="1"/>
  <c r="FV283" i="1"/>
  <c r="FS283" i="1"/>
  <c r="FO283" i="1"/>
  <c r="FJ283" i="1"/>
  <c r="FF283" i="1"/>
  <c r="FC283" i="1"/>
  <c r="EZ283" i="1"/>
  <c r="ET283" i="1"/>
  <c r="EL283" i="1"/>
  <c r="EI283" i="1"/>
  <c r="EC283" i="1"/>
  <c r="DW283" i="1"/>
  <c r="DS283" i="1"/>
  <c r="DP283" i="1"/>
  <c r="DM283" i="1"/>
  <c r="DI283" i="1"/>
  <c r="DD283" i="1"/>
  <c r="CX283" i="1"/>
  <c r="CP283" i="1"/>
  <c r="CO283" i="1"/>
  <c r="CI283" i="1"/>
  <c r="CC283" i="1"/>
  <c r="BZ283" i="1"/>
  <c r="BV283" i="1"/>
  <c r="BU283" i="1"/>
  <c r="BK283" i="1"/>
  <c r="K281" i="4" s="1"/>
  <c r="BH283" i="1"/>
  <c r="BD283" i="1"/>
  <c r="AZ283" i="1"/>
  <c r="AV283" i="1"/>
  <c r="AP283" i="1"/>
  <c r="AL283" i="1"/>
  <c r="AJ283" i="1"/>
  <c r="AC283" i="1"/>
  <c r="X283" i="1"/>
  <c r="U283" i="1"/>
  <c r="T283" i="1"/>
  <c r="F283" i="1"/>
  <c r="GE282" i="1"/>
  <c r="GB282" i="1"/>
  <c r="FW282" i="1"/>
  <c r="FV282" i="1"/>
  <c r="FS282" i="1"/>
  <c r="FO282" i="1"/>
  <c r="FJ282" i="1"/>
  <c r="FF282" i="1"/>
  <c r="FC282" i="1"/>
  <c r="EZ282" i="1"/>
  <c r="ET282" i="1"/>
  <c r="EL282" i="1"/>
  <c r="EI282" i="1"/>
  <c r="EC282" i="1"/>
  <c r="DW282" i="1"/>
  <c r="DS282" i="1"/>
  <c r="DP282" i="1"/>
  <c r="DM282" i="1"/>
  <c r="DI282" i="1"/>
  <c r="DD282" i="1"/>
  <c r="CX282" i="1"/>
  <c r="CP282" i="1"/>
  <c r="CO282" i="1"/>
  <c r="CI282" i="1"/>
  <c r="CC282" i="1"/>
  <c r="BZ282" i="1"/>
  <c r="BV282" i="1"/>
  <c r="BU282" i="1"/>
  <c r="BK282" i="1"/>
  <c r="K280" i="4" s="1"/>
  <c r="BH282" i="1"/>
  <c r="BD282" i="1"/>
  <c r="AZ282" i="1"/>
  <c r="AV282" i="1"/>
  <c r="AP282" i="1"/>
  <c r="AL282" i="1"/>
  <c r="AJ282" i="1"/>
  <c r="AC282" i="1"/>
  <c r="X282" i="1"/>
  <c r="U282" i="1"/>
  <c r="T282" i="1"/>
  <c r="F282" i="1"/>
  <c r="GE281" i="1"/>
  <c r="GB281" i="1"/>
  <c r="FW281" i="1"/>
  <c r="FV281" i="1"/>
  <c r="FS281" i="1"/>
  <c r="FO281" i="1"/>
  <c r="FJ281" i="1"/>
  <c r="FF281" i="1"/>
  <c r="FC281" i="1"/>
  <c r="EZ281" i="1"/>
  <c r="ET281" i="1"/>
  <c r="EL281" i="1"/>
  <c r="EI281" i="1"/>
  <c r="EC281" i="1"/>
  <c r="DW281" i="1"/>
  <c r="DS281" i="1"/>
  <c r="DP281" i="1"/>
  <c r="DM281" i="1"/>
  <c r="DI281" i="1"/>
  <c r="DD281" i="1"/>
  <c r="CX281" i="1"/>
  <c r="CP281" i="1"/>
  <c r="CO281" i="1"/>
  <c r="CI281" i="1"/>
  <c r="CC281" i="1"/>
  <c r="BZ281" i="1"/>
  <c r="BV281" i="1"/>
  <c r="BU281" i="1"/>
  <c r="BK281" i="1"/>
  <c r="K279" i="4" s="1"/>
  <c r="BH281" i="1"/>
  <c r="BD281" i="1"/>
  <c r="AZ281" i="1"/>
  <c r="AV281" i="1"/>
  <c r="AP281" i="1"/>
  <c r="AL281" i="1"/>
  <c r="AJ281" i="1"/>
  <c r="AC281" i="1"/>
  <c r="X281" i="1"/>
  <c r="U281" i="1"/>
  <c r="T281" i="1"/>
  <c r="F281" i="1"/>
  <c r="GE280" i="1"/>
  <c r="GB280" i="1"/>
  <c r="FW280" i="1"/>
  <c r="FV280" i="1"/>
  <c r="FS280" i="1"/>
  <c r="FO280" i="1"/>
  <c r="FJ280" i="1"/>
  <c r="FF280" i="1"/>
  <c r="FC280" i="1"/>
  <c r="EZ280" i="1"/>
  <c r="ET280" i="1"/>
  <c r="EL280" i="1"/>
  <c r="EI280" i="1"/>
  <c r="EC280" i="1"/>
  <c r="DW280" i="1"/>
  <c r="DS280" i="1"/>
  <c r="DP280" i="1"/>
  <c r="DM280" i="1"/>
  <c r="DI280" i="1"/>
  <c r="DD280" i="1"/>
  <c r="CX280" i="1"/>
  <c r="CP280" i="1"/>
  <c r="CO280" i="1"/>
  <c r="CI280" i="1"/>
  <c r="CC280" i="1"/>
  <c r="BZ280" i="1"/>
  <c r="BV280" i="1"/>
  <c r="BU280" i="1"/>
  <c r="BK280" i="1"/>
  <c r="BH280" i="1"/>
  <c r="BD280" i="1"/>
  <c r="AZ280" i="1"/>
  <c r="AV280" i="1"/>
  <c r="AP280" i="1"/>
  <c r="AL280" i="1"/>
  <c r="AJ280" i="1"/>
  <c r="AC280" i="1"/>
  <c r="X280" i="1"/>
  <c r="U280" i="1"/>
  <c r="T280" i="1"/>
  <c r="F280" i="1"/>
  <c r="GE279" i="1"/>
  <c r="GB279" i="1"/>
  <c r="FW279" i="1"/>
  <c r="FV279" i="1"/>
  <c r="FS279" i="1"/>
  <c r="FO279" i="1"/>
  <c r="FJ279" i="1"/>
  <c r="FF279" i="1"/>
  <c r="FC279" i="1"/>
  <c r="EZ279" i="1"/>
  <c r="ET279" i="1"/>
  <c r="EL279" i="1"/>
  <c r="EI279" i="1"/>
  <c r="EC279" i="1"/>
  <c r="DW279" i="1"/>
  <c r="DS279" i="1"/>
  <c r="DP279" i="1"/>
  <c r="DM279" i="1"/>
  <c r="DI279" i="1"/>
  <c r="DD279" i="1"/>
  <c r="CX279" i="1"/>
  <c r="CP279" i="1"/>
  <c r="CO279" i="1"/>
  <c r="CI279" i="1"/>
  <c r="CC279" i="1"/>
  <c r="BZ279" i="1"/>
  <c r="BV279" i="1"/>
  <c r="BU279" i="1"/>
  <c r="BK279" i="1"/>
  <c r="K277" i="4" s="1"/>
  <c r="BH279" i="1"/>
  <c r="BD279" i="1"/>
  <c r="AZ279" i="1"/>
  <c r="AV279" i="1"/>
  <c r="AP279" i="1"/>
  <c r="AL279" i="1"/>
  <c r="AJ279" i="1"/>
  <c r="AC279" i="1"/>
  <c r="X279" i="1"/>
  <c r="U279" i="1"/>
  <c r="T279" i="1"/>
  <c r="F279" i="1"/>
  <c r="GE278" i="1"/>
  <c r="GB278" i="1"/>
  <c r="FW278" i="1"/>
  <c r="FV278" i="1"/>
  <c r="FS278" i="1"/>
  <c r="FO278" i="1"/>
  <c r="FJ278" i="1"/>
  <c r="FF278" i="1"/>
  <c r="FC278" i="1"/>
  <c r="EZ278" i="1"/>
  <c r="ET278" i="1"/>
  <c r="EL278" i="1"/>
  <c r="EI278" i="1"/>
  <c r="EC278" i="1"/>
  <c r="DW278" i="1"/>
  <c r="DS278" i="1"/>
  <c r="DP278" i="1"/>
  <c r="DM278" i="1"/>
  <c r="DI278" i="1"/>
  <c r="DD278" i="1"/>
  <c r="CX278" i="1"/>
  <c r="CP278" i="1"/>
  <c r="CO278" i="1"/>
  <c r="CI278" i="1"/>
  <c r="CC278" i="1"/>
  <c r="BZ278" i="1"/>
  <c r="BV278" i="1"/>
  <c r="BU278" i="1"/>
  <c r="BK278" i="1"/>
  <c r="BH278" i="1"/>
  <c r="BD278" i="1"/>
  <c r="AZ278" i="1"/>
  <c r="AV278" i="1"/>
  <c r="AP278" i="1"/>
  <c r="AL278" i="1"/>
  <c r="AJ278" i="1"/>
  <c r="AC278" i="1"/>
  <c r="X278" i="1"/>
  <c r="U278" i="1"/>
  <c r="T278" i="1"/>
  <c r="F278" i="1"/>
  <c r="GE277" i="1"/>
  <c r="GB277" i="1"/>
  <c r="FW277" i="1"/>
  <c r="FV277" i="1"/>
  <c r="FS277" i="1"/>
  <c r="FO277" i="1"/>
  <c r="FJ277" i="1"/>
  <c r="FF277" i="1"/>
  <c r="FC277" i="1"/>
  <c r="EZ277" i="1"/>
  <c r="ET277" i="1"/>
  <c r="EL277" i="1"/>
  <c r="EI277" i="1"/>
  <c r="EC277" i="1"/>
  <c r="DW277" i="1"/>
  <c r="DS277" i="1"/>
  <c r="DP277" i="1"/>
  <c r="DM277" i="1"/>
  <c r="DI277" i="1"/>
  <c r="DD277" i="1"/>
  <c r="CX277" i="1"/>
  <c r="CP277" i="1"/>
  <c r="CO277" i="1"/>
  <c r="CI277" i="1"/>
  <c r="CC277" i="1"/>
  <c r="BZ277" i="1"/>
  <c r="BV277" i="1"/>
  <c r="BU277" i="1"/>
  <c r="BK277" i="1"/>
  <c r="K275" i="4" s="1"/>
  <c r="BH277" i="1"/>
  <c r="BD277" i="1"/>
  <c r="AZ277" i="1"/>
  <c r="AV277" i="1"/>
  <c r="AP277" i="1"/>
  <c r="AL277" i="1"/>
  <c r="AJ277" i="1"/>
  <c r="AC277" i="1"/>
  <c r="X277" i="1"/>
  <c r="U277" i="1"/>
  <c r="T277" i="1"/>
  <c r="F277" i="1"/>
  <c r="GE276" i="1"/>
  <c r="GB276" i="1"/>
  <c r="FW276" i="1"/>
  <c r="FV276" i="1"/>
  <c r="FS276" i="1"/>
  <c r="FO276" i="1"/>
  <c r="FJ276" i="1"/>
  <c r="FF276" i="1"/>
  <c r="FC276" i="1"/>
  <c r="EZ276" i="1"/>
  <c r="ET276" i="1"/>
  <c r="EL276" i="1"/>
  <c r="EI276" i="1"/>
  <c r="EC276" i="1"/>
  <c r="DW276" i="1"/>
  <c r="DS276" i="1"/>
  <c r="DP276" i="1"/>
  <c r="DM276" i="1"/>
  <c r="DI276" i="1"/>
  <c r="DD276" i="1"/>
  <c r="CX276" i="1"/>
  <c r="CP276" i="1"/>
  <c r="CO276" i="1"/>
  <c r="CI276" i="1"/>
  <c r="CC276" i="1"/>
  <c r="BZ276" i="1"/>
  <c r="BV276" i="1"/>
  <c r="BU276" i="1"/>
  <c r="BK276" i="1"/>
  <c r="K274" i="4" s="1"/>
  <c r="BH276" i="1"/>
  <c r="BD276" i="1"/>
  <c r="AZ276" i="1"/>
  <c r="AV276" i="1"/>
  <c r="AP276" i="1"/>
  <c r="AL276" i="1"/>
  <c r="AJ276" i="1"/>
  <c r="AC276" i="1"/>
  <c r="X276" i="1"/>
  <c r="U276" i="1"/>
  <c r="T276" i="1"/>
  <c r="F276" i="1"/>
  <c r="GE275" i="1"/>
  <c r="GB275" i="1"/>
  <c r="FW275" i="1"/>
  <c r="FV275" i="1"/>
  <c r="FS275" i="1"/>
  <c r="FO275" i="1"/>
  <c r="FJ275" i="1"/>
  <c r="FF275" i="1"/>
  <c r="FC275" i="1"/>
  <c r="EZ275" i="1"/>
  <c r="ET275" i="1"/>
  <c r="EL275" i="1"/>
  <c r="EI275" i="1"/>
  <c r="EC275" i="1"/>
  <c r="DW275" i="1"/>
  <c r="DS275" i="1"/>
  <c r="DP275" i="1"/>
  <c r="DM275" i="1"/>
  <c r="DI275" i="1"/>
  <c r="DD275" i="1"/>
  <c r="CX275" i="1"/>
  <c r="CP275" i="1"/>
  <c r="CO275" i="1"/>
  <c r="CI275" i="1"/>
  <c r="CC275" i="1"/>
  <c r="BZ275" i="1"/>
  <c r="BV275" i="1"/>
  <c r="BU275" i="1"/>
  <c r="BK275" i="1"/>
  <c r="K273" i="4" s="1"/>
  <c r="BH275" i="1"/>
  <c r="BD275" i="1"/>
  <c r="AZ275" i="1"/>
  <c r="AV275" i="1"/>
  <c r="AP275" i="1"/>
  <c r="AL275" i="1"/>
  <c r="AJ275" i="1"/>
  <c r="AC275" i="1"/>
  <c r="X275" i="1"/>
  <c r="U275" i="1"/>
  <c r="T275" i="1"/>
  <c r="F275" i="1"/>
  <c r="GE274" i="1"/>
  <c r="GB274" i="1"/>
  <c r="FW274" i="1"/>
  <c r="FV274" i="1"/>
  <c r="FS274" i="1"/>
  <c r="FO274" i="1"/>
  <c r="FJ274" i="1"/>
  <c r="FF274" i="1"/>
  <c r="FC274" i="1"/>
  <c r="EZ274" i="1"/>
  <c r="ET274" i="1"/>
  <c r="EL274" i="1"/>
  <c r="EI274" i="1"/>
  <c r="EC274" i="1"/>
  <c r="DW274" i="1"/>
  <c r="DS274" i="1"/>
  <c r="DP274" i="1"/>
  <c r="DM274" i="1"/>
  <c r="DI274" i="1"/>
  <c r="DD274" i="1"/>
  <c r="CX274" i="1"/>
  <c r="CP274" i="1"/>
  <c r="CO274" i="1"/>
  <c r="CI274" i="1"/>
  <c r="CC274" i="1"/>
  <c r="BZ274" i="1"/>
  <c r="BV274" i="1"/>
  <c r="BU274" i="1"/>
  <c r="BK274" i="1"/>
  <c r="K272" i="4" s="1"/>
  <c r="BH274" i="1"/>
  <c r="BD274" i="1"/>
  <c r="AZ274" i="1"/>
  <c r="AV274" i="1"/>
  <c r="AP274" i="1"/>
  <c r="AL274" i="1"/>
  <c r="AJ274" i="1"/>
  <c r="AC274" i="1"/>
  <c r="X274" i="1"/>
  <c r="U274" i="1"/>
  <c r="T274" i="1"/>
  <c r="F274" i="1"/>
  <c r="GE273" i="1"/>
  <c r="GB273" i="1"/>
  <c r="FW273" i="1"/>
  <c r="FV273" i="1"/>
  <c r="FS273" i="1"/>
  <c r="FO273" i="1"/>
  <c r="FJ273" i="1"/>
  <c r="FF273" i="1"/>
  <c r="FC273" i="1"/>
  <c r="EZ273" i="1"/>
  <c r="ET273" i="1"/>
  <c r="EL273" i="1"/>
  <c r="EI273" i="1"/>
  <c r="EC273" i="1"/>
  <c r="DW273" i="1"/>
  <c r="DS273" i="1"/>
  <c r="DP273" i="1"/>
  <c r="DM273" i="1"/>
  <c r="DI273" i="1"/>
  <c r="DD273" i="1"/>
  <c r="CX273" i="1"/>
  <c r="CP273" i="1"/>
  <c r="CO273" i="1"/>
  <c r="CI273" i="1"/>
  <c r="CC273" i="1"/>
  <c r="BZ273" i="1"/>
  <c r="BV273" i="1"/>
  <c r="BU273" i="1"/>
  <c r="BK273" i="1"/>
  <c r="K271" i="4" s="1"/>
  <c r="BH273" i="1"/>
  <c r="BD273" i="1"/>
  <c r="AZ273" i="1"/>
  <c r="AV273" i="1"/>
  <c r="AP273" i="1"/>
  <c r="AL273" i="1"/>
  <c r="AJ273" i="1"/>
  <c r="AC273" i="1"/>
  <c r="X273" i="1"/>
  <c r="U273" i="1"/>
  <c r="T273" i="1"/>
  <c r="F273" i="1"/>
  <c r="GE272" i="1"/>
  <c r="GB272" i="1"/>
  <c r="FW272" i="1"/>
  <c r="FV272" i="1"/>
  <c r="FS272" i="1"/>
  <c r="FO272" i="1"/>
  <c r="FJ272" i="1"/>
  <c r="FF272" i="1"/>
  <c r="FC272" i="1"/>
  <c r="EZ272" i="1"/>
  <c r="ET272" i="1"/>
  <c r="EL272" i="1"/>
  <c r="EI272" i="1"/>
  <c r="EC272" i="1"/>
  <c r="DW272" i="1"/>
  <c r="DS272" i="1"/>
  <c r="DP272" i="1"/>
  <c r="DM272" i="1"/>
  <c r="DI272" i="1"/>
  <c r="DD272" i="1"/>
  <c r="CX272" i="1"/>
  <c r="CP272" i="1"/>
  <c r="CO272" i="1"/>
  <c r="CI272" i="1"/>
  <c r="CC272" i="1"/>
  <c r="BZ272" i="1"/>
  <c r="BV272" i="1"/>
  <c r="BU272" i="1"/>
  <c r="BK272" i="1"/>
  <c r="K270" i="4" s="1"/>
  <c r="BH272" i="1"/>
  <c r="BD272" i="1"/>
  <c r="AZ272" i="1"/>
  <c r="AV272" i="1"/>
  <c r="AP272" i="1"/>
  <c r="AL272" i="1"/>
  <c r="AJ272" i="1"/>
  <c r="AC272" i="1"/>
  <c r="X272" i="1"/>
  <c r="U272" i="1"/>
  <c r="T272" i="1"/>
  <c r="F272" i="1"/>
  <c r="GE271" i="1"/>
  <c r="GB271" i="1"/>
  <c r="FW271" i="1"/>
  <c r="FV271" i="1"/>
  <c r="FS271" i="1"/>
  <c r="FO271" i="1"/>
  <c r="FJ271" i="1"/>
  <c r="FF271" i="1"/>
  <c r="FC271" i="1"/>
  <c r="EZ271" i="1"/>
  <c r="ET271" i="1"/>
  <c r="EL271" i="1"/>
  <c r="EI271" i="1"/>
  <c r="EC271" i="1"/>
  <c r="DW271" i="1"/>
  <c r="DS271" i="1"/>
  <c r="DP271" i="1"/>
  <c r="DM271" i="1"/>
  <c r="DI271" i="1"/>
  <c r="DD271" i="1"/>
  <c r="CX271" i="1"/>
  <c r="CP271" i="1"/>
  <c r="CO271" i="1"/>
  <c r="CI271" i="1"/>
  <c r="CC271" i="1"/>
  <c r="BZ271" i="1"/>
  <c r="BV271" i="1"/>
  <c r="BU271" i="1"/>
  <c r="BK271" i="1"/>
  <c r="BH271" i="1"/>
  <c r="BD271" i="1"/>
  <c r="AZ271" i="1"/>
  <c r="AV271" i="1"/>
  <c r="AP271" i="1"/>
  <c r="AL271" i="1"/>
  <c r="AJ271" i="1"/>
  <c r="AC271" i="1"/>
  <c r="X271" i="1"/>
  <c r="U271" i="1"/>
  <c r="T271" i="1"/>
  <c r="F271" i="1"/>
  <c r="GE270" i="1"/>
  <c r="GB270" i="1"/>
  <c r="FW270" i="1"/>
  <c r="FV270" i="1"/>
  <c r="FS270" i="1"/>
  <c r="FO270" i="1"/>
  <c r="FJ270" i="1"/>
  <c r="FF270" i="1"/>
  <c r="FC270" i="1"/>
  <c r="EZ270" i="1"/>
  <c r="ET270" i="1"/>
  <c r="EL270" i="1"/>
  <c r="EI270" i="1"/>
  <c r="EC270" i="1"/>
  <c r="DW270" i="1"/>
  <c r="DS270" i="1"/>
  <c r="DP270" i="1"/>
  <c r="DM270" i="1"/>
  <c r="DI270" i="1"/>
  <c r="DD270" i="1"/>
  <c r="CX270" i="1"/>
  <c r="CP270" i="1"/>
  <c r="CO270" i="1"/>
  <c r="CI270" i="1"/>
  <c r="CC270" i="1"/>
  <c r="BZ270" i="1"/>
  <c r="BV270" i="1"/>
  <c r="BU270" i="1"/>
  <c r="BK270" i="1"/>
  <c r="BH270" i="1"/>
  <c r="BD270" i="1"/>
  <c r="AZ270" i="1"/>
  <c r="AV270" i="1"/>
  <c r="AP270" i="1"/>
  <c r="AL270" i="1"/>
  <c r="AJ270" i="1"/>
  <c r="AC270" i="1"/>
  <c r="X270" i="1"/>
  <c r="U270" i="1"/>
  <c r="T270" i="1"/>
  <c r="F270" i="1"/>
  <c r="GE269" i="1"/>
  <c r="GB269" i="1"/>
  <c r="FW269" i="1"/>
  <c r="FV269" i="1"/>
  <c r="FS269" i="1"/>
  <c r="FO269" i="1"/>
  <c r="FJ269" i="1"/>
  <c r="FF269" i="1"/>
  <c r="FC269" i="1"/>
  <c r="EZ269" i="1"/>
  <c r="ET269" i="1"/>
  <c r="EL269" i="1"/>
  <c r="EI269" i="1"/>
  <c r="EC269" i="1"/>
  <c r="DW269" i="1"/>
  <c r="DS269" i="1"/>
  <c r="DP269" i="1"/>
  <c r="DM269" i="1"/>
  <c r="DI269" i="1"/>
  <c r="DD269" i="1"/>
  <c r="CX269" i="1"/>
  <c r="CP269" i="1"/>
  <c r="CO269" i="1"/>
  <c r="CI269" i="1"/>
  <c r="CC269" i="1"/>
  <c r="BZ269" i="1"/>
  <c r="BV269" i="1"/>
  <c r="BU269" i="1"/>
  <c r="BK269" i="1"/>
  <c r="K267" i="4" s="1"/>
  <c r="BH269" i="1"/>
  <c r="BD269" i="1"/>
  <c r="AZ269" i="1"/>
  <c r="AV269" i="1"/>
  <c r="AP269" i="1"/>
  <c r="AL269" i="1"/>
  <c r="AJ269" i="1"/>
  <c r="AC269" i="1"/>
  <c r="X269" i="1"/>
  <c r="U269" i="1"/>
  <c r="T269" i="1"/>
  <c r="F269" i="1"/>
  <c r="GE268" i="1"/>
  <c r="GB268" i="1"/>
  <c r="FW268" i="1"/>
  <c r="FV268" i="1"/>
  <c r="FS268" i="1"/>
  <c r="FO268" i="1"/>
  <c r="FJ268" i="1"/>
  <c r="FF268" i="1"/>
  <c r="FC268" i="1"/>
  <c r="EZ268" i="1"/>
  <c r="ET268" i="1"/>
  <c r="EL268" i="1"/>
  <c r="EI268" i="1"/>
  <c r="EC268" i="1"/>
  <c r="DW268" i="1"/>
  <c r="DS268" i="1"/>
  <c r="DP268" i="1"/>
  <c r="DM268" i="1"/>
  <c r="DI268" i="1"/>
  <c r="DD268" i="1"/>
  <c r="CX268" i="1"/>
  <c r="CP268" i="1"/>
  <c r="CO268" i="1"/>
  <c r="CI268" i="1"/>
  <c r="CC268" i="1"/>
  <c r="BZ268" i="1"/>
  <c r="BV268" i="1"/>
  <c r="BU268" i="1"/>
  <c r="BK268" i="1"/>
  <c r="BH268" i="1"/>
  <c r="BD268" i="1"/>
  <c r="AZ268" i="1"/>
  <c r="AV268" i="1"/>
  <c r="AP268" i="1"/>
  <c r="AL268" i="1"/>
  <c r="AJ268" i="1"/>
  <c r="AC268" i="1"/>
  <c r="X268" i="1"/>
  <c r="U268" i="1"/>
  <c r="T268" i="1"/>
  <c r="F268" i="1"/>
  <c r="GE267" i="1"/>
  <c r="GB267" i="1"/>
  <c r="FW267" i="1"/>
  <c r="FV267" i="1"/>
  <c r="FS267" i="1"/>
  <c r="FO267" i="1"/>
  <c r="FJ267" i="1"/>
  <c r="FF267" i="1"/>
  <c r="FC267" i="1"/>
  <c r="EZ267" i="1"/>
  <c r="ET267" i="1"/>
  <c r="EL267" i="1"/>
  <c r="EI267" i="1"/>
  <c r="EC267" i="1"/>
  <c r="DW267" i="1"/>
  <c r="DS267" i="1"/>
  <c r="DP267" i="1"/>
  <c r="DM267" i="1"/>
  <c r="DI267" i="1"/>
  <c r="DD267" i="1"/>
  <c r="CX267" i="1"/>
  <c r="CP267" i="1"/>
  <c r="CO267" i="1"/>
  <c r="CI267" i="1"/>
  <c r="CC267" i="1"/>
  <c r="BZ267" i="1"/>
  <c r="BV267" i="1"/>
  <c r="BU267" i="1"/>
  <c r="BK267" i="1"/>
  <c r="K265" i="4" s="1"/>
  <c r="BH267" i="1"/>
  <c r="BD267" i="1"/>
  <c r="AZ267" i="1"/>
  <c r="AV267" i="1"/>
  <c r="AP267" i="1"/>
  <c r="AL267" i="1"/>
  <c r="AJ267" i="1"/>
  <c r="AC267" i="1"/>
  <c r="X267" i="1"/>
  <c r="U267" i="1"/>
  <c r="T267" i="1"/>
  <c r="F267" i="1"/>
  <c r="GE266" i="1"/>
  <c r="GB266" i="1"/>
  <c r="FW266" i="1"/>
  <c r="FV266" i="1"/>
  <c r="FS266" i="1"/>
  <c r="FO266" i="1"/>
  <c r="FJ266" i="1"/>
  <c r="FF266" i="1"/>
  <c r="FC266" i="1"/>
  <c r="EZ266" i="1"/>
  <c r="ET266" i="1"/>
  <c r="EL266" i="1"/>
  <c r="EI266" i="1"/>
  <c r="EC266" i="1"/>
  <c r="DW266" i="1"/>
  <c r="DS266" i="1"/>
  <c r="DP266" i="1"/>
  <c r="DM266" i="1"/>
  <c r="DI266" i="1"/>
  <c r="DD266" i="1"/>
  <c r="CX266" i="1"/>
  <c r="CP266" i="1"/>
  <c r="CO266" i="1"/>
  <c r="CI266" i="1"/>
  <c r="CC266" i="1"/>
  <c r="BZ266" i="1"/>
  <c r="BV266" i="1"/>
  <c r="BU266" i="1"/>
  <c r="BK266" i="1"/>
  <c r="K264" i="4" s="1"/>
  <c r="BH266" i="1"/>
  <c r="BD266" i="1"/>
  <c r="AZ266" i="1"/>
  <c r="AV266" i="1"/>
  <c r="AP266" i="1"/>
  <c r="AL266" i="1"/>
  <c r="AJ266" i="1"/>
  <c r="AC266" i="1"/>
  <c r="X266" i="1"/>
  <c r="U266" i="1"/>
  <c r="T266" i="1"/>
  <c r="F266" i="1"/>
  <c r="GE265" i="1"/>
  <c r="GB265" i="1"/>
  <c r="FW265" i="1"/>
  <c r="FV265" i="1"/>
  <c r="FS265" i="1"/>
  <c r="FO265" i="1"/>
  <c r="FJ265" i="1"/>
  <c r="FF265" i="1"/>
  <c r="FC265" i="1"/>
  <c r="EZ265" i="1"/>
  <c r="ET265" i="1"/>
  <c r="EL265" i="1"/>
  <c r="EI265" i="1"/>
  <c r="EC265" i="1"/>
  <c r="DW265" i="1"/>
  <c r="DS265" i="1"/>
  <c r="DP265" i="1"/>
  <c r="DM265" i="1"/>
  <c r="DI265" i="1"/>
  <c r="DD265" i="1"/>
  <c r="CX265" i="1"/>
  <c r="CP265" i="1"/>
  <c r="CO265" i="1"/>
  <c r="CI265" i="1"/>
  <c r="CC265" i="1"/>
  <c r="BZ265" i="1"/>
  <c r="BV265" i="1"/>
  <c r="BU265" i="1"/>
  <c r="BK265" i="1"/>
  <c r="K263" i="4" s="1"/>
  <c r="BH265" i="1"/>
  <c r="BD265" i="1"/>
  <c r="AZ265" i="1"/>
  <c r="AV265" i="1"/>
  <c r="AP265" i="1"/>
  <c r="AL265" i="1"/>
  <c r="AJ265" i="1"/>
  <c r="AC265" i="1"/>
  <c r="X265" i="1"/>
  <c r="U265" i="1"/>
  <c r="T265" i="1"/>
  <c r="F265" i="1"/>
  <c r="GE264" i="1"/>
  <c r="GB264" i="1"/>
  <c r="FW264" i="1"/>
  <c r="FV264" i="1"/>
  <c r="FS264" i="1"/>
  <c r="FO264" i="1"/>
  <c r="FJ264" i="1"/>
  <c r="FF264" i="1"/>
  <c r="FC264" i="1"/>
  <c r="EZ264" i="1"/>
  <c r="ET264" i="1"/>
  <c r="EL264" i="1"/>
  <c r="EI264" i="1"/>
  <c r="EC264" i="1"/>
  <c r="DW264" i="1"/>
  <c r="DS264" i="1"/>
  <c r="DP264" i="1"/>
  <c r="DM264" i="1"/>
  <c r="DI264" i="1"/>
  <c r="DD264" i="1"/>
  <c r="CX264" i="1"/>
  <c r="CP264" i="1"/>
  <c r="CO264" i="1"/>
  <c r="CI264" i="1"/>
  <c r="CC264" i="1"/>
  <c r="BZ264" i="1"/>
  <c r="BV264" i="1"/>
  <c r="BU264" i="1"/>
  <c r="BK264" i="1"/>
  <c r="BH264" i="1"/>
  <c r="BD264" i="1"/>
  <c r="AZ264" i="1"/>
  <c r="AV264" i="1"/>
  <c r="AP264" i="1"/>
  <c r="AL264" i="1"/>
  <c r="AJ264" i="1"/>
  <c r="AC264" i="1"/>
  <c r="X264" i="1"/>
  <c r="U264" i="1"/>
  <c r="T264" i="1"/>
  <c r="F264" i="1"/>
  <c r="GE263" i="1"/>
  <c r="GB263" i="1"/>
  <c r="FW263" i="1"/>
  <c r="FV263" i="1"/>
  <c r="FS263" i="1"/>
  <c r="FO263" i="1"/>
  <c r="FJ263" i="1"/>
  <c r="FF263" i="1"/>
  <c r="FC263" i="1"/>
  <c r="EZ263" i="1"/>
  <c r="ET263" i="1"/>
  <c r="EL263" i="1"/>
  <c r="EI263" i="1"/>
  <c r="EC263" i="1"/>
  <c r="DW263" i="1"/>
  <c r="DS263" i="1"/>
  <c r="DP263" i="1"/>
  <c r="DM263" i="1"/>
  <c r="DI263" i="1"/>
  <c r="DD263" i="1"/>
  <c r="CX263" i="1"/>
  <c r="CP263" i="1"/>
  <c r="CO263" i="1"/>
  <c r="CI263" i="1"/>
  <c r="CC263" i="1"/>
  <c r="BZ263" i="1"/>
  <c r="BV263" i="1"/>
  <c r="BU263" i="1"/>
  <c r="BK263" i="1"/>
  <c r="K261" i="4" s="1"/>
  <c r="BH263" i="1"/>
  <c r="BD263" i="1"/>
  <c r="AZ263" i="1"/>
  <c r="AV263" i="1"/>
  <c r="AP263" i="1"/>
  <c r="AL263" i="1"/>
  <c r="AJ263" i="1"/>
  <c r="AC263" i="1"/>
  <c r="X263" i="1"/>
  <c r="U263" i="1"/>
  <c r="T263" i="1"/>
  <c r="F263" i="1"/>
  <c r="GE262" i="1"/>
  <c r="GB262" i="1"/>
  <c r="FW262" i="1"/>
  <c r="FV262" i="1"/>
  <c r="FS262" i="1"/>
  <c r="FO262" i="1"/>
  <c r="FJ262" i="1"/>
  <c r="FF262" i="1"/>
  <c r="FC262" i="1"/>
  <c r="EZ262" i="1"/>
  <c r="ET262" i="1"/>
  <c r="EL262" i="1"/>
  <c r="EI262" i="1"/>
  <c r="EC262" i="1"/>
  <c r="DW262" i="1"/>
  <c r="DS262" i="1"/>
  <c r="DP262" i="1"/>
  <c r="DM262" i="1"/>
  <c r="DI262" i="1"/>
  <c r="DD262" i="1"/>
  <c r="CX262" i="1"/>
  <c r="CP262" i="1"/>
  <c r="CO262" i="1"/>
  <c r="CI262" i="1"/>
  <c r="CC262" i="1"/>
  <c r="BZ262" i="1"/>
  <c r="BV262" i="1"/>
  <c r="BU262" i="1"/>
  <c r="BK262" i="1"/>
  <c r="K260" i="4" s="1"/>
  <c r="BH262" i="1"/>
  <c r="BD262" i="1"/>
  <c r="AZ262" i="1"/>
  <c r="AV262" i="1"/>
  <c r="AP262" i="1"/>
  <c r="AL262" i="1"/>
  <c r="AJ262" i="1"/>
  <c r="AC262" i="1"/>
  <c r="X262" i="1"/>
  <c r="U262" i="1"/>
  <c r="T262" i="1"/>
  <c r="F262" i="1"/>
  <c r="GE261" i="1"/>
  <c r="GB261" i="1"/>
  <c r="FW261" i="1"/>
  <c r="FV261" i="1"/>
  <c r="FS261" i="1"/>
  <c r="FO261" i="1"/>
  <c r="FJ261" i="1"/>
  <c r="FF261" i="1"/>
  <c r="FC261" i="1"/>
  <c r="EZ261" i="1"/>
  <c r="ET261" i="1"/>
  <c r="EL261" i="1"/>
  <c r="EI261" i="1"/>
  <c r="EC261" i="1"/>
  <c r="DW261" i="1"/>
  <c r="DS261" i="1"/>
  <c r="DP261" i="1"/>
  <c r="DM261" i="1"/>
  <c r="DI261" i="1"/>
  <c r="DD261" i="1"/>
  <c r="CX261" i="1"/>
  <c r="CP261" i="1"/>
  <c r="CO261" i="1"/>
  <c r="CI261" i="1"/>
  <c r="CC261" i="1"/>
  <c r="BZ261" i="1"/>
  <c r="BV261" i="1"/>
  <c r="BU261" i="1"/>
  <c r="BK261" i="1"/>
  <c r="K259" i="4" s="1"/>
  <c r="BH261" i="1"/>
  <c r="BD261" i="1"/>
  <c r="AZ261" i="1"/>
  <c r="AV261" i="1"/>
  <c r="AP261" i="1"/>
  <c r="AL261" i="1"/>
  <c r="AJ261" i="1"/>
  <c r="AC261" i="1"/>
  <c r="X261" i="1"/>
  <c r="U261" i="1"/>
  <c r="T261" i="1"/>
  <c r="F261" i="1"/>
  <c r="GE260" i="1"/>
  <c r="GB260" i="1"/>
  <c r="FW260" i="1"/>
  <c r="FV260" i="1"/>
  <c r="FS260" i="1"/>
  <c r="FO260" i="1"/>
  <c r="FJ260" i="1"/>
  <c r="FF260" i="1"/>
  <c r="FC260" i="1"/>
  <c r="EZ260" i="1"/>
  <c r="ET260" i="1"/>
  <c r="EL260" i="1"/>
  <c r="EI260" i="1"/>
  <c r="EC260" i="1"/>
  <c r="DW260" i="1"/>
  <c r="DS260" i="1"/>
  <c r="DP260" i="1"/>
  <c r="DM260" i="1"/>
  <c r="DI260" i="1"/>
  <c r="DD260" i="1"/>
  <c r="CX260" i="1"/>
  <c r="CP260" i="1"/>
  <c r="CO260" i="1"/>
  <c r="CI260" i="1"/>
  <c r="CC260" i="1"/>
  <c r="BZ260" i="1"/>
  <c r="BV260" i="1"/>
  <c r="BU260" i="1"/>
  <c r="BK260" i="1"/>
  <c r="K258" i="4" s="1"/>
  <c r="BH260" i="1"/>
  <c r="BD260" i="1"/>
  <c r="AZ260" i="1"/>
  <c r="AV260" i="1"/>
  <c r="AP260" i="1"/>
  <c r="AL260" i="1"/>
  <c r="AJ260" i="1"/>
  <c r="AC260" i="1"/>
  <c r="X260" i="1"/>
  <c r="U260" i="1"/>
  <c r="T260" i="1"/>
  <c r="F260" i="1"/>
  <c r="GE259" i="1"/>
  <c r="GB259" i="1"/>
  <c r="FW259" i="1"/>
  <c r="FV259" i="1"/>
  <c r="FS259" i="1"/>
  <c r="FO259" i="1"/>
  <c r="FJ259" i="1"/>
  <c r="FF259" i="1"/>
  <c r="FC259" i="1"/>
  <c r="EZ259" i="1"/>
  <c r="ET259" i="1"/>
  <c r="EL259" i="1"/>
  <c r="EI259" i="1"/>
  <c r="EC259" i="1"/>
  <c r="DW259" i="1"/>
  <c r="DS259" i="1"/>
  <c r="DP259" i="1"/>
  <c r="DM259" i="1"/>
  <c r="DI259" i="1"/>
  <c r="DD259" i="1"/>
  <c r="CX259" i="1"/>
  <c r="CP259" i="1"/>
  <c r="CO259" i="1"/>
  <c r="CI259" i="1"/>
  <c r="CC259" i="1"/>
  <c r="BZ259" i="1"/>
  <c r="BV259" i="1"/>
  <c r="BU259" i="1"/>
  <c r="BK259" i="1"/>
  <c r="K257" i="4" s="1"/>
  <c r="BH259" i="1"/>
  <c r="BD259" i="1"/>
  <c r="AZ259" i="1"/>
  <c r="AV259" i="1"/>
  <c r="AP259" i="1"/>
  <c r="AL259" i="1"/>
  <c r="AJ259" i="1"/>
  <c r="AC259" i="1"/>
  <c r="X259" i="1"/>
  <c r="U259" i="1"/>
  <c r="T259" i="1"/>
  <c r="F259" i="1"/>
  <c r="GE258" i="1"/>
  <c r="GB258" i="1"/>
  <c r="FW258" i="1"/>
  <c r="FV258" i="1"/>
  <c r="FS258" i="1"/>
  <c r="FO258" i="1"/>
  <c r="FJ258" i="1"/>
  <c r="FF258" i="1"/>
  <c r="FC258" i="1"/>
  <c r="EZ258" i="1"/>
  <c r="ET258" i="1"/>
  <c r="EL258" i="1"/>
  <c r="EI258" i="1"/>
  <c r="EC258" i="1"/>
  <c r="DW258" i="1"/>
  <c r="DS258" i="1"/>
  <c r="DP258" i="1"/>
  <c r="DM258" i="1"/>
  <c r="DI258" i="1"/>
  <c r="DD258" i="1"/>
  <c r="CX258" i="1"/>
  <c r="CP258" i="1"/>
  <c r="CO258" i="1"/>
  <c r="CI258" i="1"/>
  <c r="CC258" i="1"/>
  <c r="BZ258" i="1"/>
  <c r="BV258" i="1"/>
  <c r="BU258" i="1"/>
  <c r="BK258" i="1"/>
  <c r="BH258" i="1"/>
  <c r="BD258" i="1"/>
  <c r="AZ258" i="1"/>
  <c r="AV258" i="1"/>
  <c r="AP258" i="1"/>
  <c r="AL258" i="1"/>
  <c r="AJ258" i="1"/>
  <c r="AC258" i="1"/>
  <c r="X258" i="1"/>
  <c r="U258" i="1"/>
  <c r="T258" i="1"/>
  <c r="F258" i="1"/>
  <c r="GE257" i="1"/>
  <c r="GB257" i="1"/>
  <c r="FW257" i="1"/>
  <c r="FV257" i="1"/>
  <c r="FS257" i="1"/>
  <c r="FO257" i="1"/>
  <c r="FJ257" i="1"/>
  <c r="FF257" i="1"/>
  <c r="FC257" i="1"/>
  <c r="EZ257" i="1"/>
  <c r="ET257" i="1"/>
  <c r="EL257" i="1"/>
  <c r="EI257" i="1"/>
  <c r="EC257" i="1"/>
  <c r="DW257" i="1"/>
  <c r="DS257" i="1"/>
  <c r="DP257" i="1"/>
  <c r="DM257" i="1"/>
  <c r="DI257" i="1"/>
  <c r="DD257" i="1"/>
  <c r="CX257" i="1"/>
  <c r="CP257" i="1"/>
  <c r="CO257" i="1"/>
  <c r="CI257" i="1"/>
  <c r="CC257" i="1"/>
  <c r="BZ257" i="1"/>
  <c r="BV257" i="1"/>
  <c r="BU257" i="1"/>
  <c r="BK257" i="1"/>
  <c r="K255" i="4" s="1"/>
  <c r="BH257" i="1"/>
  <c r="BD257" i="1"/>
  <c r="AZ257" i="1"/>
  <c r="AV257" i="1"/>
  <c r="AP257" i="1"/>
  <c r="AL257" i="1"/>
  <c r="AJ257" i="1"/>
  <c r="AC257" i="1"/>
  <c r="X257" i="1"/>
  <c r="U257" i="1"/>
  <c r="T257" i="1"/>
  <c r="F257" i="1"/>
  <c r="GE256" i="1"/>
  <c r="GB256" i="1"/>
  <c r="FW256" i="1"/>
  <c r="FV256" i="1"/>
  <c r="FS256" i="1"/>
  <c r="FO256" i="1"/>
  <c r="FJ256" i="1"/>
  <c r="FF256" i="1"/>
  <c r="FC256" i="1"/>
  <c r="EZ256" i="1"/>
  <c r="ET256" i="1"/>
  <c r="EL256" i="1"/>
  <c r="EI256" i="1"/>
  <c r="EC256" i="1"/>
  <c r="DW256" i="1"/>
  <c r="DS256" i="1"/>
  <c r="DP256" i="1"/>
  <c r="DM256" i="1"/>
  <c r="DI256" i="1"/>
  <c r="DD256" i="1"/>
  <c r="CX256" i="1"/>
  <c r="CP256" i="1"/>
  <c r="CO256" i="1"/>
  <c r="CI256" i="1"/>
  <c r="CC256" i="1"/>
  <c r="BZ256" i="1"/>
  <c r="BV256" i="1"/>
  <c r="BU256" i="1"/>
  <c r="BK256" i="1"/>
  <c r="K254" i="4" s="1"/>
  <c r="BH256" i="1"/>
  <c r="BD256" i="1"/>
  <c r="AZ256" i="1"/>
  <c r="AV256" i="1"/>
  <c r="AP256" i="1"/>
  <c r="AL256" i="1"/>
  <c r="AJ256" i="1"/>
  <c r="AC256" i="1"/>
  <c r="X256" i="1"/>
  <c r="U256" i="1"/>
  <c r="T256" i="1"/>
  <c r="F256" i="1"/>
  <c r="GE255" i="1"/>
  <c r="GB255" i="1"/>
  <c r="FW255" i="1"/>
  <c r="FV255" i="1"/>
  <c r="FS255" i="1"/>
  <c r="FO255" i="1"/>
  <c r="FJ255" i="1"/>
  <c r="FF255" i="1"/>
  <c r="FC255" i="1"/>
  <c r="EZ255" i="1"/>
  <c r="ET255" i="1"/>
  <c r="EL255" i="1"/>
  <c r="EI255" i="1"/>
  <c r="EC255" i="1"/>
  <c r="DW255" i="1"/>
  <c r="DS255" i="1"/>
  <c r="DP255" i="1"/>
  <c r="DM255" i="1"/>
  <c r="DI255" i="1"/>
  <c r="DD255" i="1"/>
  <c r="CX255" i="1"/>
  <c r="CP255" i="1"/>
  <c r="CO255" i="1"/>
  <c r="CI255" i="1"/>
  <c r="CC255" i="1"/>
  <c r="BZ255" i="1"/>
  <c r="BV255" i="1"/>
  <c r="BU255" i="1"/>
  <c r="BK255" i="1"/>
  <c r="BH255" i="1"/>
  <c r="BD255" i="1"/>
  <c r="AZ255" i="1"/>
  <c r="AV255" i="1"/>
  <c r="AP255" i="1"/>
  <c r="AL255" i="1"/>
  <c r="AJ255" i="1"/>
  <c r="AC255" i="1"/>
  <c r="X255" i="1"/>
  <c r="U255" i="1"/>
  <c r="T255" i="1"/>
  <c r="F255" i="1"/>
  <c r="GE254" i="1"/>
  <c r="GB254" i="1"/>
  <c r="FW254" i="1"/>
  <c r="FV254" i="1"/>
  <c r="FS254" i="1"/>
  <c r="FO254" i="1"/>
  <c r="FJ254" i="1"/>
  <c r="FF254" i="1"/>
  <c r="FC254" i="1"/>
  <c r="EZ254" i="1"/>
  <c r="ET254" i="1"/>
  <c r="EL254" i="1"/>
  <c r="EI254" i="1"/>
  <c r="EC254" i="1"/>
  <c r="DW254" i="1"/>
  <c r="DS254" i="1"/>
  <c r="DP254" i="1"/>
  <c r="DM254" i="1"/>
  <c r="DI254" i="1"/>
  <c r="DD254" i="1"/>
  <c r="CX254" i="1"/>
  <c r="CP254" i="1"/>
  <c r="CO254" i="1"/>
  <c r="CI254" i="1"/>
  <c r="CC254" i="1"/>
  <c r="BZ254" i="1"/>
  <c r="BV254" i="1"/>
  <c r="BU254" i="1"/>
  <c r="BK254" i="1"/>
  <c r="BH254" i="1"/>
  <c r="BD254" i="1"/>
  <c r="AZ254" i="1"/>
  <c r="AV254" i="1"/>
  <c r="AP254" i="1"/>
  <c r="AL254" i="1"/>
  <c r="AJ254" i="1"/>
  <c r="AC254" i="1"/>
  <c r="X254" i="1"/>
  <c r="U254" i="1"/>
  <c r="T254" i="1"/>
  <c r="F254" i="1"/>
  <c r="GE253" i="1"/>
  <c r="GB253" i="1"/>
  <c r="FW253" i="1"/>
  <c r="FV253" i="1"/>
  <c r="FS253" i="1"/>
  <c r="FO253" i="1"/>
  <c r="FJ253" i="1"/>
  <c r="FF253" i="1"/>
  <c r="FC253" i="1"/>
  <c r="EZ253" i="1"/>
  <c r="ET253" i="1"/>
  <c r="EL253" i="1"/>
  <c r="EI253" i="1"/>
  <c r="EC253" i="1"/>
  <c r="DW253" i="1"/>
  <c r="DS253" i="1"/>
  <c r="DP253" i="1"/>
  <c r="DM253" i="1"/>
  <c r="DI253" i="1"/>
  <c r="DD253" i="1"/>
  <c r="CX253" i="1"/>
  <c r="CP253" i="1"/>
  <c r="CO253" i="1"/>
  <c r="CI253" i="1"/>
  <c r="CC253" i="1"/>
  <c r="BZ253" i="1"/>
  <c r="BV253" i="1"/>
  <c r="BU253" i="1"/>
  <c r="BK253" i="1"/>
  <c r="K251" i="4" s="1"/>
  <c r="BH253" i="1"/>
  <c r="BD253" i="1"/>
  <c r="AZ253" i="1"/>
  <c r="AV253" i="1"/>
  <c r="AP253" i="1"/>
  <c r="AL253" i="1"/>
  <c r="AJ253" i="1"/>
  <c r="AC253" i="1"/>
  <c r="X253" i="1"/>
  <c r="U253" i="1"/>
  <c r="T253" i="1"/>
  <c r="F253" i="1"/>
  <c r="GE252" i="1"/>
  <c r="GB252" i="1"/>
  <c r="FW252" i="1"/>
  <c r="FV252" i="1"/>
  <c r="FS252" i="1"/>
  <c r="FO252" i="1"/>
  <c r="FJ252" i="1"/>
  <c r="FF252" i="1"/>
  <c r="FC252" i="1"/>
  <c r="EZ252" i="1"/>
  <c r="ET252" i="1"/>
  <c r="EL252" i="1"/>
  <c r="EI252" i="1"/>
  <c r="EC252" i="1"/>
  <c r="DW252" i="1"/>
  <c r="DS252" i="1"/>
  <c r="DP252" i="1"/>
  <c r="DM252" i="1"/>
  <c r="DI252" i="1"/>
  <c r="DD252" i="1"/>
  <c r="CX252" i="1"/>
  <c r="CP252" i="1"/>
  <c r="CO252" i="1"/>
  <c r="CI252" i="1"/>
  <c r="CC252" i="1"/>
  <c r="BZ252" i="1"/>
  <c r="BV252" i="1"/>
  <c r="BU252" i="1"/>
  <c r="BK252" i="1"/>
  <c r="K250" i="4" s="1"/>
  <c r="BH252" i="1"/>
  <c r="BD252" i="1"/>
  <c r="AZ252" i="1"/>
  <c r="AV252" i="1"/>
  <c r="AP252" i="1"/>
  <c r="AL252" i="1"/>
  <c r="AJ252" i="1"/>
  <c r="AC252" i="1"/>
  <c r="X252" i="1"/>
  <c r="U252" i="1"/>
  <c r="T252" i="1"/>
  <c r="F252" i="1"/>
  <c r="GE251" i="1"/>
  <c r="GB251" i="1"/>
  <c r="FW251" i="1"/>
  <c r="FV251" i="1"/>
  <c r="FS251" i="1"/>
  <c r="FO251" i="1"/>
  <c r="FJ251" i="1"/>
  <c r="FF251" i="1"/>
  <c r="FC251" i="1"/>
  <c r="EZ251" i="1"/>
  <c r="ET251" i="1"/>
  <c r="EL251" i="1"/>
  <c r="EI251" i="1"/>
  <c r="EC251" i="1"/>
  <c r="DW251" i="1"/>
  <c r="DS251" i="1"/>
  <c r="DP251" i="1"/>
  <c r="DM251" i="1"/>
  <c r="DI251" i="1"/>
  <c r="DD251" i="1"/>
  <c r="CX251" i="1"/>
  <c r="CP251" i="1"/>
  <c r="CO251" i="1"/>
  <c r="CI251" i="1"/>
  <c r="CC251" i="1"/>
  <c r="BZ251" i="1"/>
  <c r="BV251" i="1"/>
  <c r="BU251" i="1"/>
  <c r="BK251" i="1"/>
  <c r="K249" i="4" s="1"/>
  <c r="BH251" i="1"/>
  <c r="BD251" i="1"/>
  <c r="AZ251" i="1"/>
  <c r="AV251" i="1"/>
  <c r="AP251" i="1"/>
  <c r="AL251" i="1"/>
  <c r="AJ251" i="1"/>
  <c r="AC251" i="1"/>
  <c r="X251" i="1"/>
  <c r="U251" i="1"/>
  <c r="T251" i="1"/>
  <c r="F251" i="1"/>
  <c r="GE250" i="1"/>
  <c r="GB250" i="1"/>
  <c r="FW250" i="1"/>
  <c r="FV250" i="1"/>
  <c r="FS250" i="1"/>
  <c r="FO250" i="1"/>
  <c r="FJ250" i="1"/>
  <c r="FF250" i="1"/>
  <c r="FC250" i="1"/>
  <c r="EZ250" i="1"/>
  <c r="ET250" i="1"/>
  <c r="EL250" i="1"/>
  <c r="EI250" i="1"/>
  <c r="EC250" i="1"/>
  <c r="DW250" i="1"/>
  <c r="DS250" i="1"/>
  <c r="DP250" i="1"/>
  <c r="DM250" i="1"/>
  <c r="DI250" i="1"/>
  <c r="DD250" i="1"/>
  <c r="CX250" i="1"/>
  <c r="CP250" i="1"/>
  <c r="CO250" i="1"/>
  <c r="CI250" i="1"/>
  <c r="CC250" i="1"/>
  <c r="BZ250" i="1"/>
  <c r="BV250" i="1"/>
  <c r="BU250" i="1"/>
  <c r="BK250" i="1"/>
  <c r="BH250" i="1"/>
  <c r="BD250" i="1"/>
  <c r="AZ250" i="1"/>
  <c r="AV250" i="1"/>
  <c r="AP250" i="1"/>
  <c r="AL250" i="1"/>
  <c r="AJ250" i="1"/>
  <c r="AC250" i="1"/>
  <c r="X250" i="1"/>
  <c r="U250" i="1"/>
  <c r="T250" i="1"/>
  <c r="F250" i="1"/>
  <c r="GE249" i="1"/>
  <c r="GB249" i="1"/>
  <c r="FW249" i="1"/>
  <c r="FV249" i="1"/>
  <c r="FS249" i="1"/>
  <c r="FO249" i="1"/>
  <c r="FJ249" i="1"/>
  <c r="FF249" i="1"/>
  <c r="FC249" i="1"/>
  <c r="EZ249" i="1"/>
  <c r="ET249" i="1"/>
  <c r="EL249" i="1"/>
  <c r="EI249" i="1"/>
  <c r="EC249" i="1"/>
  <c r="DW249" i="1"/>
  <c r="DS249" i="1"/>
  <c r="DP249" i="1"/>
  <c r="DM249" i="1"/>
  <c r="DI249" i="1"/>
  <c r="DD249" i="1"/>
  <c r="CX249" i="1"/>
  <c r="CP249" i="1"/>
  <c r="CO249" i="1"/>
  <c r="CI249" i="1"/>
  <c r="CC249" i="1"/>
  <c r="BZ249" i="1"/>
  <c r="BV249" i="1"/>
  <c r="BU249" i="1"/>
  <c r="BK249" i="1"/>
  <c r="K247" i="4" s="1"/>
  <c r="BH249" i="1"/>
  <c r="BD249" i="1"/>
  <c r="AZ249" i="1"/>
  <c r="AV249" i="1"/>
  <c r="AP249" i="1"/>
  <c r="AL249" i="1"/>
  <c r="AJ249" i="1"/>
  <c r="AC249" i="1"/>
  <c r="X249" i="1"/>
  <c r="U249" i="1"/>
  <c r="T249" i="1"/>
  <c r="F249" i="1"/>
  <c r="GE248" i="1"/>
  <c r="GB248" i="1"/>
  <c r="FW248" i="1"/>
  <c r="FV248" i="1"/>
  <c r="FS248" i="1"/>
  <c r="FO248" i="1"/>
  <c r="FJ248" i="1"/>
  <c r="FF248" i="1"/>
  <c r="FC248" i="1"/>
  <c r="EZ248" i="1"/>
  <c r="ET248" i="1"/>
  <c r="EL248" i="1"/>
  <c r="EI248" i="1"/>
  <c r="EC248" i="1"/>
  <c r="DW248" i="1"/>
  <c r="DS248" i="1"/>
  <c r="DP248" i="1"/>
  <c r="DM248" i="1"/>
  <c r="DI248" i="1"/>
  <c r="DD248" i="1"/>
  <c r="CX248" i="1"/>
  <c r="CP248" i="1"/>
  <c r="CO248" i="1"/>
  <c r="CI248" i="1"/>
  <c r="CC248" i="1"/>
  <c r="BZ248" i="1"/>
  <c r="BV248" i="1"/>
  <c r="BU248" i="1"/>
  <c r="BK248" i="1"/>
  <c r="BH248" i="1"/>
  <c r="BD248" i="1"/>
  <c r="AZ248" i="1"/>
  <c r="AV248" i="1"/>
  <c r="AP248" i="1"/>
  <c r="AL248" i="1"/>
  <c r="AJ248" i="1"/>
  <c r="AC248" i="1"/>
  <c r="X248" i="1"/>
  <c r="U248" i="1"/>
  <c r="T248" i="1"/>
  <c r="F248" i="1"/>
  <c r="GE247" i="1"/>
  <c r="GB247" i="1"/>
  <c r="FW247" i="1"/>
  <c r="FV247" i="1"/>
  <c r="FS247" i="1"/>
  <c r="FO247" i="1"/>
  <c r="FJ247" i="1"/>
  <c r="FF247" i="1"/>
  <c r="FC247" i="1"/>
  <c r="EZ247" i="1"/>
  <c r="ET247" i="1"/>
  <c r="EL247" i="1"/>
  <c r="EI247" i="1"/>
  <c r="EC247" i="1"/>
  <c r="DW247" i="1"/>
  <c r="DS247" i="1"/>
  <c r="DP247" i="1"/>
  <c r="DM247" i="1"/>
  <c r="DI247" i="1"/>
  <c r="DD247" i="1"/>
  <c r="CX247" i="1"/>
  <c r="CP247" i="1"/>
  <c r="CO247" i="1"/>
  <c r="CI247" i="1"/>
  <c r="CC247" i="1"/>
  <c r="BZ247" i="1"/>
  <c r="BV247" i="1"/>
  <c r="BU247" i="1"/>
  <c r="BK247" i="1"/>
  <c r="K245" i="4" s="1"/>
  <c r="BH247" i="1"/>
  <c r="BD247" i="1"/>
  <c r="AZ247" i="1"/>
  <c r="AV247" i="1"/>
  <c r="AP247" i="1"/>
  <c r="AL247" i="1"/>
  <c r="AJ247" i="1"/>
  <c r="AC247" i="1"/>
  <c r="X247" i="1"/>
  <c r="U247" i="1"/>
  <c r="T247" i="1"/>
  <c r="F247" i="1"/>
  <c r="GE246" i="1"/>
  <c r="GB246" i="1"/>
  <c r="FW246" i="1"/>
  <c r="FV246" i="1"/>
  <c r="FS246" i="1"/>
  <c r="FO246" i="1"/>
  <c r="FJ246" i="1"/>
  <c r="FF246" i="1"/>
  <c r="FC246" i="1"/>
  <c r="EZ246" i="1"/>
  <c r="ET246" i="1"/>
  <c r="EL246" i="1"/>
  <c r="EI246" i="1"/>
  <c r="EC246" i="1"/>
  <c r="DW246" i="1"/>
  <c r="DS246" i="1"/>
  <c r="DP246" i="1"/>
  <c r="DM246" i="1"/>
  <c r="DI246" i="1"/>
  <c r="DD246" i="1"/>
  <c r="CX246" i="1"/>
  <c r="CP246" i="1"/>
  <c r="CO246" i="1"/>
  <c r="CI246" i="1"/>
  <c r="CC246" i="1"/>
  <c r="BZ246" i="1"/>
  <c r="BV246" i="1"/>
  <c r="BU246" i="1"/>
  <c r="BK246" i="1"/>
  <c r="K244" i="4" s="1"/>
  <c r="BH246" i="1"/>
  <c r="BD246" i="1"/>
  <c r="AZ246" i="1"/>
  <c r="AV246" i="1"/>
  <c r="AP246" i="1"/>
  <c r="AL246" i="1"/>
  <c r="AJ246" i="1"/>
  <c r="AC246" i="1"/>
  <c r="X246" i="1"/>
  <c r="U246" i="1"/>
  <c r="T246" i="1"/>
  <c r="F246" i="1"/>
  <c r="GE245" i="1"/>
  <c r="GB245" i="1"/>
  <c r="FW245" i="1"/>
  <c r="FV245" i="1"/>
  <c r="FS245" i="1"/>
  <c r="FO245" i="1"/>
  <c r="FJ245" i="1"/>
  <c r="FF245" i="1"/>
  <c r="FC245" i="1"/>
  <c r="EZ245" i="1"/>
  <c r="ET245" i="1"/>
  <c r="EL245" i="1"/>
  <c r="EI245" i="1"/>
  <c r="EC245" i="1"/>
  <c r="DW245" i="1"/>
  <c r="DS245" i="1"/>
  <c r="DP245" i="1"/>
  <c r="DM245" i="1"/>
  <c r="DI245" i="1"/>
  <c r="DD245" i="1"/>
  <c r="CX245" i="1"/>
  <c r="CP245" i="1"/>
  <c r="CO245" i="1"/>
  <c r="CI245" i="1"/>
  <c r="CC245" i="1"/>
  <c r="BZ245" i="1"/>
  <c r="BV245" i="1"/>
  <c r="BU245" i="1"/>
  <c r="BK245" i="1"/>
  <c r="K243" i="4" s="1"/>
  <c r="BH245" i="1"/>
  <c r="BD245" i="1"/>
  <c r="AZ245" i="1"/>
  <c r="AV245" i="1"/>
  <c r="AP245" i="1"/>
  <c r="AL245" i="1"/>
  <c r="AJ245" i="1"/>
  <c r="AC245" i="1"/>
  <c r="X245" i="1"/>
  <c r="U245" i="1"/>
  <c r="T245" i="1"/>
  <c r="F245" i="1"/>
  <c r="GE244" i="1"/>
  <c r="GB244" i="1"/>
  <c r="FW244" i="1"/>
  <c r="FV244" i="1"/>
  <c r="FS244" i="1"/>
  <c r="FO244" i="1"/>
  <c r="FJ244" i="1"/>
  <c r="FF244" i="1"/>
  <c r="FC244" i="1"/>
  <c r="EZ244" i="1"/>
  <c r="ET244" i="1"/>
  <c r="EL244" i="1"/>
  <c r="EI244" i="1"/>
  <c r="EC244" i="1"/>
  <c r="DW244" i="1"/>
  <c r="DS244" i="1"/>
  <c r="DP244" i="1"/>
  <c r="DM244" i="1"/>
  <c r="DI244" i="1"/>
  <c r="DD244" i="1"/>
  <c r="CX244" i="1"/>
  <c r="CP244" i="1"/>
  <c r="CO244" i="1"/>
  <c r="CI244" i="1"/>
  <c r="CC244" i="1"/>
  <c r="BZ244" i="1"/>
  <c r="BV244" i="1"/>
  <c r="BU244" i="1"/>
  <c r="BK244" i="1"/>
  <c r="BH244" i="1"/>
  <c r="BD244" i="1"/>
  <c r="AZ244" i="1"/>
  <c r="AV244" i="1"/>
  <c r="AP244" i="1"/>
  <c r="AL244" i="1"/>
  <c r="AJ244" i="1"/>
  <c r="AC244" i="1"/>
  <c r="X244" i="1"/>
  <c r="U244" i="1"/>
  <c r="T244" i="1"/>
  <c r="F244" i="1"/>
  <c r="GE243" i="1"/>
  <c r="GB243" i="1"/>
  <c r="FW243" i="1"/>
  <c r="FV243" i="1"/>
  <c r="FS243" i="1"/>
  <c r="FO243" i="1"/>
  <c r="FJ243" i="1"/>
  <c r="FF243" i="1"/>
  <c r="FC243" i="1"/>
  <c r="EZ243" i="1"/>
  <c r="ET243" i="1"/>
  <c r="EL243" i="1"/>
  <c r="EI243" i="1"/>
  <c r="EC243" i="1"/>
  <c r="DW243" i="1"/>
  <c r="DS243" i="1"/>
  <c r="DP243" i="1"/>
  <c r="DM243" i="1"/>
  <c r="DI243" i="1"/>
  <c r="DD243" i="1"/>
  <c r="CX243" i="1"/>
  <c r="CP243" i="1"/>
  <c r="CO243" i="1"/>
  <c r="CI243" i="1"/>
  <c r="CC243" i="1"/>
  <c r="BZ243" i="1"/>
  <c r="BV243" i="1"/>
  <c r="BU243" i="1"/>
  <c r="BK243" i="1"/>
  <c r="K241" i="4" s="1"/>
  <c r="BH243" i="1"/>
  <c r="BD243" i="1"/>
  <c r="AZ243" i="1"/>
  <c r="AV243" i="1"/>
  <c r="AP243" i="1"/>
  <c r="AL243" i="1"/>
  <c r="AJ243" i="1"/>
  <c r="AC243" i="1"/>
  <c r="X243" i="1"/>
  <c r="U243" i="1"/>
  <c r="T243" i="1"/>
  <c r="F243" i="1"/>
  <c r="GE242" i="1"/>
  <c r="GB242" i="1"/>
  <c r="FW242" i="1"/>
  <c r="FV242" i="1"/>
  <c r="FS242" i="1"/>
  <c r="FO242" i="1"/>
  <c r="FJ242" i="1"/>
  <c r="FF242" i="1"/>
  <c r="FC242" i="1"/>
  <c r="EZ242" i="1"/>
  <c r="ET242" i="1"/>
  <c r="EL242" i="1"/>
  <c r="EI242" i="1"/>
  <c r="EC242" i="1"/>
  <c r="DW242" i="1"/>
  <c r="DS242" i="1"/>
  <c r="DP242" i="1"/>
  <c r="DM242" i="1"/>
  <c r="DI242" i="1"/>
  <c r="DD242" i="1"/>
  <c r="CX242" i="1"/>
  <c r="CP242" i="1"/>
  <c r="CO242" i="1"/>
  <c r="CI242" i="1"/>
  <c r="CC242" i="1"/>
  <c r="BZ242" i="1"/>
  <c r="BV242" i="1"/>
  <c r="BU242" i="1"/>
  <c r="BK242" i="1"/>
  <c r="K240" i="4" s="1"/>
  <c r="BH242" i="1"/>
  <c r="BD242" i="1"/>
  <c r="AZ242" i="1"/>
  <c r="AV242" i="1"/>
  <c r="AP242" i="1"/>
  <c r="AL242" i="1"/>
  <c r="AJ242" i="1"/>
  <c r="AC242" i="1"/>
  <c r="X242" i="1"/>
  <c r="U242" i="1"/>
  <c r="T242" i="1"/>
  <c r="F242" i="1"/>
  <c r="GE241" i="1"/>
  <c r="GB241" i="1"/>
  <c r="FW241" i="1"/>
  <c r="FV241" i="1"/>
  <c r="FS241" i="1"/>
  <c r="FO241" i="1"/>
  <c r="FJ241" i="1"/>
  <c r="FF241" i="1"/>
  <c r="FC241" i="1"/>
  <c r="EZ241" i="1"/>
  <c r="ET241" i="1"/>
  <c r="EL241" i="1"/>
  <c r="EI241" i="1"/>
  <c r="EC241" i="1"/>
  <c r="DW241" i="1"/>
  <c r="DS241" i="1"/>
  <c r="DP241" i="1"/>
  <c r="DM241" i="1"/>
  <c r="DI241" i="1"/>
  <c r="DD241" i="1"/>
  <c r="CX241" i="1"/>
  <c r="CP241" i="1"/>
  <c r="CO241" i="1"/>
  <c r="CI241" i="1"/>
  <c r="CC241" i="1"/>
  <c r="BZ241" i="1"/>
  <c r="BV241" i="1"/>
  <c r="BU241" i="1"/>
  <c r="BK241" i="1"/>
  <c r="K239" i="4" s="1"/>
  <c r="BH241" i="1"/>
  <c r="BD241" i="1"/>
  <c r="AZ241" i="1"/>
  <c r="AV241" i="1"/>
  <c r="AP241" i="1"/>
  <c r="AL241" i="1"/>
  <c r="AJ241" i="1"/>
  <c r="AC241" i="1"/>
  <c r="X241" i="1"/>
  <c r="U241" i="1"/>
  <c r="T241" i="1"/>
  <c r="F241" i="1"/>
  <c r="GE240" i="1"/>
  <c r="GB240" i="1"/>
  <c r="FW240" i="1"/>
  <c r="FV240" i="1"/>
  <c r="FS240" i="1"/>
  <c r="FO240" i="1"/>
  <c r="FJ240" i="1"/>
  <c r="FF240" i="1"/>
  <c r="FC240" i="1"/>
  <c r="EZ240" i="1"/>
  <c r="ET240" i="1"/>
  <c r="EL240" i="1"/>
  <c r="EI240" i="1"/>
  <c r="EC240" i="1"/>
  <c r="DW240" i="1"/>
  <c r="DS240" i="1"/>
  <c r="DP240" i="1"/>
  <c r="DM240" i="1"/>
  <c r="DI240" i="1"/>
  <c r="DD240" i="1"/>
  <c r="CX240" i="1"/>
  <c r="CP240" i="1"/>
  <c r="CO240" i="1"/>
  <c r="CI240" i="1"/>
  <c r="CC240" i="1"/>
  <c r="BZ240" i="1"/>
  <c r="BV240" i="1"/>
  <c r="BU240" i="1"/>
  <c r="BK240" i="1"/>
  <c r="BH240" i="1"/>
  <c r="BD240" i="1"/>
  <c r="AZ240" i="1"/>
  <c r="AV240" i="1"/>
  <c r="AP240" i="1"/>
  <c r="AL240" i="1"/>
  <c r="AJ240" i="1"/>
  <c r="AC240" i="1"/>
  <c r="X240" i="1"/>
  <c r="U240" i="1"/>
  <c r="T240" i="1"/>
  <c r="F240" i="1"/>
  <c r="GE239" i="1"/>
  <c r="GB239" i="1"/>
  <c r="FW239" i="1"/>
  <c r="FV239" i="1"/>
  <c r="FS239" i="1"/>
  <c r="FO239" i="1"/>
  <c r="FJ239" i="1"/>
  <c r="FF239" i="1"/>
  <c r="FC239" i="1"/>
  <c r="EZ239" i="1"/>
  <c r="ET239" i="1"/>
  <c r="EL239" i="1"/>
  <c r="EI239" i="1"/>
  <c r="EC239" i="1"/>
  <c r="DW239" i="1"/>
  <c r="DS239" i="1"/>
  <c r="DP239" i="1"/>
  <c r="DM239" i="1"/>
  <c r="DI239" i="1"/>
  <c r="DD239" i="1"/>
  <c r="CX239" i="1"/>
  <c r="CP239" i="1"/>
  <c r="CO239" i="1"/>
  <c r="CI239" i="1"/>
  <c r="CC239" i="1"/>
  <c r="BZ239" i="1"/>
  <c r="BV239" i="1"/>
  <c r="BU239" i="1"/>
  <c r="BK239" i="1"/>
  <c r="K237" i="4" s="1"/>
  <c r="BH239" i="1"/>
  <c r="BD239" i="1"/>
  <c r="AZ239" i="1"/>
  <c r="AV239" i="1"/>
  <c r="AP239" i="1"/>
  <c r="AL239" i="1"/>
  <c r="AJ239" i="1"/>
  <c r="AC239" i="1"/>
  <c r="X239" i="1"/>
  <c r="U239" i="1"/>
  <c r="T239" i="1"/>
  <c r="F239" i="1"/>
  <c r="GE238" i="1"/>
  <c r="GB238" i="1"/>
  <c r="FW238" i="1"/>
  <c r="FV238" i="1"/>
  <c r="FS238" i="1"/>
  <c r="FO238" i="1"/>
  <c r="FJ238" i="1"/>
  <c r="FF238" i="1"/>
  <c r="FE238" i="1" s="1"/>
  <c r="FC238" i="1"/>
  <c r="EZ238" i="1"/>
  <c r="ET238" i="1"/>
  <c r="EL238" i="1"/>
  <c r="EI238" i="1"/>
  <c r="EC238" i="1"/>
  <c r="DW238" i="1"/>
  <c r="DS238" i="1"/>
  <c r="DP238" i="1"/>
  <c r="DM238" i="1"/>
  <c r="DI238" i="1"/>
  <c r="DD238" i="1"/>
  <c r="CX238" i="1"/>
  <c r="CP238" i="1"/>
  <c r="CO238" i="1"/>
  <c r="CI238" i="1"/>
  <c r="CC238" i="1"/>
  <c r="BZ238" i="1"/>
  <c r="BV238" i="1"/>
  <c r="BU238" i="1"/>
  <c r="BK238" i="1"/>
  <c r="K236" i="4" s="1"/>
  <c r="BH238" i="1"/>
  <c r="BD238" i="1"/>
  <c r="AZ238" i="1"/>
  <c r="AV238" i="1"/>
  <c r="AP238" i="1"/>
  <c r="AL238" i="1"/>
  <c r="AJ238" i="1"/>
  <c r="AC238" i="1"/>
  <c r="X238" i="1"/>
  <c r="U238" i="1"/>
  <c r="T238" i="1"/>
  <c r="F238" i="1"/>
  <c r="GE237" i="1"/>
  <c r="GB237" i="1"/>
  <c r="FW237" i="1"/>
  <c r="FV237" i="1"/>
  <c r="FS237" i="1"/>
  <c r="FO237" i="1"/>
  <c r="FJ237" i="1"/>
  <c r="FF237" i="1"/>
  <c r="FC237" i="1"/>
  <c r="EZ237" i="1"/>
  <c r="ET237" i="1"/>
  <c r="EL237" i="1"/>
  <c r="EI237" i="1"/>
  <c r="EC237" i="1"/>
  <c r="DW237" i="1"/>
  <c r="DS237" i="1"/>
  <c r="DP237" i="1"/>
  <c r="DM237" i="1"/>
  <c r="DI237" i="1"/>
  <c r="DD237" i="1"/>
  <c r="CX237" i="1"/>
  <c r="CP237" i="1"/>
  <c r="CO237" i="1"/>
  <c r="CI237" i="1"/>
  <c r="CC237" i="1"/>
  <c r="BZ237" i="1"/>
  <c r="BV237" i="1"/>
  <c r="BU237" i="1"/>
  <c r="BK237" i="1"/>
  <c r="K235" i="4" s="1"/>
  <c r="BH237" i="1"/>
  <c r="BD237" i="1"/>
  <c r="AZ237" i="1"/>
  <c r="AV237" i="1"/>
  <c r="AP237" i="1"/>
  <c r="AL237" i="1"/>
  <c r="AJ237" i="1"/>
  <c r="AC237" i="1"/>
  <c r="X237" i="1"/>
  <c r="U237" i="1"/>
  <c r="T237" i="1"/>
  <c r="F237" i="1"/>
  <c r="GE236" i="1"/>
  <c r="GB236" i="1"/>
  <c r="FW236" i="1"/>
  <c r="FV236" i="1"/>
  <c r="FS236" i="1"/>
  <c r="FO236" i="1"/>
  <c r="FJ236" i="1"/>
  <c r="FF236" i="1"/>
  <c r="FC236" i="1"/>
  <c r="EZ236" i="1"/>
  <c r="ET236" i="1"/>
  <c r="EL236" i="1"/>
  <c r="EI236" i="1"/>
  <c r="EC236" i="1"/>
  <c r="DW236" i="1"/>
  <c r="DS236" i="1"/>
  <c r="DP236" i="1"/>
  <c r="DM236" i="1"/>
  <c r="DI236" i="1"/>
  <c r="DD236" i="1"/>
  <c r="CX236" i="1"/>
  <c r="CP236" i="1"/>
  <c r="CO236" i="1"/>
  <c r="CI236" i="1"/>
  <c r="CC236" i="1"/>
  <c r="BZ236" i="1"/>
  <c r="BV236" i="1"/>
  <c r="BU236" i="1"/>
  <c r="BK236" i="1"/>
  <c r="BH236" i="1"/>
  <c r="BD236" i="1"/>
  <c r="AZ236" i="1"/>
  <c r="AV236" i="1"/>
  <c r="AP236" i="1"/>
  <c r="AL236" i="1"/>
  <c r="AJ236" i="1"/>
  <c r="AC236" i="1"/>
  <c r="X236" i="1"/>
  <c r="U236" i="1"/>
  <c r="T236" i="1"/>
  <c r="F236" i="1"/>
  <c r="GE235" i="1"/>
  <c r="GB235" i="1"/>
  <c r="FW235" i="1"/>
  <c r="FV235" i="1"/>
  <c r="FS235" i="1"/>
  <c r="FO235" i="1"/>
  <c r="FJ235" i="1"/>
  <c r="FF235" i="1"/>
  <c r="FC235" i="1"/>
  <c r="EZ235" i="1"/>
  <c r="ET235" i="1"/>
  <c r="EL235" i="1"/>
  <c r="EI235" i="1"/>
  <c r="EC235" i="1"/>
  <c r="DW235" i="1"/>
  <c r="DS235" i="1"/>
  <c r="DP235" i="1"/>
  <c r="DM235" i="1"/>
  <c r="DI235" i="1"/>
  <c r="DD235" i="1"/>
  <c r="CX235" i="1"/>
  <c r="CP235" i="1"/>
  <c r="CO235" i="1"/>
  <c r="CI235" i="1"/>
  <c r="CC235" i="1"/>
  <c r="BZ235" i="1"/>
  <c r="BV235" i="1"/>
  <c r="BU235" i="1"/>
  <c r="BK235" i="1"/>
  <c r="K233" i="4" s="1"/>
  <c r="BH235" i="1"/>
  <c r="BD235" i="1"/>
  <c r="AZ235" i="1"/>
  <c r="AV235" i="1"/>
  <c r="AP235" i="1"/>
  <c r="AL235" i="1"/>
  <c r="AJ235" i="1"/>
  <c r="AC235" i="1"/>
  <c r="X235" i="1"/>
  <c r="U235" i="1"/>
  <c r="T235" i="1"/>
  <c r="F235" i="1"/>
  <c r="GE234" i="1"/>
  <c r="GB234" i="1"/>
  <c r="FW234" i="1"/>
  <c r="FV234" i="1"/>
  <c r="FS234" i="1"/>
  <c r="FO234" i="1"/>
  <c r="FJ234" i="1"/>
  <c r="FF234" i="1"/>
  <c r="FC234" i="1"/>
  <c r="EZ234" i="1"/>
  <c r="ET234" i="1"/>
  <c r="EL234" i="1"/>
  <c r="EI234" i="1"/>
  <c r="EC234" i="1"/>
  <c r="DW234" i="1"/>
  <c r="DS234" i="1"/>
  <c r="DP234" i="1"/>
  <c r="DM234" i="1"/>
  <c r="DI234" i="1"/>
  <c r="DD234" i="1"/>
  <c r="CX234" i="1"/>
  <c r="CP234" i="1"/>
  <c r="CO234" i="1"/>
  <c r="CI234" i="1"/>
  <c r="CC234" i="1"/>
  <c r="BZ234" i="1"/>
  <c r="BV234" i="1"/>
  <c r="BU234" i="1"/>
  <c r="BK234" i="1"/>
  <c r="K232" i="4" s="1"/>
  <c r="BH234" i="1"/>
  <c r="BD234" i="1"/>
  <c r="AZ234" i="1"/>
  <c r="AV234" i="1"/>
  <c r="AP234" i="1"/>
  <c r="AL234" i="1"/>
  <c r="AJ234" i="1"/>
  <c r="AC234" i="1"/>
  <c r="X234" i="1"/>
  <c r="U234" i="1"/>
  <c r="T234" i="1"/>
  <c r="F234" i="1"/>
  <c r="GE233" i="1"/>
  <c r="GB233" i="1"/>
  <c r="FW233" i="1"/>
  <c r="FV233" i="1"/>
  <c r="FS233" i="1"/>
  <c r="FO233" i="1"/>
  <c r="FJ233" i="1"/>
  <c r="FF233" i="1"/>
  <c r="FC233" i="1"/>
  <c r="EZ233" i="1"/>
  <c r="ET233" i="1"/>
  <c r="EL233" i="1"/>
  <c r="EI233" i="1"/>
  <c r="EC233" i="1"/>
  <c r="DW233" i="1"/>
  <c r="DS233" i="1"/>
  <c r="DP233" i="1"/>
  <c r="DM233" i="1"/>
  <c r="DI233" i="1"/>
  <c r="DD233" i="1"/>
  <c r="CX233" i="1"/>
  <c r="CP233" i="1"/>
  <c r="CO233" i="1"/>
  <c r="CI233" i="1"/>
  <c r="CC233" i="1"/>
  <c r="BZ233" i="1"/>
  <c r="BV233" i="1"/>
  <c r="BU233" i="1"/>
  <c r="BK233" i="1"/>
  <c r="K231" i="4" s="1"/>
  <c r="BH233" i="1"/>
  <c r="BD233" i="1"/>
  <c r="AZ233" i="1"/>
  <c r="AV233" i="1"/>
  <c r="AP233" i="1"/>
  <c r="AL233" i="1"/>
  <c r="AJ233" i="1"/>
  <c r="AC233" i="1"/>
  <c r="X233" i="1"/>
  <c r="U233" i="1"/>
  <c r="T233" i="1"/>
  <c r="F233" i="1"/>
  <c r="GE232" i="1"/>
  <c r="GB232" i="1"/>
  <c r="FW232" i="1"/>
  <c r="FV232" i="1"/>
  <c r="FS232" i="1"/>
  <c r="FO232" i="1"/>
  <c r="FJ232" i="1"/>
  <c r="FF232" i="1"/>
  <c r="FC232" i="1"/>
  <c r="EZ232" i="1"/>
  <c r="ET232" i="1"/>
  <c r="EL232" i="1"/>
  <c r="EI232" i="1"/>
  <c r="EC232" i="1"/>
  <c r="DW232" i="1"/>
  <c r="DS232" i="1"/>
  <c r="DP232" i="1"/>
  <c r="DM232" i="1"/>
  <c r="DI232" i="1"/>
  <c r="DD232" i="1"/>
  <c r="CX232" i="1"/>
  <c r="CP232" i="1"/>
  <c r="CO232" i="1"/>
  <c r="CI232" i="1"/>
  <c r="CC232" i="1"/>
  <c r="BZ232" i="1"/>
  <c r="BV232" i="1"/>
  <c r="BU232" i="1"/>
  <c r="BK232" i="1"/>
  <c r="K230" i="4" s="1"/>
  <c r="BH232" i="1"/>
  <c r="BD232" i="1"/>
  <c r="AZ232" i="1"/>
  <c r="AV232" i="1"/>
  <c r="AP232" i="1"/>
  <c r="AL232" i="1"/>
  <c r="AJ232" i="1"/>
  <c r="AC232" i="1"/>
  <c r="X232" i="1"/>
  <c r="U232" i="1"/>
  <c r="T232" i="1"/>
  <c r="F232" i="1"/>
  <c r="GE231" i="1"/>
  <c r="GB231" i="1"/>
  <c r="FW231" i="1"/>
  <c r="FV231" i="1"/>
  <c r="FS231" i="1"/>
  <c r="FO231" i="1"/>
  <c r="FJ231" i="1"/>
  <c r="FF231" i="1"/>
  <c r="FC231" i="1"/>
  <c r="EZ231" i="1"/>
  <c r="ET231" i="1"/>
  <c r="EL231" i="1"/>
  <c r="EI231" i="1"/>
  <c r="EC231" i="1"/>
  <c r="DW231" i="1"/>
  <c r="DS231" i="1"/>
  <c r="DP231" i="1"/>
  <c r="DM231" i="1"/>
  <c r="DI231" i="1"/>
  <c r="DD231" i="1"/>
  <c r="CX231" i="1"/>
  <c r="CP231" i="1"/>
  <c r="CO231" i="1"/>
  <c r="CI231" i="1"/>
  <c r="CC231" i="1"/>
  <c r="BZ231" i="1"/>
  <c r="BV231" i="1"/>
  <c r="BU231" i="1"/>
  <c r="BK231" i="1"/>
  <c r="K229" i="4" s="1"/>
  <c r="BH231" i="1"/>
  <c r="BD231" i="1"/>
  <c r="AZ231" i="1"/>
  <c r="AV231" i="1"/>
  <c r="AP231" i="1"/>
  <c r="AL231" i="1"/>
  <c r="AJ231" i="1"/>
  <c r="AC231" i="1"/>
  <c r="X231" i="1"/>
  <c r="U231" i="1"/>
  <c r="T231" i="1"/>
  <c r="F231" i="1"/>
  <c r="GE230" i="1"/>
  <c r="GB230" i="1"/>
  <c r="FW230" i="1"/>
  <c r="FV230" i="1"/>
  <c r="FS230" i="1"/>
  <c r="FO230" i="1"/>
  <c r="FJ230" i="1"/>
  <c r="FF230" i="1"/>
  <c r="FC230" i="1"/>
  <c r="EZ230" i="1"/>
  <c r="ET230" i="1"/>
  <c r="EL230" i="1"/>
  <c r="EI230" i="1"/>
  <c r="EC230" i="1"/>
  <c r="DW230" i="1"/>
  <c r="DS230" i="1"/>
  <c r="DP230" i="1"/>
  <c r="DM230" i="1"/>
  <c r="DI230" i="1"/>
  <c r="DD230" i="1"/>
  <c r="CX230" i="1"/>
  <c r="CP230" i="1"/>
  <c r="CO230" i="1"/>
  <c r="CI230" i="1"/>
  <c r="CC230" i="1"/>
  <c r="BZ230" i="1"/>
  <c r="BV230" i="1"/>
  <c r="BU230" i="1"/>
  <c r="BK230" i="1"/>
  <c r="K228" i="4" s="1"/>
  <c r="BH230" i="1"/>
  <c r="BD230" i="1"/>
  <c r="AZ230" i="1"/>
  <c r="AV230" i="1"/>
  <c r="AP230" i="1"/>
  <c r="AL230" i="1"/>
  <c r="AJ230" i="1"/>
  <c r="AC230" i="1"/>
  <c r="X230" i="1"/>
  <c r="U230" i="1"/>
  <c r="T230" i="1"/>
  <c r="F230" i="1"/>
  <c r="GE229" i="1"/>
  <c r="GB229" i="1"/>
  <c r="FW229" i="1"/>
  <c r="FV229" i="1"/>
  <c r="FS229" i="1"/>
  <c r="FO229" i="1"/>
  <c r="FJ229" i="1"/>
  <c r="FF229" i="1"/>
  <c r="FC229" i="1"/>
  <c r="EZ229" i="1"/>
  <c r="ET229" i="1"/>
  <c r="EL229" i="1"/>
  <c r="EI229" i="1"/>
  <c r="EC229" i="1"/>
  <c r="DW229" i="1"/>
  <c r="DS229" i="1"/>
  <c r="DP229" i="1"/>
  <c r="DM229" i="1"/>
  <c r="DI229" i="1"/>
  <c r="DD229" i="1"/>
  <c r="CX229" i="1"/>
  <c r="CP229" i="1"/>
  <c r="CO229" i="1"/>
  <c r="CI229" i="1"/>
  <c r="CC229" i="1"/>
  <c r="BZ229" i="1"/>
  <c r="BV229" i="1"/>
  <c r="BU229" i="1"/>
  <c r="BK229" i="1"/>
  <c r="K227" i="4" s="1"/>
  <c r="BH229" i="1"/>
  <c r="BD229" i="1"/>
  <c r="AZ229" i="1"/>
  <c r="AV229" i="1"/>
  <c r="AP229" i="1"/>
  <c r="AL229" i="1"/>
  <c r="AJ229" i="1"/>
  <c r="AC229" i="1"/>
  <c r="X229" i="1"/>
  <c r="U229" i="1"/>
  <c r="T229" i="1"/>
  <c r="F229" i="1"/>
  <c r="GE228" i="1"/>
  <c r="GB228" i="1"/>
  <c r="FW228" i="1"/>
  <c r="FV228" i="1"/>
  <c r="FS228" i="1"/>
  <c r="FO228" i="1"/>
  <c r="FJ228" i="1"/>
  <c r="FF228" i="1"/>
  <c r="FC228" i="1"/>
  <c r="EZ228" i="1"/>
  <c r="ET228" i="1"/>
  <c r="EL228" i="1"/>
  <c r="EI228" i="1"/>
  <c r="EC228" i="1"/>
  <c r="DW228" i="1"/>
  <c r="DS228" i="1"/>
  <c r="DP228" i="1"/>
  <c r="DM228" i="1"/>
  <c r="DI228" i="1"/>
  <c r="DD228" i="1"/>
  <c r="CX228" i="1"/>
  <c r="CP228" i="1"/>
  <c r="CO228" i="1"/>
  <c r="CI228" i="1"/>
  <c r="CC228" i="1"/>
  <c r="BZ228" i="1"/>
  <c r="BV228" i="1"/>
  <c r="BU228" i="1"/>
  <c r="BK228" i="1"/>
  <c r="K226" i="4" s="1"/>
  <c r="BH228" i="1"/>
  <c r="BD228" i="1"/>
  <c r="AZ228" i="1"/>
  <c r="AV228" i="1"/>
  <c r="AP228" i="1"/>
  <c r="AL228" i="1"/>
  <c r="AJ228" i="1"/>
  <c r="AC228" i="1"/>
  <c r="X228" i="1"/>
  <c r="U228" i="1"/>
  <c r="T228" i="1"/>
  <c r="F228" i="1"/>
  <c r="GE227" i="1"/>
  <c r="GB227" i="1"/>
  <c r="FW227" i="1"/>
  <c r="FV227" i="1"/>
  <c r="FS227" i="1"/>
  <c r="FO227" i="1"/>
  <c r="FJ227" i="1"/>
  <c r="FF227" i="1"/>
  <c r="FC227" i="1"/>
  <c r="EZ227" i="1"/>
  <c r="ET227" i="1"/>
  <c r="EL227" i="1"/>
  <c r="EI227" i="1"/>
  <c r="EC227" i="1"/>
  <c r="DW227" i="1"/>
  <c r="DS227" i="1"/>
  <c r="DP227" i="1"/>
  <c r="DM227" i="1"/>
  <c r="DI227" i="1"/>
  <c r="DD227" i="1"/>
  <c r="CX227" i="1"/>
  <c r="CP227" i="1"/>
  <c r="CO227" i="1"/>
  <c r="CI227" i="1"/>
  <c r="CC227" i="1"/>
  <c r="BZ227" i="1"/>
  <c r="BV227" i="1"/>
  <c r="BU227" i="1"/>
  <c r="BK227" i="1"/>
  <c r="BH227" i="1"/>
  <c r="BD227" i="1"/>
  <c r="AZ227" i="1"/>
  <c r="AV227" i="1"/>
  <c r="AP227" i="1"/>
  <c r="AL227" i="1"/>
  <c r="AJ227" i="1"/>
  <c r="AC227" i="1"/>
  <c r="X227" i="1"/>
  <c r="U227" i="1"/>
  <c r="T227" i="1"/>
  <c r="F227" i="1"/>
  <c r="GE226" i="1"/>
  <c r="GB226" i="1"/>
  <c r="FW226" i="1"/>
  <c r="FV226" i="1"/>
  <c r="FS226" i="1"/>
  <c r="FO226" i="1"/>
  <c r="FJ226" i="1"/>
  <c r="FF226" i="1"/>
  <c r="FC226" i="1"/>
  <c r="EZ226" i="1"/>
  <c r="ET226" i="1"/>
  <c r="EL226" i="1"/>
  <c r="EI226" i="1"/>
  <c r="EC226" i="1"/>
  <c r="DW226" i="1"/>
  <c r="DS226" i="1"/>
  <c r="DP226" i="1"/>
  <c r="DM226" i="1"/>
  <c r="DI226" i="1"/>
  <c r="DD226" i="1"/>
  <c r="CX226" i="1"/>
  <c r="CP226" i="1"/>
  <c r="CO226" i="1"/>
  <c r="CI226" i="1"/>
  <c r="CC226" i="1"/>
  <c r="BZ226" i="1"/>
  <c r="BV226" i="1"/>
  <c r="BU226" i="1"/>
  <c r="BK226" i="1"/>
  <c r="K224" i="4" s="1"/>
  <c r="BH226" i="1"/>
  <c r="BD226" i="1"/>
  <c r="AZ226" i="1"/>
  <c r="AV226" i="1"/>
  <c r="AP226" i="1"/>
  <c r="AL226" i="1"/>
  <c r="AJ226" i="1"/>
  <c r="AC226" i="1"/>
  <c r="X226" i="1"/>
  <c r="U226" i="1"/>
  <c r="T226" i="1"/>
  <c r="F226" i="1"/>
  <c r="GE225" i="1"/>
  <c r="GB225" i="1"/>
  <c r="FW225" i="1"/>
  <c r="FV225" i="1"/>
  <c r="FS225" i="1"/>
  <c r="FO225" i="1"/>
  <c r="FJ225" i="1"/>
  <c r="FF225" i="1"/>
  <c r="FC225" i="1"/>
  <c r="EZ225" i="1"/>
  <c r="ET225" i="1"/>
  <c r="EL225" i="1"/>
  <c r="EI225" i="1"/>
  <c r="EC225" i="1"/>
  <c r="DW225" i="1"/>
  <c r="DS225" i="1"/>
  <c r="DP225" i="1"/>
  <c r="DM225" i="1"/>
  <c r="DI225" i="1"/>
  <c r="DD225" i="1"/>
  <c r="CX225" i="1"/>
  <c r="CP225" i="1"/>
  <c r="CO225" i="1"/>
  <c r="CI225" i="1"/>
  <c r="CC225" i="1"/>
  <c r="BZ225" i="1"/>
  <c r="BV225" i="1"/>
  <c r="BU225" i="1"/>
  <c r="BK225" i="1"/>
  <c r="BH225" i="1"/>
  <c r="BD225" i="1"/>
  <c r="AZ225" i="1"/>
  <c r="AV225" i="1"/>
  <c r="AP225" i="1"/>
  <c r="AL225" i="1"/>
  <c r="AJ225" i="1"/>
  <c r="AC225" i="1"/>
  <c r="X225" i="1"/>
  <c r="U225" i="1"/>
  <c r="T225" i="1"/>
  <c r="F225" i="1"/>
  <c r="GE224" i="1"/>
  <c r="GB224" i="1"/>
  <c r="FW224" i="1"/>
  <c r="FV224" i="1"/>
  <c r="FS224" i="1"/>
  <c r="FO224" i="1"/>
  <c r="FJ224" i="1"/>
  <c r="FF224" i="1"/>
  <c r="FC224" i="1"/>
  <c r="EZ224" i="1"/>
  <c r="ET224" i="1"/>
  <c r="EL224" i="1"/>
  <c r="EI224" i="1"/>
  <c r="EC224" i="1"/>
  <c r="DW224" i="1"/>
  <c r="DS224" i="1"/>
  <c r="DP224" i="1"/>
  <c r="DM224" i="1"/>
  <c r="DI224" i="1"/>
  <c r="DD224" i="1"/>
  <c r="CX224" i="1"/>
  <c r="CP224" i="1"/>
  <c r="CO224" i="1"/>
  <c r="CI224" i="1"/>
  <c r="CC224" i="1"/>
  <c r="BZ224" i="1"/>
  <c r="BV224" i="1"/>
  <c r="BU224" i="1"/>
  <c r="BK224" i="1"/>
  <c r="K222" i="4" s="1"/>
  <c r="BH224" i="1"/>
  <c r="BD224" i="1"/>
  <c r="AZ224" i="1"/>
  <c r="AV224" i="1"/>
  <c r="AP224" i="1"/>
  <c r="AL224" i="1"/>
  <c r="AJ224" i="1"/>
  <c r="AC224" i="1"/>
  <c r="X224" i="1"/>
  <c r="U224" i="1"/>
  <c r="T224" i="1"/>
  <c r="F224" i="1"/>
  <c r="GE223" i="1"/>
  <c r="GB223" i="1"/>
  <c r="FW223" i="1"/>
  <c r="FV223" i="1"/>
  <c r="FS223" i="1"/>
  <c r="FO223" i="1"/>
  <c r="FJ223" i="1"/>
  <c r="FF223" i="1"/>
  <c r="FC223" i="1"/>
  <c r="EZ223" i="1"/>
  <c r="ET223" i="1"/>
  <c r="EL223" i="1"/>
  <c r="EI223" i="1"/>
  <c r="EC223" i="1"/>
  <c r="DW223" i="1"/>
  <c r="DS223" i="1"/>
  <c r="DP223" i="1"/>
  <c r="DM223" i="1"/>
  <c r="DI223" i="1"/>
  <c r="DD223" i="1"/>
  <c r="CX223" i="1"/>
  <c r="CP223" i="1"/>
  <c r="CO223" i="1"/>
  <c r="CI223" i="1"/>
  <c r="CC223" i="1"/>
  <c r="BZ223" i="1"/>
  <c r="BV223" i="1"/>
  <c r="BU223" i="1"/>
  <c r="BK223" i="1"/>
  <c r="BH223" i="1"/>
  <c r="BD223" i="1"/>
  <c r="AZ223" i="1"/>
  <c r="AV223" i="1"/>
  <c r="AP223" i="1"/>
  <c r="AL223" i="1"/>
  <c r="AJ223" i="1"/>
  <c r="AC223" i="1"/>
  <c r="X223" i="1"/>
  <c r="U223" i="1"/>
  <c r="T223" i="1"/>
  <c r="F223" i="1"/>
  <c r="GE222" i="1"/>
  <c r="GB222" i="1"/>
  <c r="FW222" i="1"/>
  <c r="FV222" i="1"/>
  <c r="FS222" i="1"/>
  <c r="FO222" i="1"/>
  <c r="FJ222" i="1"/>
  <c r="FF222" i="1"/>
  <c r="FC222" i="1"/>
  <c r="EZ222" i="1"/>
  <c r="ET222" i="1"/>
  <c r="EL222" i="1"/>
  <c r="EI222" i="1"/>
  <c r="EC222" i="1"/>
  <c r="DW222" i="1"/>
  <c r="DS222" i="1"/>
  <c r="DP222" i="1"/>
  <c r="DM222" i="1"/>
  <c r="DI222" i="1"/>
  <c r="DD222" i="1"/>
  <c r="CX222" i="1"/>
  <c r="CP222" i="1"/>
  <c r="CO222" i="1"/>
  <c r="CI222" i="1"/>
  <c r="CC222" i="1"/>
  <c r="BZ222" i="1"/>
  <c r="BV222" i="1"/>
  <c r="BU222" i="1"/>
  <c r="BK222" i="1"/>
  <c r="K220" i="4" s="1"/>
  <c r="BH222" i="1"/>
  <c r="BD222" i="1"/>
  <c r="AZ222" i="1"/>
  <c r="AV222" i="1"/>
  <c r="AP222" i="1"/>
  <c r="AL222" i="1"/>
  <c r="AJ222" i="1"/>
  <c r="AC222" i="1"/>
  <c r="X222" i="1"/>
  <c r="U222" i="1"/>
  <c r="T222" i="1"/>
  <c r="F222" i="1"/>
  <c r="GE221" i="1"/>
  <c r="GB221" i="1"/>
  <c r="FW221" i="1"/>
  <c r="FV221" i="1"/>
  <c r="FS221" i="1"/>
  <c r="FO221" i="1"/>
  <c r="FJ221" i="1"/>
  <c r="FF221" i="1"/>
  <c r="FC221" i="1"/>
  <c r="EZ221" i="1"/>
  <c r="ET221" i="1"/>
  <c r="EL221" i="1"/>
  <c r="EI221" i="1"/>
  <c r="EC221" i="1"/>
  <c r="DW221" i="1"/>
  <c r="DS221" i="1"/>
  <c r="DP221" i="1"/>
  <c r="DM221" i="1"/>
  <c r="DI221" i="1"/>
  <c r="DD221" i="1"/>
  <c r="CX221" i="1"/>
  <c r="CP221" i="1"/>
  <c r="CO221" i="1"/>
  <c r="CI221" i="1"/>
  <c r="CC221" i="1"/>
  <c r="BZ221" i="1"/>
  <c r="BV221" i="1"/>
  <c r="BU221" i="1"/>
  <c r="BK221" i="1"/>
  <c r="BH221" i="1"/>
  <c r="BD221" i="1"/>
  <c r="AZ221" i="1"/>
  <c r="AV221" i="1"/>
  <c r="AP221" i="1"/>
  <c r="AL221" i="1"/>
  <c r="AJ221" i="1"/>
  <c r="AC221" i="1"/>
  <c r="X221" i="1"/>
  <c r="U221" i="1"/>
  <c r="T221" i="1"/>
  <c r="F221" i="1"/>
  <c r="GE220" i="1"/>
  <c r="GB220" i="1"/>
  <c r="FW220" i="1"/>
  <c r="FV220" i="1"/>
  <c r="FS220" i="1"/>
  <c r="FO220" i="1"/>
  <c r="FJ220" i="1"/>
  <c r="FF220" i="1"/>
  <c r="FC220" i="1"/>
  <c r="EZ220" i="1"/>
  <c r="ET220" i="1"/>
  <c r="EL220" i="1"/>
  <c r="EI220" i="1"/>
  <c r="EC220" i="1"/>
  <c r="DW220" i="1"/>
  <c r="DS220" i="1"/>
  <c r="DP220" i="1"/>
  <c r="DM220" i="1"/>
  <c r="DI220" i="1"/>
  <c r="DD220" i="1"/>
  <c r="CX220" i="1"/>
  <c r="CP220" i="1"/>
  <c r="CO220" i="1"/>
  <c r="CI220" i="1"/>
  <c r="CC220" i="1"/>
  <c r="BZ220" i="1"/>
  <c r="BV220" i="1"/>
  <c r="BU220" i="1"/>
  <c r="BK220" i="1"/>
  <c r="BH220" i="1"/>
  <c r="BD220" i="1"/>
  <c r="AZ220" i="1"/>
  <c r="AV220" i="1"/>
  <c r="AP220" i="1"/>
  <c r="AL220" i="1"/>
  <c r="AJ220" i="1"/>
  <c r="AC220" i="1"/>
  <c r="X220" i="1"/>
  <c r="U220" i="1"/>
  <c r="T220" i="1"/>
  <c r="F220" i="1"/>
  <c r="GE219" i="1"/>
  <c r="GB219" i="1"/>
  <c r="FW219" i="1"/>
  <c r="FV219" i="1"/>
  <c r="FS219" i="1"/>
  <c r="FO219" i="1"/>
  <c r="FJ219" i="1"/>
  <c r="FF219" i="1"/>
  <c r="FC219" i="1"/>
  <c r="EZ219" i="1"/>
  <c r="ET219" i="1"/>
  <c r="EL219" i="1"/>
  <c r="EI219" i="1"/>
  <c r="EC219" i="1"/>
  <c r="DW219" i="1"/>
  <c r="DS219" i="1"/>
  <c r="DP219" i="1"/>
  <c r="DM219" i="1"/>
  <c r="DI219" i="1"/>
  <c r="DD219" i="1"/>
  <c r="CX219" i="1"/>
  <c r="CP219" i="1"/>
  <c r="CO219" i="1"/>
  <c r="CI219" i="1"/>
  <c r="CC219" i="1"/>
  <c r="BZ219" i="1"/>
  <c r="BV219" i="1"/>
  <c r="BU219" i="1"/>
  <c r="BK219" i="1"/>
  <c r="K217" i="4" s="1"/>
  <c r="BH219" i="1"/>
  <c r="BD219" i="1"/>
  <c r="AZ219" i="1"/>
  <c r="AV219" i="1"/>
  <c r="AP219" i="1"/>
  <c r="AL219" i="1"/>
  <c r="AJ219" i="1"/>
  <c r="AC219" i="1"/>
  <c r="X219" i="1"/>
  <c r="U219" i="1"/>
  <c r="T219" i="1"/>
  <c r="F219" i="1"/>
  <c r="GE218" i="1"/>
  <c r="GB218" i="1"/>
  <c r="FW218" i="1"/>
  <c r="FV218" i="1"/>
  <c r="FS218" i="1"/>
  <c r="FO218" i="1"/>
  <c r="FJ218" i="1"/>
  <c r="FF218" i="1"/>
  <c r="FC218" i="1"/>
  <c r="EZ218" i="1"/>
  <c r="ET218" i="1"/>
  <c r="EL218" i="1"/>
  <c r="EI218" i="1"/>
  <c r="EC218" i="1"/>
  <c r="DW218" i="1"/>
  <c r="DS218" i="1"/>
  <c r="DP218" i="1"/>
  <c r="DM218" i="1"/>
  <c r="DI218" i="1"/>
  <c r="DD218" i="1"/>
  <c r="CX218" i="1"/>
  <c r="CP218" i="1"/>
  <c r="CO218" i="1"/>
  <c r="CI218" i="1"/>
  <c r="CC218" i="1"/>
  <c r="BZ218" i="1"/>
  <c r="BV218" i="1"/>
  <c r="BU218" i="1"/>
  <c r="BK218" i="1"/>
  <c r="K216" i="4" s="1"/>
  <c r="BH218" i="1"/>
  <c r="BD218" i="1"/>
  <c r="AZ218" i="1"/>
  <c r="AV218" i="1"/>
  <c r="AP218" i="1"/>
  <c r="AL218" i="1"/>
  <c r="AJ218" i="1"/>
  <c r="AC218" i="1"/>
  <c r="X218" i="1"/>
  <c r="U218" i="1"/>
  <c r="T218" i="1"/>
  <c r="F218" i="1"/>
  <c r="GE217" i="1"/>
  <c r="GB217" i="1"/>
  <c r="FW217" i="1"/>
  <c r="FV217" i="1"/>
  <c r="FS217" i="1"/>
  <c r="FO217" i="1"/>
  <c r="FJ217" i="1"/>
  <c r="FF217" i="1"/>
  <c r="FC217" i="1"/>
  <c r="EZ217" i="1"/>
  <c r="ET217" i="1"/>
  <c r="EL217" i="1"/>
  <c r="EI217" i="1"/>
  <c r="EC217" i="1"/>
  <c r="DW217" i="1"/>
  <c r="DS217" i="1"/>
  <c r="DP217" i="1"/>
  <c r="DM217" i="1"/>
  <c r="DI217" i="1"/>
  <c r="DD217" i="1"/>
  <c r="CX217" i="1"/>
  <c r="CP217" i="1"/>
  <c r="CO217" i="1"/>
  <c r="CI217" i="1"/>
  <c r="CC217" i="1"/>
  <c r="BZ217" i="1"/>
  <c r="BV217" i="1"/>
  <c r="BU217" i="1"/>
  <c r="BK217" i="1"/>
  <c r="K215" i="4" s="1"/>
  <c r="BH217" i="1"/>
  <c r="BD217" i="1"/>
  <c r="AZ217" i="1"/>
  <c r="AV217" i="1"/>
  <c r="AP217" i="1"/>
  <c r="AL217" i="1"/>
  <c r="AJ217" i="1"/>
  <c r="AC217" i="1"/>
  <c r="X217" i="1"/>
  <c r="U217" i="1"/>
  <c r="T217" i="1"/>
  <c r="F217" i="1"/>
  <c r="GE216" i="1"/>
  <c r="GB216" i="1"/>
  <c r="FW216" i="1"/>
  <c r="FV216" i="1"/>
  <c r="FS216" i="1"/>
  <c r="FO216" i="1"/>
  <c r="FJ216" i="1"/>
  <c r="FF216" i="1"/>
  <c r="FC216" i="1"/>
  <c r="EZ216" i="1"/>
  <c r="ET216" i="1"/>
  <c r="EL216" i="1"/>
  <c r="EI216" i="1"/>
  <c r="EC216" i="1"/>
  <c r="DW216" i="1"/>
  <c r="DS216" i="1"/>
  <c r="DP216" i="1"/>
  <c r="DM216" i="1"/>
  <c r="DI216" i="1"/>
  <c r="DD216" i="1"/>
  <c r="CX216" i="1"/>
  <c r="CP216" i="1"/>
  <c r="CO216" i="1"/>
  <c r="CI216" i="1"/>
  <c r="CC216" i="1"/>
  <c r="BZ216" i="1"/>
  <c r="BV216" i="1"/>
  <c r="BU216" i="1"/>
  <c r="BK216" i="1"/>
  <c r="K214" i="4" s="1"/>
  <c r="BH216" i="1"/>
  <c r="BD216" i="1"/>
  <c r="AZ216" i="1"/>
  <c r="AV216" i="1"/>
  <c r="AP216" i="1"/>
  <c r="AL216" i="1"/>
  <c r="AJ216" i="1"/>
  <c r="AC216" i="1"/>
  <c r="X216" i="1"/>
  <c r="U216" i="1"/>
  <c r="T216" i="1"/>
  <c r="F216" i="1"/>
  <c r="GE215" i="1"/>
  <c r="GB215" i="1"/>
  <c r="FW215" i="1"/>
  <c r="FV215" i="1"/>
  <c r="FS215" i="1"/>
  <c r="FO215" i="1"/>
  <c r="FJ215" i="1"/>
  <c r="FF215" i="1"/>
  <c r="FC215" i="1"/>
  <c r="EZ215" i="1"/>
  <c r="ET215" i="1"/>
  <c r="EL215" i="1"/>
  <c r="EI215" i="1"/>
  <c r="EC215" i="1"/>
  <c r="DW215" i="1"/>
  <c r="DS215" i="1"/>
  <c r="DP215" i="1"/>
  <c r="DM215" i="1"/>
  <c r="DI215" i="1"/>
  <c r="DD215" i="1"/>
  <c r="CX215" i="1"/>
  <c r="CP215" i="1"/>
  <c r="CO215" i="1"/>
  <c r="CI215" i="1"/>
  <c r="CC215" i="1"/>
  <c r="BZ215" i="1"/>
  <c r="BV215" i="1"/>
  <c r="BU215" i="1"/>
  <c r="BK215" i="1"/>
  <c r="K213" i="4" s="1"/>
  <c r="BH215" i="1"/>
  <c r="BD215" i="1"/>
  <c r="AZ215" i="1"/>
  <c r="AV215" i="1"/>
  <c r="AP215" i="1"/>
  <c r="AL215" i="1"/>
  <c r="AJ215" i="1"/>
  <c r="AC215" i="1"/>
  <c r="X215" i="1"/>
  <c r="U215" i="1"/>
  <c r="T215" i="1"/>
  <c r="F215" i="1"/>
  <c r="GE214" i="1"/>
  <c r="GB214" i="1"/>
  <c r="FW214" i="1"/>
  <c r="FV214" i="1"/>
  <c r="FS214" i="1"/>
  <c r="FO214" i="1"/>
  <c r="FJ214" i="1"/>
  <c r="FF214" i="1"/>
  <c r="FC214" i="1"/>
  <c r="EZ214" i="1"/>
  <c r="ET214" i="1"/>
  <c r="EL214" i="1"/>
  <c r="EI214" i="1"/>
  <c r="EC214" i="1"/>
  <c r="DW214" i="1"/>
  <c r="DS214" i="1"/>
  <c r="DP214" i="1"/>
  <c r="DM214" i="1"/>
  <c r="DI214" i="1"/>
  <c r="DD214" i="1"/>
  <c r="CX214" i="1"/>
  <c r="CP214" i="1"/>
  <c r="CO214" i="1"/>
  <c r="CI214" i="1"/>
  <c r="CC214" i="1"/>
  <c r="BZ214" i="1"/>
  <c r="BV214" i="1"/>
  <c r="BU214" i="1"/>
  <c r="BK214" i="1"/>
  <c r="K212" i="4" s="1"/>
  <c r="BH214" i="1"/>
  <c r="BD214" i="1"/>
  <c r="AZ214" i="1"/>
  <c r="AV214" i="1"/>
  <c r="AP214" i="1"/>
  <c r="AL214" i="1"/>
  <c r="AJ214" i="1"/>
  <c r="AC214" i="1"/>
  <c r="X214" i="1"/>
  <c r="U214" i="1"/>
  <c r="T214" i="1"/>
  <c r="F214" i="1"/>
  <c r="GE213" i="1"/>
  <c r="GB213" i="1"/>
  <c r="FW213" i="1"/>
  <c r="FV213" i="1"/>
  <c r="FS213" i="1"/>
  <c r="FO213" i="1"/>
  <c r="FJ213" i="1"/>
  <c r="FF213" i="1"/>
  <c r="FC213" i="1"/>
  <c r="EZ213" i="1"/>
  <c r="ET213" i="1"/>
  <c r="EL213" i="1"/>
  <c r="EI213" i="1"/>
  <c r="EC213" i="1"/>
  <c r="DW213" i="1"/>
  <c r="DS213" i="1"/>
  <c r="DP213" i="1"/>
  <c r="DM213" i="1"/>
  <c r="DI213" i="1"/>
  <c r="DD213" i="1"/>
  <c r="CX213" i="1"/>
  <c r="CP213" i="1"/>
  <c r="CO213" i="1"/>
  <c r="CI213" i="1"/>
  <c r="CC213" i="1"/>
  <c r="BZ213" i="1"/>
  <c r="BV213" i="1"/>
  <c r="BU213" i="1"/>
  <c r="BK213" i="1"/>
  <c r="K211" i="4" s="1"/>
  <c r="BH213" i="1"/>
  <c r="BD213" i="1"/>
  <c r="AZ213" i="1"/>
  <c r="AV213" i="1"/>
  <c r="AP213" i="1"/>
  <c r="AL213" i="1"/>
  <c r="AJ213" i="1"/>
  <c r="AC213" i="1"/>
  <c r="X213" i="1"/>
  <c r="U213" i="1"/>
  <c r="T213" i="1"/>
  <c r="F213" i="1"/>
  <c r="GE212" i="1"/>
  <c r="GB212" i="1"/>
  <c r="FW212" i="1"/>
  <c r="FV212" i="1"/>
  <c r="FS212" i="1"/>
  <c r="FO212" i="1"/>
  <c r="FJ212" i="1"/>
  <c r="FF212" i="1"/>
  <c r="FC212" i="1"/>
  <c r="EZ212" i="1"/>
  <c r="ET212" i="1"/>
  <c r="EL212" i="1"/>
  <c r="EI212" i="1"/>
  <c r="EC212" i="1"/>
  <c r="DW212" i="1"/>
  <c r="DS212" i="1"/>
  <c r="DP212" i="1"/>
  <c r="DM212" i="1"/>
  <c r="DI212" i="1"/>
  <c r="DD212" i="1"/>
  <c r="CX212" i="1"/>
  <c r="CP212" i="1"/>
  <c r="CO212" i="1"/>
  <c r="CI212" i="1"/>
  <c r="CC212" i="1"/>
  <c r="BZ212" i="1"/>
  <c r="BV212" i="1"/>
  <c r="BU212" i="1"/>
  <c r="BK212" i="1"/>
  <c r="K210" i="4" s="1"/>
  <c r="BH212" i="1"/>
  <c r="BD212" i="1"/>
  <c r="AZ212" i="1"/>
  <c r="AV212" i="1"/>
  <c r="AP212" i="1"/>
  <c r="AL212" i="1"/>
  <c r="AJ212" i="1"/>
  <c r="AC212" i="1"/>
  <c r="X212" i="1"/>
  <c r="U212" i="1"/>
  <c r="T212" i="1"/>
  <c r="F212" i="1"/>
  <c r="GE211" i="1"/>
  <c r="GB211" i="1"/>
  <c r="FW211" i="1"/>
  <c r="FV211" i="1"/>
  <c r="FS211" i="1"/>
  <c r="FO211" i="1"/>
  <c r="FJ211" i="1"/>
  <c r="FF211" i="1"/>
  <c r="FC211" i="1"/>
  <c r="EZ211" i="1"/>
  <c r="ET211" i="1"/>
  <c r="EL211" i="1"/>
  <c r="EI211" i="1"/>
  <c r="EC211" i="1"/>
  <c r="DW211" i="1"/>
  <c r="DS211" i="1"/>
  <c r="DP211" i="1"/>
  <c r="DM211" i="1"/>
  <c r="DI211" i="1"/>
  <c r="DD211" i="1"/>
  <c r="CX211" i="1"/>
  <c r="CP211" i="1"/>
  <c r="CO211" i="1"/>
  <c r="CI211" i="1"/>
  <c r="CC211" i="1"/>
  <c r="BZ211" i="1"/>
  <c r="BV211" i="1"/>
  <c r="BU211" i="1"/>
  <c r="BK211" i="1"/>
  <c r="K209" i="4" s="1"/>
  <c r="BH211" i="1"/>
  <c r="BD211" i="1"/>
  <c r="AZ211" i="1"/>
  <c r="AV211" i="1"/>
  <c r="AP211" i="1"/>
  <c r="AL211" i="1"/>
  <c r="AJ211" i="1"/>
  <c r="AC211" i="1"/>
  <c r="X211" i="1"/>
  <c r="U211" i="1"/>
  <c r="T211" i="1"/>
  <c r="F211" i="1"/>
  <c r="GE210" i="1"/>
  <c r="GB210" i="1"/>
  <c r="FW210" i="1"/>
  <c r="FV210" i="1"/>
  <c r="FS210" i="1"/>
  <c r="FO210" i="1"/>
  <c r="FJ210" i="1"/>
  <c r="FF210" i="1"/>
  <c r="FC210" i="1"/>
  <c r="EZ210" i="1"/>
  <c r="ET210" i="1"/>
  <c r="EL210" i="1"/>
  <c r="EI210" i="1"/>
  <c r="EC210" i="1"/>
  <c r="DW210" i="1"/>
  <c r="DS210" i="1"/>
  <c r="DP210" i="1"/>
  <c r="DM210" i="1"/>
  <c r="DI210" i="1"/>
  <c r="DD210" i="1"/>
  <c r="CX210" i="1"/>
  <c r="CP210" i="1"/>
  <c r="CO210" i="1"/>
  <c r="CI210" i="1"/>
  <c r="CC210" i="1"/>
  <c r="BZ210" i="1"/>
  <c r="BV210" i="1"/>
  <c r="BU210" i="1"/>
  <c r="BK210" i="1"/>
  <c r="K208" i="4" s="1"/>
  <c r="BH210" i="1"/>
  <c r="BD210" i="1"/>
  <c r="AZ210" i="1"/>
  <c r="AV210" i="1"/>
  <c r="AP210" i="1"/>
  <c r="AL210" i="1"/>
  <c r="AJ210" i="1"/>
  <c r="AC210" i="1"/>
  <c r="X210" i="1"/>
  <c r="U210" i="1"/>
  <c r="T210" i="1"/>
  <c r="F210" i="1"/>
  <c r="GE209" i="1"/>
  <c r="GB209" i="1"/>
  <c r="FW209" i="1"/>
  <c r="FV209" i="1"/>
  <c r="FS209" i="1"/>
  <c r="FO209" i="1"/>
  <c r="FJ209" i="1"/>
  <c r="FF209" i="1"/>
  <c r="FC209" i="1"/>
  <c r="EZ209" i="1"/>
  <c r="ET209" i="1"/>
  <c r="EL209" i="1"/>
  <c r="EI209" i="1"/>
  <c r="EC209" i="1"/>
  <c r="DW209" i="1"/>
  <c r="DS209" i="1"/>
  <c r="DP209" i="1"/>
  <c r="DM209" i="1"/>
  <c r="DI209" i="1"/>
  <c r="DD209" i="1"/>
  <c r="CX209" i="1"/>
  <c r="CP209" i="1"/>
  <c r="CO209" i="1"/>
  <c r="CI209" i="1"/>
  <c r="CC209" i="1"/>
  <c r="BZ209" i="1"/>
  <c r="BV209" i="1"/>
  <c r="BU209" i="1"/>
  <c r="BK209" i="1"/>
  <c r="K207" i="4" s="1"/>
  <c r="BH209" i="1"/>
  <c r="BD209" i="1"/>
  <c r="AZ209" i="1"/>
  <c r="AV209" i="1"/>
  <c r="AP209" i="1"/>
  <c r="AL209" i="1"/>
  <c r="AJ209" i="1"/>
  <c r="AC209" i="1"/>
  <c r="X209" i="1"/>
  <c r="U209" i="1"/>
  <c r="T209" i="1"/>
  <c r="F209" i="1"/>
  <c r="GE208" i="1"/>
  <c r="GB208" i="1"/>
  <c r="FW208" i="1"/>
  <c r="FV208" i="1"/>
  <c r="FS208" i="1"/>
  <c r="FO208" i="1"/>
  <c r="FJ208" i="1"/>
  <c r="FF208" i="1"/>
  <c r="FC208" i="1"/>
  <c r="EZ208" i="1"/>
  <c r="ET208" i="1"/>
  <c r="EL208" i="1"/>
  <c r="EI208" i="1"/>
  <c r="EC208" i="1"/>
  <c r="DW208" i="1"/>
  <c r="DS208" i="1"/>
  <c r="DP208" i="1"/>
  <c r="DM208" i="1"/>
  <c r="DI208" i="1"/>
  <c r="DD208" i="1"/>
  <c r="CX208" i="1"/>
  <c r="CP208" i="1"/>
  <c r="CO208" i="1"/>
  <c r="CI208" i="1"/>
  <c r="CC208" i="1"/>
  <c r="BZ208" i="1"/>
  <c r="BV208" i="1"/>
  <c r="BU208" i="1"/>
  <c r="BK208" i="1"/>
  <c r="BH208" i="1"/>
  <c r="BD208" i="1"/>
  <c r="AZ208" i="1"/>
  <c r="AV208" i="1"/>
  <c r="AP208" i="1"/>
  <c r="AL208" i="1"/>
  <c r="AJ208" i="1"/>
  <c r="AC208" i="1"/>
  <c r="X208" i="1"/>
  <c r="U208" i="1"/>
  <c r="T208" i="1"/>
  <c r="F208" i="1"/>
  <c r="GE207" i="1"/>
  <c r="GB207" i="1"/>
  <c r="FW207" i="1"/>
  <c r="FV207" i="1"/>
  <c r="FS207" i="1"/>
  <c r="FO207" i="1"/>
  <c r="FJ207" i="1"/>
  <c r="FF207" i="1"/>
  <c r="FC207" i="1"/>
  <c r="EZ207" i="1"/>
  <c r="ET207" i="1"/>
  <c r="EL207" i="1"/>
  <c r="EI207" i="1"/>
  <c r="EC207" i="1"/>
  <c r="DW207" i="1"/>
  <c r="DS207" i="1"/>
  <c r="DP207" i="1"/>
  <c r="DM207" i="1"/>
  <c r="DI207" i="1"/>
  <c r="DD207" i="1"/>
  <c r="CX207" i="1"/>
  <c r="CP207" i="1"/>
  <c r="CO207" i="1"/>
  <c r="CI207" i="1"/>
  <c r="CC207" i="1"/>
  <c r="BZ207" i="1"/>
  <c r="BV207" i="1"/>
  <c r="BU207" i="1"/>
  <c r="BK207" i="1"/>
  <c r="K205" i="4" s="1"/>
  <c r="BH207" i="1"/>
  <c r="BD207" i="1"/>
  <c r="AZ207" i="1"/>
  <c r="AV207" i="1"/>
  <c r="AP207" i="1"/>
  <c r="AL207" i="1"/>
  <c r="AJ207" i="1"/>
  <c r="AC207" i="1"/>
  <c r="X207" i="1"/>
  <c r="U207" i="1"/>
  <c r="T207" i="1"/>
  <c r="F207" i="1"/>
  <c r="GE206" i="1"/>
  <c r="GB206" i="1"/>
  <c r="FW206" i="1"/>
  <c r="FV206" i="1"/>
  <c r="FS206" i="1"/>
  <c r="FO206" i="1"/>
  <c r="FJ206" i="1"/>
  <c r="FF206" i="1"/>
  <c r="FC206" i="1"/>
  <c r="EZ206" i="1"/>
  <c r="ET206" i="1"/>
  <c r="EL206" i="1"/>
  <c r="EI206" i="1"/>
  <c r="EC206" i="1"/>
  <c r="DW206" i="1"/>
  <c r="DS206" i="1"/>
  <c r="DP206" i="1"/>
  <c r="DM206" i="1"/>
  <c r="DI206" i="1"/>
  <c r="DD206" i="1"/>
  <c r="CX206" i="1"/>
  <c r="CP206" i="1"/>
  <c r="CO206" i="1"/>
  <c r="CI206" i="1"/>
  <c r="CC206" i="1"/>
  <c r="BZ206" i="1"/>
  <c r="BV206" i="1"/>
  <c r="BU206" i="1"/>
  <c r="BK206" i="1"/>
  <c r="K204" i="4" s="1"/>
  <c r="BH206" i="1"/>
  <c r="BD206" i="1"/>
  <c r="AZ206" i="1"/>
  <c r="AV206" i="1"/>
  <c r="AP206" i="1"/>
  <c r="AL206" i="1"/>
  <c r="AJ206" i="1"/>
  <c r="AC206" i="1"/>
  <c r="X206" i="1"/>
  <c r="U206" i="1"/>
  <c r="T206" i="1"/>
  <c r="F206" i="1"/>
  <c r="GE205" i="1"/>
  <c r="GB205" i="1"/>
  <c r="FW205" i="1"/>
  <c r="FV205" i="1"/>
  <c r="FS205" i="1"/>
  <c r="FO205" i="1"/>
  <c r="FJ205" i="1"/>
  <c r="FF205" i="1"/>
  <c r="FC205" i="1"/>
  <c r="EZ205" i="1"/>
  <c r="ET205" i="1"/>
  <c r="EL205" i="1"/>
  <c r="EI205" i="1"/>
  <c r="EC205" i="1"/>
  <c r="DW205" i="1"/>
  <c r="DS205" i="1"/>
  <c r="DP205" i="1"/>
  <c r="DM205" i="1"/>
  <c r="DI205" i="1"/>
  <c r="DD205" i="1"/>
  <c r="CX205" i="1"/>
  <c r="CP205" i="1"/>
  <c r="CO205" i="1"/>
  <c r="CI205" i="1"/>
  <c r="CC205" i="1"/>
  <c r="BZ205" i="1"/>
  <c r="BV205" i="1"/>
  <c r="BU205" i="1"/>
  <c r="BK205" i="1"/>
  <c r="BH205" i="1"/>
  <c r="BD205" i="1"/>
  <c r="AZ205" i="1"/>
  <c r="AV205" i="1"/>
  <c r="AP205" i="1"/>
  <c r="AL205" i="1"/>
  <c r="AJ205" i="1"/>
  <c r="AC205" i="1"/>
  <c r="X205" i="1"/>
  <c r="U205" i="1"/>
  <c r="T205" i="1"/>
  <c r="F205" i="1"/>
  <c r="GE204" i="1"/>
  <c r="GB204" i="1"/>
  <c r="FW204" i="1"/>
  <c r="FV204" i="1"/>
  <c r="FS204" i="1"/>
  <c r="FO204" i="1"/>
  <c r="FJ204" i="1"/>
  <c r="FF204" i="1"/>
  <c r="FC204" i="1"/>
  <c r="EZ204" i="1"/>
  <c r="ET204" i="1"/>
  <c r="EL204" i="1"/>
  <c r="EI204" i="1"/>
  <c r="EC204" i="1"/>
  <c r="DW204" i="1"/>
  <c r="DS204" i="1"/>
  <c r="DP204" i="1"/>
  <c r="DM204" i="1"/>
  <c r="DI204" i="1"/>
  <c r="DD204" i="1"/>
  <c r="CX204" i="1"/>
  <c r="CP204" i="1"/>
  <c r="CO204" i="1"/>
  <c r="CI204" i="1"/>
  <c r="CC204" i="1"/>
  <c r="BZ204" i="1"/>
  <c r="BV204" i="1"/>
  <c r="BU204" i="1"/>
  <c r="BK204" i="1"/>
  <c r="BH204" i="1"/>
  <c r="BD204" i="1"/>
  <c r="AZ204" i="1"/>
  <c r="AV204" i="1"/>
  <c r="AP204" i="1"/>
  <c r="AL204" i="1"/>
  <c r="AJ204" i="1"/>
  <c r="AC204" i="1"/>
  <c r="X204" i="1"/>
  <c r="U204" i="1"/>
  <c r="T204" i="1"/>
  <c r="F204" i="1"/>
  <c r="GE203" i="1"/>
  <c r="GB203" i="1"/>
  <c r="FW203" i="1"/>
  <c r="FV203" i="1"/>
  <c r="FS203" i="1"/>
  <c r="FO203" i="1"/>
  <c r="FJ203" i="1"/>
  <c r="FF203" i="1"/>
  <c r="FC203" i="1"/>
  <c r="EZ203" i="1"/>
  <c r="ET203" i="1"/>
  <c r="EL203" i="1"/>
  <c r="EI203" i="1"/>
  <c r="EC203" i="1"/>
  <c r="DW203" i="1"/>
  <c r="DS203" i="1"/>
  <c r="DP203" i="1"/>
  <c r="DM203" i="1"/>
  <c r="DI203" i="1"/>
  <c r="DD203" i="1"/>
  <c r="CX203" i="1"/>
  <c r="CP203" i="1"/>
  <c r="CO203" i="1"/>
  <c r="CI203" i="1"/>
  <c r="CC203" i="1"/>
  <c r="BZ203" i="1"/>
  <c r="BV203" i="1"/>
  <c r="BU203" i="1"/>
  <c r="BK203" i="1"/>
  <c r="K201" i="4" s="1"/>
  <c r="BH203" i="1"/>
  <c r="BD203" i="1"/>
  <c r="AZ203" i="1"/>
  <c r="AV203" i="1"/>
  <c r="AP203" i="1"/>
  <c r="AL203" i="1"/>
  <c r="AJ203" i="1"/>
  <c r="AC203" i="1"/>
  <c r="X203" i="1"/>
  <c r="U203" i="1"/>
  <c r="T203" i="1"/>
  <c r="F203" i="1"/>
  <c r="GE202" i="1"/>
  <c r="GB202" i="1"/>
  <c r="FW202" i="1"/>
  <c r="FV202" i="1"/>
  <c r="FS202" i="1"/>
  <c r="FO202" i="1"/>
  <c r="FJ202" i="1"/>
  <c r="FF202" i="1"/>
  <c r="FE202" i="1" s="1"/>
  <c r="FC202" i="1"/>
  <c r="EZ202" i="1"/>
  <c r="ET202" i="1"/>
  <c r="EL202" i="1"/>
  <c r="EI202" i="1"/>
  <c r="EC202" i="1"/>
  <c r="DW202" i="1"/>
  <c r="DS202" i="1"/>
  <c r="DP202" i="1"/>
  <c r="DM202" i="1"/>
  <c r="DI202" i="1"/>
  <c r="DD202" i="1"/>
  <c r="CX202" i="1"/>
  <c r="CP202" i="1"/>
  <c r="CO202" i="1"/>
  <c r="CI202" i="1"/>
  <c r="CC202" i="1"/>
  <c r="BZ202" i="1"/>
  <c r="BV202" i="1"/>
  <c r="BU202" i="1"/>
  <c r="BK202" i="1"/>
  <c r="K200" i="4" s="1"/>
  <c r="BH202" i="1"/>
  <c r="BD202" i="1"/>
  <c r="AZ202" i="1"/>
  <c r="AV202" i="1"/>
  <c r="AP202" i="1"/>
  <c r="AL202" i="1"/>
  <c r="AJ202" i="1"/>
  <c r="AC202" i="1"/>
  <c r="X202" i="1"/>
  <c r="U202" i="1"/>
  <c r="T202" i="1"/>
  <c r="F202" i="1"/>
  <c r="GE201" i="1"/>
  <c r="GB201" i="1"/>
  <c r="FW201" i="1"/>
  <c r="FV201" i="1"/>
  <c r="FS201" i="1"/>
  <c r="FO201" i="1"/>
  <c r="FJ201" i="1"/>
  <c r="FF201" i="1"/>
  <c r="FC201" i="1"/>
  <c r="EZ201" i="1"/>
  <c r="ET201" i="1"/>
  <c r="EL201" i="1"/>
  <c r="EI201" i="1"/>
  <c r="EC201" i="1"/>
  <c r="DW201" i="1"/>
  <c r="DS201" i="1"/>
  <c r="DP201" i="1"/>
  <c r="DM201" i="1"/>
  <c r="DI201" i="1"/>
  <c r="DD201" i="1"/>
  <c r="CX201" i="1"/>
  <c r="CP201" i="1"/>
  <c r="CO201" i="1"/>
  <c r="CI201" i="1"/>
  <c r="CC201" i="1"/>
  <c r="BZ201" i="1"/>
  <c r="BV201" i="1"/>
  <c r="BU201" i="1"/>
  <c r="BK201" i="1"/>
  <c r="K199" i="4" s="1"/>
  <c r="BH201" i="1"/>
  <c r="BD201" i="1"/>
  <c r="AZ201" i="1"/>
  <c r="AV201" i="1"/>
  <c r="AP201" i="1"/>
  <c r="AL201" i="1"/>
  <c r="AJ201" i="1"/>
  <c r="AC201" i="1"/>
  <c r="X201" i="1"/>
  <c r="U201" i="1"/>
  <c r="T201" i="1"/>
  <c r="F201" i="1"/>
  <c r="GE200" i="1"/>
  <c r="GB200" i="1"/>
  <c r="FW200" i="1"/>
  <c r="FV200" i="1"/>
  <c r="FS200" i="1"/>
  <c r="FO200" i="1"/>
  <c r="FJ200" i="1"/>
  <c r="FF200" i="1"/>
  <c r="FC200" i="1"/>
  <c r="EZ200" i="1"/>
  <c r="ET200" i="1"/>
  <c r="EL200" i="1"/>
  <c r="EI200" i="1"/>
  <c r="EC200" i="1"/>
  <c r="DW200" i="1"/>
  <c r="DS200" i="1"/>
  <c r="DP200" i="1"/>
  <c r="DM200" i="1"/>
  <c r="DI200" i="1"/>
  <c r="DD200" i="1"/>
  <c r="CX200" i="1"/>
  <c r="CP200" i="1"/>
  <c r="CO200" i="1"/>
  <c r="CI200" i="1"/>
  <c r="CC200" i="1"/>
  <c r="BZ200" i="1"/>
  <c r="BV200" i="1"/>
  <c r="BU200" i="1"/>
  <c r="BK200" i="1"/>
  <c r="K198" i="4" s="1"/>
  <c r="BH200" i="1"/>
  <c r="BD200" i="1"/>
  <c r="AZ200" i="1"/>
  <c r="AV200" i="1"/>
  <c r="AP200" i="1"/>
  <c r="AL200" i="1"/>
  <c r="AJ200" i="1"/>
  <c r="AC200" i="1"/>
  <c r="X200" i="1"/>
  <c r="U200" i="1"/>
  <c r="T200" i="1"/>
  <c r="F200" i="1"/>
  <c r="GE199" i="1"/>
  <c r="GB199" i="1"/>
  <c r="FW199" i="1"/>
  <c r="FV199" i="1"/>
  <c r="FS199" i="1"/>
  <c r="FO199" i="1"/>
  <c r="FJ199" i="1"/>
  <c r="FF199" i="1"/>
  <c r="FC199" i="1"/>
  <c r="EZ199" i="1"/>
  <c r="ET199" i="1"/>
  <c r="EL199" i="1"/>
  <c r="EI199" i="1"/>
  <c r="EC199" i="1"/>
  <c r="DW199" i="1"/>
  <c r="DS199" i="1"/>
  <c r="DP199" i="1"/>
  <c r="DM199" i="1"/>
  <c r="DI199" i="1"/>
  <c r="DD199" i="1"/>
  <c r="CX199" i="1"/>
  <c r="CP199" i="1"/>
  <c r="CO199" i="1"/>
  <c r="CI199" i="1"/>
  <c r="CC199" i="1"/>
  <c r="BZ199" i="1"/>
  <c r="BV199" i="1"/>
  <c r="BU199" i="1"/>
  <c r="BK199" i="1"/>
  <c r="K197" i="4" s="1"/>
  <c r="BH199" i="1"/>
  <c r="BD199" i="1"/>
  <c r="AZ199" i="1"/>
  <c r="AV199" i="1"/>
  <c r="AP199" i="1"/>
  <c r="AL199" i="1"/>
  <c r="AJ199" i="1"/>
  <c r="AC199" i="1"/>
  <c r="X199" i="1"/>
  <c r="U199" i="1"/>
  <c r="T199" i="1"/>
  <c r="F199" i="1"/>
  <c r="GE198" i="1"/>
  <c r="GB198" i="1"/>
  <c r="FW198" i="1"/>
  <c r="FV198" i="1"/>
  <c r="FS198" i="1"/>
  <c r="FO198" i="1"/>
  <c r="FJ198" i="1"/>
  <c r="FF198" i="1"/>
  <c r="FE198" i="1" s="1"/>
  <c r="FC198" i="1"/>
  <c r="EZ198" i="1"/>
  <c r="ET198" i="1"/>
  <c r="EL198" i="1"/>
  <c r="EI198" i="1"/>
  <c r="EC198" i="1"/>
  <c r="DW198" i="1"/>
  <c r="DS198" i="1"/>
  <c r="DP198" i="1"/>
  <c r="DM198" i="1"/>
  <c r="DI198" i="1"/>
  <c r="DD198" i="1"/>
  <c r="CX198" i="1"/>
  <c r="CP198" i="1"/>
  <c r="CO198" i="1"/>
  <c r="CI198" i="1"/>
  <c r="CC198" i="1"/>
  <c r="BZ198" i="1"/>
  <c r="BV198" i="1"/>
  <c r="BU198" i="1"/>
  <c r="BK198" i="1"/>
  <c r="K196" i="4" s="1"/>
  <c r="BH198" i="1"/>
  <c r="BD198" i="1"/>
  <c r="AZ198" i="1"/>
  <c r="AV198" i="1"/>
  <c r="AP198" i="1"/>
  <c r="AL198" i="1"/>
  <c r="AJ198" i="1"/>
  <c r="AC198" i="1"/>
  <c r="X198" i="1"/>
  <c r="U198" i="1"/>
  <c r="T198" i="1"/>
  <c r="F198" i="1"/>
  <c r="GE197" i="1"/>
  <c r="GB197" i="1"/>
  <c r="FW197" i="1"/>
  <c r="FV197" i="1"/>
  <c r="FS197" i="1"/>
  <c r="FO197" i="1"/>
  <c r="FJ197" i="1"/>
  <c r="FF197" i="1"/>
  <c r="FC197" i="1"/>
  <c r="EZ197" i="1"/>
  <c r="ET197" i="1"/>
  <c r="EL197" i="1"/>
  <c r="EI197" i="1"/>
  <c r="EC197" i="1"/>
  <c r="DW197" i="1"/>
  <c r="DS197" i="1"/>
  <c r="DP197" i="1"/>
  <c r="DM197" i="1"/>
  <c r="DI197" i="1"/>
  <c r="DD197" i="1"/>
  <c r="CX197" i="1"/>
  <c r="CP197" i="1"/>
  <c r="CO197" i="1"/>
  <c r="CI197" i="1"/>
  <c r="CC197" i="1"/>
  <c r="BZ197" i="1"/>
  <c r="BV197" i="1"/>
  <c r="BU197" i="1"/>
  <c r="BK197" i="1"/>
  <c r="K195" i="4" s="1"/>
  <c r="BH197" i="1"/>
  <c r="BD197" i="1"/>
  <c r="AZ197" i="1"/>
  <c r="AV197" i="1"/>
  <c r="AP197" i="1"/>
  <c r="AL197" i="1"/>
  <c r="AJ197" i="1"/>
  <c r="AC197" i="1"/>
  <c r="X197" i="1"/>
  <c r="U197" i="1"/>
  <c r="T197" i="1"/>
  <c r="F197" i="1"/>
  <c r="GE196" i="1"/>
  <c r="GB196" i="1"/>
  <c r="FW196" i="1"/>
  <c r="FV196" i="1"/>
  <c r="FS196" i="1"/>
  <c r="FO196" i="1"/>
  <c r="FJ196" i="1"/>
  <c r="FF196" i="1"/>
  <c r="FC196" i="1"/>
  <c r="EZ196" i="1"/>
  <c r="ET196" i="1"/>
  <c r="EL196" i="1"/>
  <c r="EI196" i="1"/>
  <c r="EC196" i="1"/>
  <c r="DW196" i="1"/>
  <c r="DS196" i="1"/>
  <c r="DP196" i="1"/>
  <c r="DM196" i="1"/>
  <c r="DI196" i="1"/>
  <c r="DD196" i="1"/>
  <c r="CX196" i="1"/>
  <c r="CP196" i="1"/>
  <c r="CO196" i="1"/>
  <c r="CI196" i="1"/>
  <c r="CC196" i="1"/>
  <c r="BZ196" i="1"/>
  <c r="BV196" i="1"/>
  <c r="BU196" i="1"/>
  <c r="BK196" i="1"/>
  <c r="BH196" i="1"/>
  <c r="BD196" i="1"/>
  <c r="AZ196" i="1"/>
  <c r="AV196" i="1"/>
  <c r="AP196" i="1"/>
  <c r="AL196" i="1"/>
  <c r="AJ196" i="1"/>
  <c r="AC196" i="1"/>
  <c r="X196" i="1"/>
  <c r="U196" i="1"/>
  <c r="T196" i="1"/>
  <c r="F196" i="1"/>
  <c r="GE195" i="1"/>
  <c r="GB195" i="1"/>
  <c r="FW195" i="1"/>
  <c r="FV195" i="1"/>
  <c r="FS195" i="1"/>
  <c r="FO195" i="1"/>
  <c r="FJ195" i="1"/>
  <c r="FF195" i="1"/>
  <c r="FC195" i="1"/>
  <c r="EZ195" i="1"/>
  <c r="ET195" i="1"/>
  <c r="EL195" i="1"/>
  <c r="EI195" i="1"/>
  <c r="EC195" i="1"/>
  <c r="DW195" i="1"/>
  <c r="DS195" i="1"/>
  <c r="DP195" i="1"/>
  <c r="DM195" i="1"/>
  <c r="DI195" i="1"/>
  <c r="DD195" i="1"/>
  <c r="CX195" i="1"/>
  <c r="CP195" i="1"/>
  <c r="CO195" i="1"/>
  <c r="CI195" i="1"/>
  <c r="CC195" i="1"/>
  <c r="BZ195" i="1"/>
  <c r="BV195" i="1"/>
  <c r="BU195" i="1"/>
  <c r="BK195" i="1"/>
  <c r="K193" i="4" s="1"/>
  <c r="BH195" i="1"/>
  <c r="BD195" i="1"/>
  <c r="AZ195" i="1"/>
  <c r="AV195" i="1"/>
  <c r="AP195" i="1"/>
  <c r="AL195" i="1"/>
  <c r="AJ195" i="1"/>
  <c r="AC195" i="1"/>
  <c r="X195" i="1"/>
  <c r="U195" i="1"/>
  <c r="T195" i="1"/>
  <c r="F195" i="1"/>
  <c r="GE194" i="1"/>
  <c r="GB194" i="1"/>
  <c r="FW194" i="1"/>
  <c r="FV194" i="1"/>
  <c r="FS194" i="1"/>
  <c r="FO194" i="1"/>
  <c r="FJ194" i="1"/>
  <c r="FF194" i="1"/>
  <c r="FE194" i="1" s="1"/>
  <c r="FC194" i="1"/>
  <c r="EZ194" i="1"/>
  <c r="ET194" i="1"/>
  <c r="EL194" i="1"/>
  <c r="EI194" i="1"/>
  <c r="EC194" i="1"/>
  <c r="DW194" i="1"/>
  <c r="DS194" i="1"/>
  <c r="DP194" i="1"/>
  <c r="DM194" i="1"/>
  <c r="DI194" i="1"/>
  <c r="DD194" i="1"/>
  <c r="CX194" i="1"/>
  <c r="CP194" i="1"/>
  <c r="CO194" i="1"/>
  <c r="CI194" i="1"/>
  <c r="CC194" i="1"/>
  <c r="BZ194" i="1"/>
  <c r="BV194" i="1"/>
  <c r="BU194" i="1"/>
  <c r="BK194" i="1"/>
  <c r="K192" i="4" s="1"/>
  <c r="BH194" i="1"/>
  <c r="BD194" i="1"/>
  <c r="AZ194" i="1"/>
  <c r="AV194" i="1"/>
  <c r="AP194" i="1"/>
  <c r="AL194" i="1"/>
  <c r="AJ194" i="1"/>
  <c r="AC194" i="1"/>
  <c r="X194" i="1"/>
  <c r="U194" i="1"/>
  <c r="T194" i="1"/>
  <c r="F194" i="1"/>
  <c r="GE193" i="1"/>
  <c r="GB193" i="1"/>
  <c r="FW193" i="1"/>
  <c r="FV193" i="1"/>
  <c r="FS193" i="1"/>
  <c r="FO193" i="1"/>
  <c r="FJ193" i="1"/>
  <c r="FF193" i="1"/>
  <c r="FC193" i="1"/>
  <c r="EZ193" i="1"/>
  <c r="ET193" i="1"/>
  <c r="EL193" i="1"/>
  <c r="EI193" i="1"/>
  <c r="EC193" i="1"/>
  <c r="DW193" i="1"/>
  <c r="DS193" i="1"/>
  <c r="DP193" i="1"/>
  <c r="DM193" i="1"/>
  <c r="DI193" i="1"/>
  <c r="DD193" i="1"/>
  <c r="CX193" i="1"/>
  <c r="CP193" i="1"/>
  <c r="CO193" i="1"/>
  <c r="CI193" i="1"/>
  <c r="CC193" i="1"/>
  <c r="BZ193" i="1"/>
  <c r="BV193" i="1"/>
  <c r="BU193" i="1"/>
  <c r="BK193" i="1"/>
  <c r="K191" i="4" s="1"/>
  <c r="BH193" i="1"/>
  <c r="BD193" i="1"/>
  <c r="AZ193" i="1"/>
  <c r="AV193" i="1"/>
  <c r="AP193" i="1"/>
  <c r="AL193" i="1"/>
  <c r="AJ193" i="1"/>
  <c r="AC193" i="1"/>
  <c r="X193" i="1"/>
  <c r="U193" i="1"/>
  <c r="T193" i="1"/>
  <c r="F193" i="1"/>
  <c r="GE192" i="1"/>
  <c r="GB192" i="1"/>
  <c r="FW192" i="1"/>
  <c r="FV192" i="1"/>
  <c r="FS192" i="1"/>
  <c r="FO192" i="1"/>
  <c r="FJ192" i="1"/>
  <c r="FF192" i="1"/>
  <c r="FC192" i="1"/>
  <c r="EZ192" i="1"/>
  <c r="ET192" i="1"/>
  <c r="EL192" i="1"/>
  <c r="EI192" i="1"/>
  <c r="EC192" i="1"/>
  <c r="DW192" i="1"/>
  <c r="DS192" i="1"/>
  <c r="DP192" i="1"/>
  <c r="DM192" i="1"/>
  <c r="DI192" i="1"/>
  <c r="DD192" i="1"/>
  <c r="CX192" i="1"/>
  <c r="CP192" i="1"/>
  <c r="CO192" i="1"/>
  <c r="CI192" i="1"/>
  <c r="CC192" i="1"/>
  <c r="BZ192" i="1"/>
  <c r="BV192" i="1"/>
  <c r="BU192" i="1"/>
  <c r="BK192" i="1"/>
  <c r="K190" i="4" s="1"/>
  <c r="BH192" i="1"/>
  <c r="BD192" i="1"/>
  <c r="AZ192" i="1"/>
  <c r="AV192" i="1"/>
  <c r="AP192" i="1"/>
  <c r="AL192" i="1"/>
  <c r="AJ192" i="1"/>
  <c r="AC192" i="1"/>
  <c r="X192" i="1"/>
  <c r="U192" i="1"/>
  <c r="T192" i="1"/>
  <c r="F192" i="1"/>
  <c r="GE191" i="1"/>
  <c r="GB191" i="1"/>
  <c r="FW191" i="1"/>
  <c r="FV191" i="1"/>
  <c r="FS191" i="1"/>
  <c r="FO191" i="1"/>
  <c r="FJ191" i="1"/>
  <c r="FF191" i="1"/>
  <c r="FC191" i="1"/>
  <c r="EZ191" i="1"/>
  <c r="ET191" i="1"/>
  <c r="EL191" i="1"/>
  <c r="EI191" i="1"/>
  <c r="EC191" i="1"/>
  <c r="DW191" i="1"/>
  <c r="DS191" i="1"/>
  <c r="DP191" i="1"/>
  <c r="DM191" i="1"/>
  <c r="DI191" i="1"/>
  <c r="DD191" i="1"/>
  <c r="CX191" i="1"/>
  <c r="CP191" i="1"/>
  <c r="CO191" i="1"/>
  <c r="CI191" i="1"/>
  <c r="CC191" i="1"/>
  <c r="BZ191" i="1"/>
  <c r="BV191" i="1"/>
  <c r="BU191" i="1"/>
  <c r="BK191" i="1"/>
  <c r="K189" i="4" s="1"/>
  <c r="BH191" i="1"/>
  <c r="BD191" i="1"/>
  <c r="AZ191" i="1"/>
  <c r="AV191" i="1"/>
  <c r="AP191" i="1"/>
  <c r="AL191" i="1"/>
  <c r="AJ191" i="1"/>
  <c r="AC191" i="1"/>
  <c r="X191" i="1"/>
  <c r="U191" i="1"/>
  <c r="T191" i="1"/>
  <c r="F191" i="1"/>
  <c r="GE190" i="1"/>
  <c r="GB190" i="1"/>
  <c r="FW190" i="1"/>
  <c r="FV190" i="1"/>
  <c r="FS190" i="1"/>
  <c r="FO190" i="1"/>
  <c r="FJ190" i="1"/>
  <c r="FF190" i="1"/>
  <c r="FC190" i="1"/>
  <c r="EZ190" i="1"/>
  <c r="ET190" i="1"/>
  <c r="EL190" i="1"/>
  <c r="EI190" i="1"/>
  <c r="EC190" i="1"/>
  <c r="DW190" i="1"/>
  <c r="DS190" i="1"/>
  <c r="DP190" i="1"/>
  <c r="DM190" i="1"/>
  <c r="DI190" i="1"/>
  <c r="DD190" i="1"/>
  <c r="CX190" i="1"/>
  <c r="CP190" i="1"/>
  <c r="CO190" i="1"/>
  <c r="CI190" i="1"/>
  <c r="CC190" i="1"/>
  <c r="BZ190" i="1"/>
  <c r="BV190" i="1"/>
  <c r="BU190" i="1"/>
  <c r="BK190" i="1"/>
  <c r="K188" i="4" s="1"/>
  <c r="BH190" i="1"/>
  <c r="BD190" i="1"/>
  <c r="AZ190" i="1"/>
  <c r="AV190" i="1"/>
  <c r="AP190" i="1"/>
  <c r="AL190" i="1"/>
  <c r="AJ190" i="1"/>
  <c r="AC190" i="1"/>
  <c r="X190" i="1"/>
  <c r="U190" i="1"/>
  <c r="T190" i="1"/>
  <c r="F190" i="1"/>
  <c r="GE189" i="1"/>
  <c r="GB189" i="1"/>
  <c r="FW189" i="1"/>
  <c r="FV189" i="1"/>
  <c r="FS189" i="1"/>
  <c r="FO189" i="1"/>
  <c r="FJ189" i="1"/>
  <c r="FF189" i="1"/>
  <c r="FC189" i="1"/>
  <c r="EZ189" i="1"/>
  <c r="ET189" i="1"/>
  <c r="EL189" i="1"/>
  <c r="EI189" i="1"/>
  <c r="EC189" i="1"/>
  <c r="DW189" i="1"/>
  <c r="DS189" i="1"/>
  <c r="DP189" i="1"/>
  <c r="DM189" i="1"/>
  <c r="DI189" i="1"/>
  <c r="DD189" i="1"/>
  <c r="CX189" i="1"/>
  <c r="CP189" i="1"/>
  <c r="CO189" i="1"/>
  <c r="CI189" i="1"/>
  <c r="CC189" i="1"/>
  <c r="BZ189" i="1"/>
  <c r="BV189" i="1"/>
  <c r="BU189" i="1"/>
  <c r="BK189" i="1"/>
  <c r="K187" i="4" s="1"/>
  <c r="BH189" i="1"/>
  <c r="BD189" i="1"/>
  <c r="AZ189" i="1"/>
  <c r="AV189" i="1"/>
  <c r="AP189" i="1"/>
  <c r="AL189" i="1"/>
  <c r="AJ189" i="1"/>
  <c r="AC189" i="1"/>
  <c r="X189" i="1"/>
  <c r="U189" i="1"/>
  <c r="T189" i="1"/>
  <c r="F189" i="1"/>
  <c r="GE188" i="1"/>
  <c r="GB188" i="1"/>
  <c r="FW188" i="1"/>
  <c r="FV188" i="1"/>
  <c r="FS188" i="1"/>
  <c r="FO188" i="1"/>
  <c r="FJ188" i="1"/>
  <c r="FF188" i="1"/>
  <c r="FC188" i="1"/>
  <c r="EZ188" i="1"/>
  <c r="ET188" i="1"/>
  <c r="EL188" i="1"/>
  <c r="EI188" i="1"/>
  <c r="EC188" i="1"/>
  <c r="DW188" i="1"/>
  <c r="DS188" i="1"/>
  <c r="DP188" i="1"/>
  <c r="DM188" i="1"/>
  <c r="DI188" i="1"/>
  <c r="DD188" i="1"/>
  <c r="CX188" i="1"/>
  <c r="CP188" i="1"/>
  <c r="CO188" i="1"/>
  <c r="CI188" i="1"/>
  <c r="CC188" i="1"/>
  <c r="BZ188" i="1"/>
  <c r="BV188" i="1"/>
  <c r="BU188" i="1"/>
  <c r="BK188" i="1"/>
  <c r="K186" i="4" s="1"/>
  <c r="BH188" i="1"/>
  <c r="BD188" i="1"/>
  <c r="AZ188" i="1"/>
  <c r="AV188" i="1"/>
  <c r="AP188" i="1"/>
  <c r="AL188" i="1"/>
  <c r="AJ188" i="1"/>
  <c r="AC188" i="1"/>
  <c r="X188" i="1"/>
  <c r="U188" i="1"/>
  <c r="T188" i="1"/>
  <c r="F188" i="1"/>
  <c r="GE187" i="1"/>
  <c r="GB187" i="1"/>
  <c r="FW187" i="1"/>
  <c r="FV187" i="1"/>
  <c r="FS187" i="1"/>
  <c r="FO187" i="1"/>
  <c r="FJ187" i="1"/>
  <c r="FF187" i="1"/>
  <c r="FC187" i="1"/>
  <c r="EZ187" i="1"/>
  <c r="ET187" i="1"/>
  <c r="EL187" i="1"/>
  <c r="EI187" i="1"/>
  <c r="EC187" i="1"/>
  <c r="DW187" i="1"/>
  <c r="DS187" i="1"/>
  <c r="DP187" i="1"/>
  <c r="DM187" i="1"/>
  <c r="DI187" i="1"/>
  <c r="DD187" i="1"/>
  <c r="CX187" i="1"/>
  <c r="CP187" i="1"/>
  <c r="CO187" i="1"/>
  <c r="CI187" i="1"/>
  <c r="CC187" i="1"/>
  <c r="BZ187" i="1"/>
  <c r="BV187" i="1"/>
  <c r="BU187" i="1"/>
  <c r="BK187" i="1"/>
  <c r="K185" i="4" s="1"/>
  <c r="BH187" i="1"/>
  <c r="BD187" i="1"/>
  <c r="AZ187" i="1"/>
  <c r="AV187" i="1"/>
  <c r="AP187" i="1"/>
  <c r="AL187" i="1"/>
  <c r="AJ187" i="1"/>
  <c r="AC187" i="1"/>
  <c r="X187" i="1"/>
  <c r="U187" i="1"/>
  <c r="T187" i="1"/>
  <c r="F187" i="1"/>
  <c r="GE186" i="1"/>
  <c r="GB186" i="1"/>
  <c r="FW186" i="1"/>
  <c r="FV186" i="1"/>
  <c r="FS186" i="1"/>
  <c r="FO186" i="1"/>
  <c r="FJ186" i="1"/>
  <c r="FF186" i="1"/>
  <c r="FC186" i="1"/>
  <c r="EZ186" i="1"/>
  <c r="ET186" i="1"/>
  <c r="EL186" i="1"/>
  <c r="EI186" i="1"/>
  <c r="EC186" i="1"/>
  <c r="DW186" i="1"/>
  <c r="DS186" i="1"/>
  <c r="DP186" i="1"/>
  <c r="DM186" i="1"/>
  <c r="DI186" i="1"/>
  <c r="DD186" i="1"/>
  <c r="CX186" i="1"/>
  <c r="CP186" i="1"/>
  <c r="CO186" i="1"/>
  <c r="CI186" i="1"/>
  <c r="CC186" i="1"/>
  <c r="BZ186" i="1"/>
  <c r="BV186" i="1"/>
  <c r="BU186" i="1"/>
  <c r="BK186" i="1"/>
  <c r="K184" i="4" s="1"/>
  <c r="BH186" i="1"/>
  <c r="BD186" i="1"/>
  <c r="AZ186" i="1"/>
  <c r="AV186" i="1"/>
  <c r="AP186" i="1"/>
  <c r="AL186" i="1"/>
  <c r="AJ186" i="1"/>
  <c r="AC186" i="1"/>
  <c r="X186" i="1"/>
  <c r="U186" i="1"/>
  <c r="T186" i="1"/>
  <c r="F186" i="1"/>
  <c r="GE185" i="1"/>
  <c r="GB185" i="1"/>
  <c r="FW185" i="1"/>
  <c r="FV185" i="1"/>
  <c r="FS185" i="1"/>
  <c r="FO185" i="1"/>
  <c r="FJ185" i="1"/>
  <c r="FF185" i="1"/>
  <c r="FC185" i="1"/>
  <c r="EZ185" i="1"/>
  <c r="ET185" i="1"/>
  <c r="EL185" i="1"/>
  <c r="EI185" i="1"/>
  <c r="EC185" i="1"/>
  <c r="DW185" i="1"/>
  <c r="DS185" i="1"/>
  <c r="DP185" i="1"/>
  <c r="DM185" i="1"/>
  <c r="DI185" i="1"/>
  <c r="DD185" i="1"/>
  <c r="CX185" i="1"/>
  <c r="CP185" i="1"/>
  <c r="CO185" i="1"/>
  <c r="CI185" i="1"/>
  <c r="CC185" i="1"/>
  <c r="BZ185" i="1"/>
  <c r="BV185" i="1"/>
  <c r="BU185" i="1"/>
  <c r="BK185" i="1"/>
  <c r="K183" i="4" s="1"/>
  <c r="BH185" i="1"/>
  <c r="BD185" i="1"/>
  <c r="AZ185" i="1"/>
  <c r="AV185" i="1"/>
  <c r="AP185" i="1"/>
  <c r="AL185" i="1"/>
  <c r="AJ185" i="1"/>
  <c r="AC185" i="1"/>
  <c r="X185" i="1"/>
  <c r="U185" i="1"/>
  <c r="T185" i="1"/>
  <c r="F185" i="1"/>
  <c r="GE184" i="1"/>
  <c r="GB184" i="1"/>
  <c r="FW184" i="1"/>
  <c r="FV184" i="1"/>
  <c r="FS184" i="1"/>
  <c r="FO184" i="1"/>
  <c r="FJ184" i="1"/>
  <c r="FF184" i="1"/>
  <c r="FC184" i="1"/>
  <c r="EZ184" i="1"/>
  <c r="ET184" i="1"/>
  <c r="EL184" i="1"/>
  <c r="EI184" i="1"/>
  <c r="EC184" i="1"/>
  <c r="DW184" i="1"/>
  <c r="DS184" i="1"/>
  <c r="DP184" i="1"/>
  <c r="DM184" i="1"/>
  <c r="DI184" i="1"/>
  <c r="DD184" i="1"/>
  <c r="CX184" i="1"/>
  <c r="CP184" i="1"/>
  <c r="CO184" i="1"/>
  <c r="CI184" i="1"/>
  <c r="CC184" i="1"/>
  <c r="BZ184" i="1"/>
  <c r="BV184" i="1"/>
  <c r="BU184" i="1"/>
  <c r="BK184" i="1"/>
  <c r="K182" i="4" s="1"/>
  <c r="BH184" i="1"/>
  <c r="BD184" i="1"/>
  <c r="AZ184" i="1"/>
  <c r="AV184" i="1"/>
  <c r="AP184" i="1"/>
  <c r="AL184" i="1"/>
  <c r="AJ184" i="1"/>
  <c r="AC184" i="1"/>
  <c r="X184" i="1"/>
  <c r="U184" i="1"/>
  <c r="T184" i="1"/>
  <c r="F184" i="1"/>
  <c r="GE183" i="1"/>
  <c r="GB183" i="1"/>
  <c r="FW183" i="1"/>
  <c r="FV183" i="1"/>
  <c r="FS183" i="1"/>
  <c r="FO183" i="1"/>
  <c r="FJ183" i="1"/>
  <c r="FF183" i="1"/>
  <c r="FC183" i="1"/>
  <c r="EZ183" i="1"/>
  <c r="ET183" i="1"/>
  <c r="EL183" i="1"/>
  <c r="EI183" i="1"/>
  <c r="EC183" i="1"/>
  <c r="DW183" i="1"/>
  <c r="DS183" i="1"/>
  <c r="DP183" i="1"/>
  <c r="DM183" i="1"/>
  <c r="DI183" i="1"/>
  <c r="DD183" i="1"/>
  <c r="CX183" i="1"/>
  <c r="CP183" i="1"/>
  <c r="CO183" i="1"/>
  <c r="CI183" i="1"/>
  <c r="CC183" i="1"/>
  <c r="BZ183" i="1"/>
  <c r="BV183" i="1"/>
  <c r="BU183" i="1"/>
  <c r="BK183" i="1"/>
  <c r="K181" i="4" s="1"/>
  <c r="BH183" i="1"/>
  <c r="BD183" i="1"/>
  <c r="AZ183" i="1"/>
  <c r="AV183" i="1"/>
  <c r="AP183" i="1"/>
  <c r="AL183" i="1"/>
  <c r="AJ183" i="1"/>
  <c r="AC183" i="1"/>
  <c r="X183" i="1"/>
  <c r="U183" i="1"/>
  <c r="T183" i="1"/>
  <c r="F183" i="1"/>
  <c r="GE182" i="1"/>
  <c r="GB182" i="1"/>
  <c r="FW182" i="1"/>
  <c r="FV182" i="1"/>
  <c r="FS182" i="1"/>
  <c r="FO182" i="1"/>
  <c r="FJ182" i="1"/>
  <c r="FF182" i="1"/>
  <c r="FC182" i="1"/>
  <c r="EZ182" i="1"/>
  <c r="ET182" i="1"/>
  <c r="EL182" i="1"/>
  <c r="EI182" i="1"/>
  <c r="EC182" i="1"/>
  <c r="DW182" i="1"/>
  <c r="DS182" i="1"/>
  <c r="DP182" i="1"/>
  <c r="DM182" i="1"/>
  <c r="DI182" i="1"/>
  <c r="DD182" i="1"/>
  <c r="CX182" i="1"/>
  <c r="CP182" i="1"/>
  <c r="CO182" i="1"/>
  <c r="CI182" i="1"/>
  <c r="CC182" i="1"/>
  <c r="BZ182" i="1"/>
  <c r="BV182" i="1"/>
  <c r="BU182" i="1"/>
  <c r="BK182" i="1"/>
  <c r="K180" i="4" s="1"/>
  <c r="BH182" i="1"/>
  <c r="BD182" i="1"/>
  <c r="AZ182" i="1"/>
  <c r="AV182" i="1"/>
  <c r="AP182" i="1"/>
  <c r="AL182" i="1"/>
  <c r="AJ182" i="1"/>
  <c r="AC182" i="1"/>
  <c r="X182" i="1"/>
  <c r="U182" i="1"/>
  <c r="T182" i="1"/>
  <c r="F182" i="1"/>
  <c r="GE181" i="1"/>
  <c r="GB181" i="1"/>
  <c r="FW181" i="1"/>
  <c r="FV181" i="1"/>
  <c r="FS181" i="1"/>
  <c r="FO181" i="1"/>
  <c r="FJ181" i="1"/>
  <c r="FF181" i="1"/>
  <c r="FC181" i="1"/>
  <c r="EZ181" i="1"/>
  <c r="ET181" i="1"/>
  <c r="EL181" i="1"/>
  <c r="EI181" i="1"/>
  <c r="EC181" i="1"/>
  <c r="DW181" i="1"/>
  <c r="DS181" i="1"/>
  <c r="DP181" i="1"/>
  <c r="DM181" i="1"/>
  <c r="DI181" i="1"/>
  <c r="DD181" i="1"/>
  <c r="CX181" i="1"/>
  <c r="CP181" i="1"/>
  <c r="CO181" i="1"/>
  <c r="CI181" i="1"/>
  <c r="CC181" i="1"/>
  <c r="BZ181" i="1"/>
  <c r="BV181" i="1"/>
  <c r="BU181" i="1"/>
  <c r="BK181" i="1"/>
  <c r="K179" i="4" s="1"/>
  <c r="BH181" i="1"/>
  <c r="BD181" i="1"/>
  <c r="AZ181" i="1"/>
  <c r="AV181" i="1"/>
  <c r="AP181" i="1"/>
  <c r="AL181" i="1"/>
  <c r="AJ181" i="1"/>
  <c r="AC181" i="1"/>
  <c r="X181" i="1"/>
  <c r="U181" i="1"/>
  <c r="T181" i="1"/>
  <c r="F181" i="1"/>
  <c r="GE180" i="1"/>
  <c r="GB180" i="1"/>
  <c r="FW180" i="1"/>
  <c r="FV180" i="1"/>
  <c r="FS180" i="1"/>
  <c r="FO180" i="1"/>
  <c r="FJ180" i="1"/>
  <c r="FF180" i="1"/>
  <c r="FC180" i="1"/>
  <c r="EZ180" i="1"/>
  <c r="ET180" i="1"/>
  <c r="EL180" i="1"/>
  <c r="EI180" i="1"/>
  <c r="EC180" i="1"/>
  <c r="DW180" i="1"/>
  <c r="DS180" i="1"/>
  <c r="DP180" i="1"/>
  <c r="DM180" i="1"/>
  <c r="DI180" i="1"/>
  <c r="DD180" i="1"/>
  <c r="CX180" i="1"/>
  <c r="CP180" i="1"/>
  <c r="CO180" i="1"/>
  <c r="CI180" i="1"/>
  <c r="CC180" i="1"/>
  <c r="BZ180" i="1"/>
  <c r="BV180" i="1"/>
  <c r="BU180" i="1"/>
  <c r="BK180" i="1"/>
  <c r="K178" i="4" s="1"/>
  <c r="BH180" i="1"/>
  <c r="BD180" i="1"/>
  <c r="AZ180" i="1"/>
  <c r="AV180" i="1"/>
  <c r="AP180" i="1"/>
  <c r="AL180" i="1"/>
  <c r="AJ180" i="1"/>
  <c r="AC180" i="1"/>
  <c r="X180" i="1"/>
  <c r="U180" i="1"/>
  <c r="T180" i="1"/>
  <c r="F180" i="1"/>
  <c r="GE179" i="1"/>
  <c r="GB179" i="1"/>
  <c r="FW179" i="1"/>
  <c r="FV179" i="1"/>
  <c r="FS179" i="1"/>
  <c r="FO179" i="1"/>
  <c r="FJ179" i="1"/>
  <c r="FF179" i="1"/>
  <c r="FC179" i="1"/>
  <c r="EZ179" i="1"/>
  <c r="ET179" i="1"/>
  <c r="EL179" i="1"/>
  <c r="EI179" i="1"/>
  <c r="EC179" i="1"/>
  <c r="DW179" i="1"/>
  <c r="DS179" i="1"/>
  <c r="DP179" i="1"/>
  <c r="DM179" i="1"/>
  <c r="DI179" i="1"/>
  <c r="DD179" i="1"/>
  <c r="CX179" i="1"/>
  <c r="CP179" i="1"/>
  <c r="CO179" i="1"/>
  <c r="CI179" i="1"/>
  <c r="CC179" i="1"/>
  <c r="BZ179" i="1"/>
  <c r="BV179" i="1"/>
  <c r="BU179" i="1"/>
  <c r="BK179" i="1"/>
  <c r="K177" i="4" s="1"/>
  <c r="BH179" i="1"/>
  <c r="BD179" i="1"/>
  <c r="AZ179" i="1"/>
  <c r="AV179" i="1"/>
  <c r="AP179" i="1"/>
  <c r="AL179" i="1"/>
  <c r="AJ179" i="1"/>
  <c r="AC179" i="1"/>
  <c r="X179" i="1"/>
  <c r="U179" i="1"/>
  <c r="T179" i="1"/>
  <c r="F179" i="1"/>
  <c r="GE178" i="1"/>
  <c r="GB178" i="1"/>
  <c r="FW178" i="1"/>
  <c r="FV178" i="1"/>
  <c r="FS178" i="1"/>
  <c r="FO178" i="1"/>
  <c r="FJ178" i="1"/>
  <c r="FF178" i="1"/>
  <c r="FC178" i="1"/>
  <c r="EZ178" i="1"/>
  <c r="ET178" i="1"/>
  <c r="EL178" i="1"/>
  <c r="EI178" i="1"/>
  <c r="EC178" i="1"/>
  <c r="DW178" i="1"/>
  <c r="DS178" i="1"/>
  <c r="DP178" i="1"/>
  <c r="DM178" i="1"/>
  <c r="DI178" i="1"/>
  <c r="DD178" i="1"/>
  <c r="CX178" i="1"/>
  <c r="CP178" i="1"/>
  <c r="CO178" i="1"/>
  <c r="CI178" i="1"/>
  <c r="CC178" i="1"/>
  <c r="BZ178" i="1"/>
  <c r="BV178" i="1"/>
  <c r="BU178" i="1"/>
  <c r="BK178" i="1"/>
  <c r="K176" i="4" s="1"/>
  <c r="BH178" i="1"/>
  <c r="BD178" i="1"/>
  <c r="AZ178" i="1"/>
  <c r="AV178" i="1"/>
  <c r="AP178" i="1"/>
  <c r="AL178" i="1"/>
  <c r="AJ178" i="1"/>
  <c r="AC178" i="1"/>
  <c r="X178" i="1"/>
  <c r="U178" i="1"/>
  <c r="T178" i="1"/>
  <c r="F178" i="1"/>
  <c r="GE177" i="1"/>
  <c r="GB177" i="1"/>
  <c r="FW177" i="1"/>
  <c r="FV177" i="1"/>
  <c r="FS177" i="1"/>
  <c r="FO177" i="1"/>
  <c r="FJ177" i="1"/>
  <c r="FF177" i="1"/>
  <c r="FC177" i="1"/>
  <c r="EZ177" i="1"/>
  <c r="ET177" i="1"/>
  <c r="EL177" i="1"/>
  <c r="EI177" i="1"/>
  <c r="EC177" i="1"/>
  <c r="DW177" i="1"/>
  <c r="DS177" i="1"/>
  <c r="DP177" i="1"/>
  <c r="DM177" i="1"/>
  <c r="DI177" i="1"/>
  <c r="DD177" i="1"/>
  <c r="CX177" i="1"/>
  <c r="CP177" i="1"/>
  <c r="CO177" i="1"/>
  <c r="CI177" i="1"/>
  <c r="CC177" i="1"/>
  <c r="BZ177" i="1"/>
  <c r="BV177" i="1"/>
  <c r="BU177" i="1"/>
  <c r="BK177" i="1"/>
  <c r="BH177" i="1"/>
  <c r="BD177" i="1"/>
  <c r="AZ177" i="1"/>
  <c r="AV177" i="1"/>
  <c r="AP177" i="1"/>
  <c r="AL177" i="1"/>
  <c r="AJ177" i="1"/>
  <c r="AC177" i="1"/>
  <c r="X177" i="1"/>
  <c r="U177" i="1"/>
  <c r="T177" i="1"/>
  <c r="F177" i="1"/>
  <c r="GE176" i="1"/>
  <c r="GB176" i="1"/>
  <c r="FW176" i="1"/>
  <c r="FV176" i="1"/>
  <c r="FS176" i="1"/>
  <c r="FO176" i="1"/>
  <c r="FJ176" i="1"/>
  <c r="FF176" i="1"/>
  <c r="FC176" i="1"/>
  <c r="EZ176" i="1"/>
  <c r="ET176" i="1"/>
  <c r="EL176" i="1"/>
  <c r="EI176" i="1"/>
  <c r="EC176" i="1"/>
  <c r="DW176" i="1"/>
  <c r="DS176" i="1"/>
  <c r="DP176" i="1"/>
  <c r="DM176" i="1"/>
  <c r="DI176" i="1"/>
  <c r="DD176" i="1"/>
  <c r="CX176" i="1"/>
  <c r="CP176" i="1"/>
  <c r="CO176" i="1"/>
  <c r="CI176" i="1"/>
  <c r="CC176" i="1"/>
  <c r="BZ176" i="1"/>
  <c r="BV176" i="1"/>
  <c r="BU176" i="1"/>
  <c r="BK176" i="1"/>
  <c r="K174" i="4" s="1"/>
  <c r="BH176" i="1"/>
  <c r="BD176" i="1"/>
  <c r="AZ176" i="1"/>
  <c r="AV176" i="1"/>
  <c r="AP176" i="1"/>
  <c r="AL176" i="1"/>
  <c r="AJ176" i="1"/>
  <c r="AC176" i="1"/>
  <c r="X176" i="1"/>
  <c r="U176" i="1"/>
  <c r="T176" i="1"/>
  <c r="F176" i="1"/>
  <c r="GE175" i="1"/>
  <c r="GB175" i="1"/>
  <c r="FW175" i="1"/>
  <c r="FV175" i="1"/>
  <c r="FS175" i="1"/>
  <c r="FO175" i="1"/>
  <c r="FJ175" i="1"/>
  <c r="FF175" i="1"/>
  <c r="FC175" i="1"/>
  <c r="EZ175" i="1"/>
  <c r="ET175" i="1"/>
  <c r="EL175" i="1"/>
  <c r="EI175" i="1"/>
  <c r="EC175" i="1"/>
  <c r="DW175" i="1"/>
  <c r="DS175" i="1"/>
  <c r="DP175" i="1"/>
  <c r="DM175" i="1"/>
  <c r="DI175" i="1"/>
  <c r="DD175" i="1"/>
  <c r="CX175" i="1"/>
  <c r="CP175" i="1"/>
  <c r="CO175" i="1"/>
  <c r="CI175" i="1"/>
  <c r="CC175" i="1"/>
  <c r="BZ175" i="1"/>
  <c r="BV175" i="1"/>
  <c r="BU175" i="1"/>
  <c r="BK175" i="1"/>
  <c r="K173" i="4" s="1"/>
  <c r="BH175" i="1"/>
  <c r="BD175" i="1"/>
  <c r="AZ175" i="1"/>
  <c r="AV175" i="1"/>
  <c r="AP175" i="1"/>
  <c r="AL175" i="1"/>
  <c r="AJ175" i="1"/>
  <c r="AC175" i="1"/>
  <c r="X175" i="1"/>
  <c r="U175" i="1"/>
  <c r="T175" i="1"/>
  <c r="F175" i="1"/>
  <c r="GE174" i="1"/>
  <c r="GB174" i="1"/>
  <c r="FW174" i="1"/>
  <c r="FV174" i="1"/>
  <c r="FS174" i="1"/>
  <c r="FO174" i="1"/>
  <c r="FJ174" i="1"/>
  <c r="FF174" i="1"/>
  <c r="FC174" i="1"/>
  <c r="EZ174" i="1"/>
  <c r="ET174" i="1"/>
  <c r="EL174" i="1"/>
  <c r="EI174" i="1"/>
  <c r="EC174" i="1"/>
  <c r="DW174" i="1"/>
  <c r="DS174" i="1"/>
  <c r="DP174" i="1"/>
  <c r="DM174" i="1"/>
  <c r="DI174" i="1"/>
  <c r="DD174" i="1"/>
  <c r="CX174" i="1"/>
  <c r="CP174" i="1"/>
  <c r="CO174" i="1"/>
  <c r="CI174" i="1"/>
  <c r="CC174" i="1"/>
  <c r="BZ174" i="1"/>
  <c r="BV174" i="1"/>
  <c r="BU174" i="1"/>
  <c r="BK174" i="1"/>
  <c r="K172" i="4" s="1"/>
  <c r="BH174" i="1"/>
  <c r="BD174" i="1"/>
  <c r="AZ174" i="1"/>
  <c r="AV174" i="1"/>
  <c r="AP174" i="1"/>
  <c r="AL174" i="1"/>
  <c r="AJ174" i="1"/>
  <c r="AC174" i="1"/>
  <c r="X174" i="1"/>
  <c r="U174" i="1"/>
  <c r="T174" i="1"/>
  <c r="F174" i="1"/>
  <c r="GE173" i="1"/>
  <c r="GB173" i="1"/>
  <c r="FW173" i="1"/>
  <c r="FV173" i="1"/>
  <c r="FS173" i="1"/>
  <c r="FO173" i="1"/>
  <c r="FJ173" i="1"/>
  <c r="FF173" i="1"/>
  <c r="FC173" i="1"/>
  <c r="EZ173" i="1"/>
  <c r="ET173" i="1"/>
  <c r="EL173" i="1"/>
  <c r="EI173" i="1"/>
  <c r="EC173" i="1"/>
  <c r="DW173" i="1"/>
  <c r="DS173" i="1"/>
  <c r="DP173" i="1"/>
  <c r="DM173" i="1"/>
  <c r="DI173" i="1"/>
  <c r="DD173" i="1"/>
  <c r="CX173" i="1"/>
  <c r="CP173" i="1"/>
  <c r="CO173" i="1"/>
  <c r="CI173" i="1"/>
  <c r="CC173" i="1"/>
  <c r="BZ173" i="1"/>
  <c r="BV173" i="1"/>
  <c r="BU173" i="1"/>
  <c r="BK173" i="1"/>
  <c r="BH173" i="1"/>
  <c r="BD173" i="1"/>
  <c r="AZ173" i="1"/>
  <c r="AV173" i="1"/>
  <c r="AP173" i="1"/>
  <c r="AL173" i="1"/>
  <c r="AJ173" i="1"/>
  <c r="AC173" i="1"/>
  <c r="X173" i="1"/>
  <c r="U173" i="1"/>
  <c r="T173" i="1"/>
  <c r="F173" i="1"/>
  <c r="GE172" i="1"/>
  <c r="GB172" i="1"/>
  <c r="FW172" i="1"/>
  <c r="FV172" i="1"/>
  <c r="FS172" i="1"/>
  <c r="FO172" i="1"/>
  <c r="FJ172" i="1"/>
  <c r="FF172" i="1"/>
  <c r="FC172" i="1"/>
  <c r="EZ172" i="1"/>
  <c r="ET172" i="1"/>
  <c r="EL172" i="1"/>
  <c r="EI172" i="1"/>
  <c r="EC172" i="1"/>
  <c r="DW172" i="1"/>
  <c r="DS172" i="1"/>
  <c r="DP172" i="1"/>
  <c r="DM172" i="1"/>
  <c r="DI172" i="1"/>
  <c r="DD172" i="1"/>
  <c r="CX172" i="1"/>
  <c r="CP172" i="1"/>
  <c r="CO172" i="1"/>
  <c r="CI172" i="1"/>
  <c r="CC172" i="1"/>
  <c r="BZ172" i="1"/>
  <c r="BV172" i="1"/>
  <c r="BU172" i="1"/>
  <c r="BK172" i="1"/>
  <c r="BH172" i="1"/>
  <c r="BD172" i="1"/>
  <c r="AZ172" i="1"/>
  <c r="AV172" i="1"/>
  <c r="AP172" i="1"/>
  <c r="AL172" i="1"/>
  <c r="AJ172" i="1"/>
  <c r="AC172" i="1"/>
  <c r="X172" i="1"/>
  <c r="U172" i="1"/>
  <c r="T172" i="1"/>
  <c r="F172" i="1"/>
  <c r="GE171" i="1"/>
  <c r="GB171" i="1"/>
  <c r="FW171" i="1"/>
  <c r="FV171" i="1"/>
  <c r="FS171" i="1"/>
  <c r="FO171" i="1"/>
  <c r="FJ171" i="1"/>
  <c r="FF171" i="1"/>
  <c r="FC171" i="1"/>
  <c r="EZ171" i="1"/>
  <c r="ET171" i="1"/>
  <c r="EL171" i="1"/>
  <c r="EI171" i="1"/>
  <c r="EC171" i="1"/>
  <c r="DW171" i="1"/>
  <c r="DS171" i="1"/>
  <c r="DP171" i="1"/>
  <c r="DM171" i="1"/>
  <c r="DI171" i="1"/>
  <c r="DD171" i="1"/>
  <c r="CX171" i="1"/>
  <c r="CP171" i="1"/>
  <c r="CO171" i="1"/>
  <c r="CI171" i="1"/>
  <c r="CC171" i="1"/>
  <c r="BZ171" i="1"/>
  <c r="BV171" i="1"/>
  <c r="BU171" i="1"/>
  <c r="BK171" i="1"/>
  <c r="K169" i="4" s="1"/>
  <c r="BH171" i="1"/>
  <c r="BD171" i="1"/>
  <c r="AZ171" i="1"/>
  <c r="AV171" i="1"/>
  <c r="AP171" i="1"/>
  <c r="AL171" i="1"/>
  <c r="AJ171" i="1"/>
  <c r="AC171" i="1"/>
  <c r="X171" i="1"/>
  <c r="U171" i="1"/>
  <c r="T171" i="1"/>
  <c r="F171" i="1"/>
  <c r="GE170" i="1"/>
  <c r="GB170" i="1"/>
  <c r="FW170" i="1"/>
  <c r="FV170" i="1"/>
  <c r="FS170" i="1"/>
  <c r="FO170" i="1"/>
  <c r="FJ170" i="1"/>
  <c r="FF170" i="1"/>
  <c r="FC170" i="1"/>
  <c r="EZ170" i="1"/>
  <c r="ET170" i="1"/>
  <c r="EL170" i="1"/>
  <c r="EI170" i="1"/>
  <c r="EC170" i="1"/>
  <c r="DW170" i="1"/>
  <c r="DS170" i="1"/>
  <c r="DP170" i="1"/>
  <c r="DM170" i="1"/>
  <c r="DI170" i="1"/>
  <c r="DD170" i="1"/>
  <c r="CX170" i="1"/>
  <c r="CP170" i="1"/>
  <c r="CO170" i="1"/>
  <c r="CI170" i="1"/>
  <c r="CC170" i="1"/>
  <c r="BZ170" i="1"/>
  <c r="BV170" i="1"/>
  <c r="BU170" i="1"/>
  <c r="BK170" i="1"/>
  <c r="K168" i="4" s="1"/>
  <c r="BH170" i="1"/>
  <c r="BD170" i="1"/>
  <c r="AZ170" i="1"/>
  <c r="AV170" i="1"/>
  <c r="AP170" i="1"/>
  <c r="AL170" i="1"/>
  <c r="AJ170" i="1"/>
  <c r="AC170" i="1"/>
  <c r="X170" i="1"/>
  <c r="U170" i="1"/>
  <c r="T170" i="1"/>
  <c r="F170" i="1"/>
  <c r="GE169" i="1"/>
  <c r="GB169" i="1"/>
  <c r="FW169" i="1"/>
  <c r="FV169" i="1"/>
  <c r="FS169" i="1"/>
  <c r="FO169" i="1"/>
  <c r="FJ169" i="1"/>
  <c r="FF169" i="1"/>
  <c r="FC169" i="1"/>
  <c r="EZ169" i="1"/>
  <c r="ET169" i="1"/>
  <c r="EL169" i="1"/>
  <c r="EI169" i="1"/>
  <c r="EC169" i="1"/>
  <c r="DW169" i="1"/>
  <c r="DS169" i="1"/>
  <c r="DP169" i="1"/>
  <c r="DM169" i="1"/>
  <c r="DI169" i="1"/>
  <c r="DD169" i="1"/>
  <c r="CX169" i="1"/>
  <c r="CP169" i="1"/>
  <c r="CO169" i="1"/>
  <c r="CI169" i="1"/>
  <c r="CC169" i="1"/>
  <c r="BZ169" i="1"/>
  <c r="BV169" i="1"/>
  <c r="BU169" i="1"/>
  <c r="BK169" i="1"/>
  <c r="K167" i="4" s="1"/>
  <c r="BH169" i="1"/>
  <c r="BD169" i="1"/>
  <c r="AZ169" i="1"/>
  <c r="AV169" i="1"/>
  <c r="AP169" i="1"/>
  <c r="AL169" i="1"/>
  <c r="AJ169" i="1"/>
  <c r="AC169" i="1"/>
  <c r="X169" i="1"/>
  <c r="U169" i="1"/>
  <c r="T169" i="1"/>
  <c r="F169" i="1"/>
  <c r="GE168" i="1"/>
  <c r="GB168" i="1"/>
  <c r="FW168" i="1"/>
  <c r="FV168" i="1"/>
  <c r="FS168" i="1"/>
  <c r="FO168" i="1"/>
  <c r="FJ168" i="1"/>
  <c r="FF168" i="1"/>
  <c r="FC168" i="1"/>
  <c r="EZ168" i="1"/>
  <c r="ET168" i="1"/>
  <c r="EL168" i="1"/>
  <c r="EI168" i="1"/>
  <c r="EC168" i="1"/>
  <c r="DW168" i="1"/>
  <c r="DS168" i="1"/>
  <c r="DP168" i="1"/>
  <c r="DM168" i="1"/>
  <c r="DI168" i="1"/>
  <c r="DD168" i="1"/>
  <c r="CX168" i="1"/>
  <c r="CP168" i="1"/>
  <c r="CO168" i="1"/>
  <c r="CI168" i="1"/>
  <c r="CC168" i="1"/>
  <c r="BZ168" i="1"/>
  <c r="BV168" i="1"/>
  <c r="BU168" i="1"/>
  <c r="BK168" i="1"/>
  <c r="BH168" i="1"/>
  <c r="BD168" i="1"/>
  <c r="AZ168" i="1"/>
  <c r="AV168" i="1"/>
  <c r="AP168" i="1"/>
  <c r="AL168" i="1"/>
  <c r="AJ168" i="1"/>
  <c r="AC168" i="1"/>
  <c r="X168" i="1"/>
  <c r="U168" i="1"/>
  <c r="T168" i="1"/>
  <c r="F168" i="1"/>
  <c r="GE167" i="1"/>
  <c r="GB167" i="1"/>
  <c r="FW167" i="1"/>
  <c r="FV167" i="1"/>
  <c r="FS167" i="1"/>
  <c r="FO167" i="1"/>
  <c r="FJ167" i="1"/>
  <c r="FF167" i="1"/>
  <c r="FC167" i="1"/>
  <c r="EZ167" i="1"/>
  <c r="ET167" i="1"/>
  <c r="EL167" i="1"/>
  <c r="EI167" i="1"/>
  <c r="EC167" i="1"/>
  <c r="DW167" i="1"/>
  <c r="DS167" i="1"/>
  <c r="DP167" i="1"/>
  <c r="DM167" i="1"/>
  <c r="DI167" i="1"/>
  <c r="DD167" i="1"/>
  <c r="CX167" i="1"/>
  <c r="CP167" i="1"/>
  <c r="CO167" i="1"/>
  <c r="CI167" i="1"/>
  <c r="CC167" i="1"/>
  <c r="BZ167" i="1"/>
  <c r="BV167" i="1"/>
  <c r="BU167" i="1"/>
  <c r="BK167" i="1"/>
  <c r="K165" i="4" s="1"/>
  <c r="BH167" i="1"/>
  <c r="BD167" i="1"/>
  <c r="AZ167" i="1"/>
  <c r="AV167" i="1"/>
  <c r="AP167" i="1"/>
  <c r="AL167" i="1"/>
  <c r="AJ167" i="1"/>
  <c r="AC167" i="1"/>
  <c r="X167" i="1"/>
  <c r="U167" i="1"/>
  <c r="T167" i="1"/>
  <c r="F167" i="1"/>
  <c r="GE166" i="1"/>
  <c r="GB166" i="1"/>
  <c r="FW166" i="1"/>
  <c r="FV166" i="1"/>
  <c r="FS166" i="1"/>
  <c r="FO166" i="1"/>
  <c r="FJ166" i="1"/>
  <c r="FF166" i="1"/>
  <c r="FC166" i="1"/>
  <c r="EZ166" i="1"/>
  <c r="ET166" i="1"/>
  <c r="EL166" i="1"/>
  <c r="EI166" i="1"/>
  <c r="EC166" i="1"/>
  <c r="DW166" i="1"/>
  <c r="DS166" i="1"/>
  <c r="DP166" i="1"/>
  <c r="DM166" i="1"/>
  <c r="DI166" i="1"/>
  <c r="DD166" i="1"/>
  <c r="CX166" i="1"/>
  <c r="CP166" i="1"/>
  <c r="CO166" i="1"/>
  <c r="CI166" i="1"/>
  <c r="CC166" i="1"/>
  <c r="BZ166" i="1"/>
  <c r="BV166" i="1"/>
  <c r="BU166" i="1"/>
  <c r="BK166" i="1"/>
  <c r="K164" i="4" s="1"/>
  <c r="BH166" i="1"/>
  <c r="BD166" i="1"/>
  <c r="AZ166" i="1"/>
  <c r="AV166" i="1"/>
  <c r="AP166" i="1"/>
  <c r="AL166" i="1"/>
  <c r="AJ166" i="1"/>
  <c r="AC166" i="1"/>
  <c r="X166" i="1"/>
  <c r="U166" i="1"/>
  <c r="T166" i="1"/>
  <c r="F166" i="1"/>
  <c r="GE165" i="1"/>
  <c r="GB165" i="1"/>
  <c r="FW165" i="1"/>
  <c r="FV165" i="1"/>
  <c r="FS165" i="1"/>
  <c r="FO165" i="1"/>
  <c r="FJ165" i="1"/>
  <c r="FF165" i="1"/>
  <c r="FC165" i="1"/>
  <c r="EZ165" i="1"/>
  <c r="ET165" i="1"/>
  <c r="EL165" i="1"/>
  <c r="EI165" i="1"/>
  <c r="EC165" i="1"/>
  <c r="DW165" i="1"/>
  <c r="DS165" i="1"/>
  <c r="DP165" i="1"/>
  <c r="DM165" i="1"/>
  <c r="DI165" i="1"/>
  <c r="DD165" i="1"/>
  <c r="CX165" i="1"/>
  <c r="CP165" i="1"/>
  <c r="CO165" i="1"/>
  <c r="CI165" i="1"/>
  <c r="CC165" i="1"/>
  <c r="BZ165" i="1"/>
  <c r="BV165" i="1"/>
  <c r="BU165" i="1"/>
  <c r="BK165" i="1"/>
  <c r="BH165" i="1"/>
  <c r="BD165" i="1"/>
  <c r="AZ165" i="1"/>
  <c r="AV165" i="1"/>
  <c r="AP165" i="1"/>
  <c r="AL165" i="1"/>
  <c r="AJ165" i="1"/>
  <c r="AC165" i="1"/>
  <c r="X165" i="1"/>
  <c r="U165" i="1"/>
  <c r="T165" i="1"/>
  <c r="F165" i="1"/>
  <c r="GE164" i="1"/>
  <c r="GB164" i="1"/>
  <c r="FW164" i="1"/>
  <c r="FV164" i="1"/>
  <c r="FS164" i="1"/>
  <c r="FO164" i="1"/>
  <c r="FJ164" i="1"/>
  <c r="FF164" i="1"/>
  <c r="FC164" i="1"/>
  <c r="EZ164" i="1"/>
  <c r="ET164" i="1"/>
  <c r="EL164" i="1"/>
  <c r="EI164" i="1"/>
  <c r="EC164" i="1"/>
  <c r="DW164" i="1"/>
  <c r="DS164" i="1"/>
  <c r="DP164" i="1"/>
  <c r="DM164" i="1"/>
  <c r="DI164" i="1"/>
  <c r="DD164" i="1"/>
  <c r="CX164" i="1"/>
  <c r="CP164" i="1"/>
  <c r="CO164" i="1"/>
  <c r="CI164" i="1"/>
  <c r="CC164" i="1"/>
  <c r="BZ164" i="1"/>
  <c r="BV164" i="1"/>
  <c r="BU164" i="1"/>
  <c r="BK164" i="1"/>
  <c r="BH164" i="1"/>
  <c r="BD164" i="1"/>
  <c r="AZ164" i="1"/>
  <c r="AV164" i="1"/>
  <c r="AP164" i="1"/>
  <c r="AL164" i="1"/>
  <c r="AJ164" i="1"/>
  <c r="AC164" i="1"/>
  <c r="X164" i="1"/>
  <c r="U164" i="1"/>
  <c r="T164" i="1"/>
  <c r="F164" i="1"/>
  <c r="GE163" i="1"/>
  <c r="GB163" i="1"/>
  <c r="FW163" i="1"/>
  <c r="FV163" i="1"/>
  <c r="FS163" i="1"/>
  <c r="FO163" i="1"/>
  <c r="FJ163" i="1"/>
  <c r="FF163" i="1"/>
  <c r="FC163" i="1"/>
  <c r="EZ163" i="1"/>
  <c r="ET163" i="1"/>
  <c r="EL163" i="1"/>
  <c r="EI163" i="1"/>
  <c r="EC163" i="1"/>
  <c r="DW163" i="1"/>
  <c r="DS163" i="1"/>
  <c r="DP163" i="1"/>
  <c r="DM163" i="1"/>
  <c r="DI163" i="1"/>
  <c r="DD163" i="1"/>
  <c r="CX163" i="1"/>
  <c r="CP163" i="1"/>
  <c r="CO163" i="1"/>
  <c r="CI163" i="1"/>
  <c r="CC163" i="1"/>
  <c r="BZ163" i="1"/>
  <c r="BV163" i="1"/>
  <c r="BU163" i="1"/>
  <c r="BK163" i="1"/>
  <c r="K161" i="4" s="1"/>
  <c r="BH163" i="1"/>
  <c r="BD163" i="1"/>
  <c r="AZ163" i="1"/>
  <c r="AV163" i="1"/>
  <c r="AP163" i="1"/>
  <c r="AL163" i="1"/>
  <c r="AJ163" i="1"/>
  <c r="AC163" i="1"/>
  <c r="X163" i="1"/>
  <c r="U163" i="1"/>
  <c r="T163" i="1"/>
  <c r="F163" i="1"/>
  <c r="GE162" i="1"/>
  <c r="GB162" i="1"/>
  <c r="FW162" i="1"/>
  <c r="FV162" i="1"/>
  <c r="FS162" i="1"/>
  <c r="FO162" i="1"/>
  <c r="FJ162" i="1"/>
  <c r="FF162" i="1"/>
  <c r="FC162" i="1"/>
  <c r="EZ162" i="1"/>
  <c r="ET162" i="1"/>
  <c r="EL162" i="1"/>
  <c r="EI162" i="1"/>
  <c r="EC162" i="1"/>
  <c r="DW162" i="1"/>
  <c r="DS162" i="1"/>
  <c r="DP162" i="1"/>
  <c r="DM162" i="1"/>
  <c r="DI162" i="1"/>
  <c r="DD162" i="1"/>
  <c r="CX162" i="1"/>
  <c r="CP162" i="1"/>
  <c r="CO162" i="1"/>
  <c r="CI162" i="1"/>
  <c r="CC162" i="1"/>
  <c r="BZ162" i="1"/>
  <c r="BV162" i="1"/>
  <c r="BU162" i="1"/>
  <c r="BK162" i="1"/>
  <c r="K160" i="4" s="1"/>
  <c r="BH162" i="1"/>
  <c r="BD162" i="1"/>
  <c r="AZ162" i="1"/>
  <c r="AV162" i="1"/>
  <c r="AP162" i="1"/>
  <c r="AL162" i="1"/>
  <c r="AJ162" i="1"/>
  <c r="AC162" i="1"/>
  <c r="X162" i="1"/>
  <c r="U162" i="1"/>
  <c r="T162" i="1"/>
  <c r="F162" i="1"/>
  <c r="GE161" i="1"/>
  <c r="GB161" i="1"/>
  <c r="FW161" i="1"/>
  <c r="FV161" i="1"/>
  <c r="FS161" i="1"/>
  <c r="FO161" i="1"/>
  <c r="FJ161" i="1"/>
  <c r="FF161" i="1"/>
  <c r="FC161" i="1"/>
  <c r="EZ161" i="1"/>
  <c r="ET161" i="1"/>
  <c r="EL161" i="1"/>
  <c r="EI161" i="1"/>
  <c r="EC161" i="1"/>
  <c r="DW161" i="1"/>
  <c r="DS161" i="1"/>
  <c r="DP161" i="1"/>
  <c r="DM161" i="1"/>
  <c r="DI161" i="1"/>
  <c r="DD161" i="1"/>
  <c r="CX161" i="1"/>
  <c r="CP161" i="1"/>
  <c r="CO161" i="1"/>
  <c r="CI161" i="1"/>
  <c r="CC161" i="1"/>
  <c r="BZ161" i="1"/>
  <c r="BV161" i="1"/>
  <c r="BU161" i="1"/>
  <c r="BK161" i="1"/>
  <c r="K159" i="4" s="1"/>
  <c r="BH161" i="1"/>
  <c r="BD161" i="1"/>
  <c r="AZ161" i="1"/>
  <c r="AV161" i="1"/>
  <c r="AP161" i="1"/>
  <c r="AL161" i="1"/>
  <c r="AJ161" i="1"/>
  <c r="AC161" i="1"/>
  <c r="X161" i="1"/>
  <c r="U161" i="1"/>
  <c r="T161" i="1"/>
  <c r="F161" i="1"/>
  <c r="GE160" i="1"/>
  <c r="GB160" i="1"/>
  <c r="FW160" i="1"/>
  <c r="FV160" i="1"/>
  <c r="FS160" i="1"/>
  <c r="FO160" i="1"/>
  <c r="FJ160" i="1"/>
  <c r="FF160" i="1"/>
  <c r="FC160" i="1"/>
  <c r="EZ160" i="1"/>
  <c r="ET160" i="1"/>
  <c r="EL160" i="1"/>
  <c r="EI160" i="1"/>
  <c r="EC160" i="1"/>
  <c r="DW160" i="1"/>
  <c r="DS160" i="1"/>
  <c r="DP160" i="1"/>
  <c r="DM160" i="1"/>
  <c r="DI160" i="1"/>
  <c r="DD160" i="1"/>
  <c r="CX160" i="1"/>
  <c r="CP160" i="1"/>
  <c r="CO160" i="1"/>
  <c r="CI160" i="1"/>
  <c r="CC160" i="1"/>
  <c r="BZ160" i="1"/>
  <c r="BV160" i="1"/>
  <c r="BU160" i="1"/>
  <c r="BK160" i="1"/>
  <c r="K158" i="4" s="1"/>
  <c r="BH160" i="1"/>
  <c r="BD160" i="1"/>
  <c r="AZ160" i="1"/>
  <c r="AV160" i="1"/>
  <c r="AP160" i="1"/>
  <c r="AL160" i="1"/>
  <c r="AJ160" i="1"/>
  <c r="AC160" i="1"/>
  <c r="X160" i="1"/>
  <c r="U160" i="1"/>
  <c r="T160" i="1"/>
  <c r="F160" i="1"/>
  <c r="GE159" i="1"/>
  <c r="GB159" i="1"/>
  <c r="FW159" i="1"/>
  <c r="FV159" i="1"/>
  <c r="FS159" i="1"/>
  <c r="FO159" i="1"/>
  <c r="FJ159" i="1"/>
  <c r="FF159" i="1"/>
  <c r="FC159" i="1"/>
  <c r="EZ159" i="1"/>
  <c r="ET159" i="1"/>
  <c r="EL159" i="1"/>
  <c r="EI159" i="1"/>
  <c r="EC159" i="1"/>
  <c r="DW159" i="1"/>
  <c r="DS159" i="1"/>
  <c r="DP159" i="1"/>
  <c r="DM159" i="1"/>
  <c r="DI159" i="1"/>
  <c r="DD159" i="1"/>
  <c r="CX159" i="1"/>
  <c r="CP159" i="1"/>
  <c r="CO159" i="1"/>
  <c r="CI159" i="1"/>
  <c r="CC159" i="1"/>
  <c r="BZ159" i="1"/>
  <c r="BV159" i="1"/>
  <c r="BU159" i="1"/>
  <c r="BK159" i="1"/>
  <c r="K157" i="4" s="1"/>
  <c r="BH159" i="1"/>
  <c r="BD159" i="1"/>
  <c r="AZ159" i="1"/>
  <c r="AV159" i="1"/>
  <c r="AP159" i="1"/>
  <c r="AL159" i="1"/>
  <c r="AJ159" i="1"/>
  <c r="AC159" i="1"/>
  <c r="X159" i="1"/>
  <c r="U159" i="1"/>
  <c r="T159" i="1"/>
  <c r="F159" i="1"/>
  <c r="GE158" i="1"/>
  <c r="GB158" i="1"/>
  <c r="FW158" i="1"/>
  <c r="FV158" i="1"/>
  <c r="FS158" i="1"/>
  <c r="FO158" i="1"/>
  <c r="FJ158" i="1"/>
  <c r="FF158" i="1"/>
  <c r="FC158" i="1"/>
  <c r="EZ158" i="1"/>
  <c r="ET158" i="1"/>
  <c r="EL158" i="1"/>
  <c r="EI158" i="1"/>
  <c r="EC158" i="1"/>
  <c r="DW158" i="1"/>
  <c r="DS158" i="1"/>
  <c r="DP158" i="1"/>
  <c r="DM158" i="1"/>
  <c r="DI158" i="1"/>
  <c r="DD158" i="1"/>
  <c r="CX158" i="1"/>
  <c r="CP158" i="1"/>
  <c r="CO158" i="1"/>
  <c r="CI158" i="1"/>
  <c r="CC158" i="1"/>
  <c r="BZ158" i="1"/>
  <c r="BV158" i="1"/>
  <c r="BU158" i="1"/>
  <c r="BK158" i="1"/>
  <c r="K156" i="4" s="1"/>
  <c r="BH158" i="1"/>
  <c r="BD158" i="1"/>
  <c r="AZ158" i="1"/>
  <c r="AV158" i="1"/>
  <c r="AP158" i="1"/>
  <c r="AL158" i="1"/>
  <c r="AJ158" i="1"/>
  <c r="AC158" i="1"/>
  <c r="X158" i="1"/>
  <c r="U158" i="1"/>
  <c r="T158" i="1"/>
  <c r="F158" i="1"/>
  <c r="GE157" i="1"/>
  <c r="GB157" i="1"/>
  <c r="FW157" i="1"/>
  <c r="FV157" i="1"/>
  <c r="FS157" i="1"/>
  <c r="FO157" i="1"/>
  <c r="FJ157" i="1"/>
  <c r="FF157" i="1"/>
  <c r="FC157" i="1"/>
  <c r="EZ157" i="1"/>
  <c r="ET157" i="1"/>
  <c r="EL157" i="1"/>
  <c r="EI157" i="1"/>
  <c r="EC157" i="1"/>
  <c r="DW157" i="1"/>
  <c r="DS157" i="1"/>
  <c r="DP157" i="1"/>
  <c r="DM157" i="1"/>
  <c r="DI157" i="1"/>
  <c r="DD157" i="1"/>
  <c r="CX157" i="1"/>
  <c r="CP157" i="1"/>
  <c r="CO157" i="1"/>
  <c r="CI157" i="1"/>
  <c r="CC157" i="1"/>
  <c r="BZ157" i="1"/>
  <c r="BV157" i="1"/>
  <c r="BU157" i="1"/>
  <c r="BK157" i="1"/>
  <c r="BH157" i="1"/>
  <c r="BD157" i="1"/>
  <c r="AZ157" i="1"/>
  <c r="AV157" i="1"/>
  <c r="AP157" i="1"/>
  <c r="AL157" i="1"/>
  <c r="AJ157" i="1"/>
  <c r="AC157" i="1"/>
  <c r="X157" i="1"/>
  <c r="U157" i="1"/>
  <c r="T157" i="1"/>
  <c r="F157" i="1"/>
  <c r="GE156" i="1"/>
  <c r="GB156" i="1"/>
  <c r="FW156" i="1"/>
  <c r="FV156" i="1"/>
  <c r="FS156" i="1"/>
  <c r="FO156" i="1"/>
  <c r="FJ156" i="1"/>
  <c r="FF156" i="1"/>
  <c r="FC156" i="1"/>
  <c r="EZ156" i="1"/>
  <c r="ET156" i="1"/>
  <c r="EL156" i="1"/>
  <c r="EI156" i="1"/>
  <c r="EC156" i="1"/>
  <c r="DW156" i="1"/>
  <c r="DS156" i="1"/>
  <c r="DP156" i="1"/>
  <c r="DM156" i="1"/>
  <c r="DI156" i="1"/>
  <c r="DD156" i="1"/>
  <c r="CX156" i="1"/>
  <c r="CP156" i="1"/>
  <c r="CO156" i="1"/>
  <c r="CI156" i="1"/>
  <c r="CC156" i="1"/>
  <c r="BZ156" i="1"/>
  <c r="BV156" i="1"/>
  <c r="BU156" i="1"/>
  <c r="BK156" i="1"/>
  <c r="BH156" i="1"/>
  <c r="BD156" i="1"/>
  <c r="AZ156" i="1"/>
  <c r="AV156" i="1"/>
  <c r="AP156" i="1"/>
  <c r="AL156" i="1"/>
  <c r="AJ156" i="1"/>
  <c r="AC156" i="1"/>
  <c r="X156" i="1"/>
  <c r="U156" i="1"/>
  <c r="T156" i="1"/>
  <c r="F156" i="1"/>
  <c r="GE155" i="1"/>
  <c r="GB155" i="1"/>
  <c r="FW155" i="1"/>
  <c r="FV155" i="1"/>
  <c r="FS155" i="1"/>
  <c r="FO155" i="1"/>
  <c r="FJ155" i="1"/>
  <c r="FF155" i="1"/>
  <c r="FC155" i="1"/>
  <c r="EZ155" i="1"/>
  <c r="ET155" i="1"/>
  <c r="EL155" i="1"/>
  <c r="EI155" i="1"/>
  <c r="EC155" i="1"/>
  <c r="DW155" i="1"/>
  <c r="DS155" i="1"/>
  <c r="DP155" i="1"/>
  <c r="DM155" i="1"/>
  <c r="DI155" i="1"/>
  <c r="DD155" i="1"/>
  <c r="CX155" i="1"/>
  <c r="CP155" i="1"/>
  <c r="CO155" i="1"/>
  <c r="CI155" i="1"/>
  <c r="CC155" i="1"/>
  <c r="BZ155" i="1"/>
  <c r="BV155" i="1"/>
  <c r="BU155" i="1"/>
  <c r="BK155" i="1"/>
  <c r="K153" i="4" s="1"/>
  <c r="BH155" i="1"/>
  <c r="BD155" i="1"/>
  <c r="AZ155" i="1"/>
  <c r="AV155" i="1"/>
  <c r="AP155" i="1"/>
  <c r="AL155" i="1"/>
  <c r="AJ155" i="1"/>
  <c r="AC155" i="1"/>
  <c r="X155" i="1"/>
  <c r="U155" i="1"/>
  <c r="T155" i="1"/>
  <c r="F155" i="1"/>
  <c r="GE154" i="1"/>
  <c r="GB154" i="1"/>
  <c r="FW154" i="1"/>
  <c r="FV154" i="1"/>
  <c r="FS154" i="1"/>
  <c r="FO154" i="1"/>
  <c r="FJ154" i="1"/>
  <c r="FF154" i="1"/>
  <c r="FC154" i="1"/>
  <c r="EZ154" i="1"/>
  <c r="ET154" i="1"/>
  <c r="EL154" i="1"/>
  <c r="EI154" i="1"/>
  <c r="EC154" i="1"/>
  <c r="DW154" i="1"/>
  <c r="DS154" i="1"/>
  <c r="DP154" i="1"/>
  <c r="DM154" i="1"/>
  <c r="DI154" i="1"/>
  <c r="DD154" i="1"/>
  <c r="CX154" i="1"/>
  <c r="CP154" i="1"/>
  <c r="CO154" i="1"/>
  <c r="CI154" i="1"/>
  <c r="CC154" i="1"/>
  <c r="BZ154" i="1"/>
  <c r="BV154" i="1"/>
  <c r="BU154" i="1"/>
  <c r="BK154" i="1"/>
  <c r="K152" i="4" s="1"/>
  <c r="BH154" i="1"/>
  <c r="BD154" i="1"/>
  <c r="AZ154" i="1"/>
  <c r="AV154" i="1"/>
  <c r="AP154" i="1"/>
  <c r="AL154" i="1"/>
  <c r="AJ154" i="1"/>
  <c r="AC154" i="1"/>
  <c r="X154" i="1"/>
  <c r="U154" i="1"/>
  <c r="T154" i="1"/>
  <c r="F154" i="1"/>
  <c r="GE153" i="1"/>
  <c r="GB153" i="1"/>
  <c r="FW153" i="1"/>
  <c r="FV153" i="1"/>
  <c r="FS153" i="1"/>
  <c r="FO153" i="1"/>
  <c r="FJ153" i="1"/>
  <c r="FF153" i="1"/>
  <c r="FC153" i="1"/>
  <c r="EZ153" i="1"/>
  <c r="ET153" i="1"/>
  <c r="EL153" i="1"/>
  <c r="EI153" i="1"/>
  <c r="EC153" i="1"/>
  <c r="DW153" i="1"/>
  <c r="DS153" i="1"/>
  <c r="DP153" i="1"/>
  <c r="DM153" i="1"/>
  <c r="DI153" i="1"/>
  <c r="DD153" i="1"/>
  <c r="CX153" i="1"/>
  <c r="CP153" i="1"/>
  <c r="CO153" i="1"/>
  <c r="CI153" i="1"/>
  <c r="CC153" i="1"/>
  <c r="BZ153" i="1"/>
  <c r="BV153" i="1"/>
  <c r="BU153" i="1"/>
  <c r="BK153" i="1"/>
  <c r="K151" i="4" s="1"/>
  <c r="BH153" i="1"/>
  <c r="BD153" i="1"/>
  <c r="AZ153" i="1"/>
  <c r="AV153" i="1"/>
  <c r="AP153" i="1"/>
  <c r="AL153" i="1"/>
  <c r="AJ153" i="1"/>
  <c r="AC153" i="1"/>
  <c r="X153" i="1"/>
  <c r="U153" i="1"/>
  <c r="T153" i="1"/>
  <c r="F153" i="1"/>
  <c r="GE152" i="1"/>
  <c r="GB152" i="1"/>
  <c r="FW152" i="1"/>
  <c r="FV152" i="1"/>
  <c r="FS152" i="1"/>
  <c r="FO152" i="1"/>
  <c r="FJ152" i="1"/>
  <c r="FF152" i="1"/>
  <c r="FC152" i="1"/>
  <c r="EZ152" i="1"/>
  <c r="ET152" i="1"/>
  <c r="EL152" i="1"/>
  <c r="EI152" i="1"/>
  <c r="EC152" i="1"/>
  <c r="DW152" i="1"/>
  <c r="DS152" i="1"/>
  <c r="DP152" i="1"/>
  <c r="DM152" i="1"/>
  <c r="DI152" i="1"/>
  <c r="DD152" i="1"/>
  <c r="CX152" i="1"/>
  <c r="CP152" i="1"/>
  <c r="CO152" i="1"/>
  <c r="CI152" i="1"/>
  <c r="CC152" i="1"/>
  <c r="BZ152" i="1"/>
  <c r="BV152" i="1"/>
  <c r="BU152" i="1"/>
  <c r="BK152" i="1"/>
  <c r="K150" i="4" s="1"/>
  <c r="BH152" i="1"/>
  <c r="BD152" i="1"/>
  <c r="AZ152" i="1"/>
  <c r="AV152" i="1"/>
  <c r="AP152" i="1"/>
  <c r="AL152" i="1"/>
  <c r="AJ152" i="1"/>
  <c r="AC152" i="1"/>
  <c r="X152" i="1"/>
  <c r="U152" i="1"/>
  <c r="T152" i="1"/>
  <c r="F152" i="1"/>
  <c r="GE151" i="1"/>
  <c r="GB151" i="1"/>
  <c r="FW151" i="1"/>
  <c r="FV151" i="1"/>
  <c r="FS151" i="1"/>
  <c r="FO151" i="1"/>
  <c r="FJ151" i="1"/>
  <c r="FF151" i="1"/>
  <c r="FC151" i="1"/>
  <c r="EZ151" i="1"/>
  <c r="ET151" i="1"/>
  <c r="EL151" i="1"/>
  <c r="EI151" i="1"/>
  <c r="EC151" i="1"/>
  <c r="DW151" i="1"/>
  <c r="DS151" i="1"/>
  <c r="DP151" i="1"/>
  <c r="DM151" i="1"/>
  <c r="DI151" i="1"/>
  <c r="DD151" i="1"/>
  <c r="CX151" i="1"/>
  <c r="CP151" i="1"/>
  <c r="CO151" i="1"/>
  <c r="CI151" i="1"/>
  <c r="CC151" i="1"/>
  <c r="BZ151" i="1"/>
  <c r="BV151" i="1"/>
  <c r="BU151" i="1"/>
  <c r="BK151" i="1"/>
  <c r="K149" i="4" s="1"/>
  <c r="BH151" i="1"/>
  <c r="BD151" i="1"/>
  <c r="AZ151" i="1"/>
  <c r="AV151" i="1"/>
  <c r="AP151" i="1"/>
  <c r="AL151" i="1"/>
  <c r="AJ151" i="1"/>
  <c r="AC151" i="1"/>
  <c r="X151" i="1"/>
  <c r="U151" i="1"/>
  <c r="T151" i="1"/>
  <c r="F151" i="1"/>
  <c r="GE150" i="1"/>
  <c r="GB150" i="1"/>
  <c r="FW150" i="1"/>
  <c r="FV150" i="1"/>
  <c r="FS150" i="1"/>
  <c r="FO150" i="1"/>
  <c r="FJ150" i="1"/>
  <c r="FF150" i="1"/>
  <c r="FC150" i="1"/>
  <c r="EZ150" i="1"/>
  <c r="ET150" i="1"/>
  <c r="EL150" i="1"/>
  <c r="EI150" i="1"/>
  <c r="EC150" i="1"/>
  <c r="DW150" i="1"/>
  <c r="DS150" i="1"/>
  <c r="DP150" i="1"/>
  <c r="DM150" i="1"/>
  <c r="DI150" i="1"/>
  <c r="DD150" i="1"/>
  <c r="CX150" i="1"/>
  <c r="CP150" i="1"/>
  <c r="CO150" i="1"/>
  <c r="CI150" i="1"/>
  <c r="CC150" i="1"/>
  <c r="BZ150" i="1"/>
  <c r="BV150" i="1"/>
  <c r="BU150" i="1"/>
  <c r="BK150" i="1"/>
  <c r="K148" i="4" s="1"/>
  <c r="BH150" i="1"/>
  <c r="BD150" i="1"/>
  <c r="AZ150" i="1"/>
  <c r="AV150" i="1"/>
  <c r="AP150" i="1"/>
  <c r="AL150" i="1"/>
  <c r="AJ150" i="1"/>
  <c r="AC150" i="1"/>
  <c r="X150" i="1"/>
  <c r="U150" i="1"/>
  <c r="T150" i="1"/>
  <c r="F150" i="1"/>
  <c r="GE149" i="1"/>
  <c r="GB149" i="1"/>
  <c r="FW149" i="1"/>
  <c r="FV149" i="1"/>
  <c r="FS149" i="1"/>
  <c r="FO149" i="1"/>
  <c r="FJ149" i="1"/>
  <c r="FF149" i="1"/>
  <c r="FC149" i="1"/>
  <c r="EZ149" i="1"/>
  <c r="ET149" i="1"/>
  <c r="EL149" i="1"/>
  <c r="EI149" i="1"/>
  <c r="EC149" i="1"/>
  <c r="DW149" i="1"/>
  <c r="DS149" i="1"/>
  <c r="DP149" i="1"/>
  <c r="DM149" i="1"/>
  <c r="DI149" i="1"/>
  <c r="DD149" i="1"/>
  <c r="CX149" i="1"/>
  <c r="CP149" i="1"/>
  <c r="CO149" i="1"/>
  <c r="CI149" i="1"/>
  <c r="CC149" i="1"/>
  <c r="BZ149" i="1"/>
  <c r="BV149" i="1"/>
  <c r="BU149" i="1"/>
  <c r="BK149" i="1"/>
  <c r="BH149" i="1"/>
  <c r="BD149" i="1"/>
  <c r="AZ149" i="1"/>
  <c r="AV149" i="1"/>
  <c r="AP149" i="1"/>
  <c r="AL149" i="1"/>
  <c r="AJ149" i="1"/>
  <c r="AC149" i="1"/>
  <c r="X149" i="1"/>
  <c r="U149" i="1"/>
  <c r="T149" i="1"/>
  <c r="F149" i="1"/>
  <c r="GE148" i="1"/>
  <c r="GB148" i="1"/>
  <c r="FW148" i="1"/>
  <c r="FV148" i="1"/>
  <c r="FS148" i="1"/>
  <c r="FO148" i="1"/>
  <c r="FJ148" i="1"/>
  <c r="FF148" i="1"/>
  <c r="FC148" i="1"/>
  <c r="EZ148" i="1"/>
  <c r="ET148" i="1"/>
  <c r="EL148" i="1"/>
  <c r="EI148" i="1"/>
  <c r="EC148" i="1"/>
  <c r="DW148" i="1"/>
  <c r="DS148" i="1"/>
  <c r="DP148" i="1"/>
  <c r="DM148" i="1"/>
  <c r="DI148" i="1"/>
  <c r="DD148" i="1"/>
  <c r="CX148" i="1"/>
  <c r="CP148" i="1"/>
  <c r="CO148" i="1"/>
  <c r="CI148" i="1"/>
  <c r="CC148" i="1"/>
  <c r="BZ148" i="1"/>
  <c r="BV148" i="1"/>
  <c r="BU148" i="1"/>
  <c r="BK148" i="1"/>
  <c r="BH148" i="1"/>
  <c r="BD148" i="1"/>
  <c r="AZ148" i="1"/>
  <c r="AV148" i="1"/>
  <c r="AP148" i="1"/>
  <c r="AL148" i="1"/>
  <c r="AJ148" i="1"/>
  <c r="AC148" i="1"/>
  <c r="X148" i="1"/>
  <c r="U148" i="1"/>
  <c r="T148" i="1"/>
  <c r="F148" i="1"/>
  <c r="GE147" i="1"/>
  <c r="GB147" i="1"/>
  <c r="FW147" i="1"/>
  <c r="FV147" i="1"/>
  <c r="FS147" i="1"/>
  <c r="FO147" i="1"/>
  <c r="FJ147" i="1"/>
  <c r="FF147" i="1"/>
  <c r="FC147" i="1"/>
  <c r="EZ147" i="1"/>
  <c r="ET147" i="1"/>
  <c r="EL147" i="1"/>
  <c r="EI147" i="1"/>
  <c r="EC147" i="1"/>
  <c r="DW147" i="1"/>
  <c r="DS147" i="1"/>
  <c r="DP147" i="1"/>
  <c r="DM147" i="1"/>
  <c r="DI147" i="1"/>
  <c r="DD147" i="1"/>
  <c r="CX147" i="1"/>
  <c r="CP147" i="1"/>
  <c r="CO147" i="1"/>
  <c r="CI147" i="1"/>
  <c r="CC147" i="1"/>
  <c r="BZ147" i="1"/>
  <c r="BV147" i="1"/>
  <c r="BU147" i="1"/>
  <c r="BK147" i="1"/>
  <c r="K145" i="4" s="1"/>
  <c r="BH147" i="1"/>
  <c r="BD147" i="1"/>
  <c r="AZ147" i="1"/>
  <c r="AV147" i="1"/>
  <c r="AP147" i="1"/>
  <c r="AL147" i="1"/>
  <c r="AJ147" i="1"/>
  <c r="AC147" i="1"/>
  <c r="X147" i="1"/>
  <c r="U147" i="1"/>
  <c r="T147" i="1"/>
  <c r="F147" i="1"/>
  <c r="GE146" i="1"/>
  <c r="GB146" i="1"/>
  <c r="FW146" i="1"/>
  <c r="FV146" i="1"/>
  <c r="FS146" i="1"/>
  <c r="FO146" i="1"/>
  <c r="FJ146" i="1"/>
  <c r="FF146" i="1"/>
  <c r="FC146" i="1"/>
  <c r="EZ146" i="1"/>
  <c r="ET146" i="1"/>
  <c r="EL146" i="1"/>
  <c r="EI146" i="1"/>
  <c r="EC146" i="1"/>
  <c r="DW146" i="1"/>
  <c r="DS146" i="1"/>
  <c r="DP146" i="1"/>
  <c r="DM146" i="1"/>
  <c r="DI146" i="1"/>
  <c r="DD146" i="1"/>
  <c r="CX146" i="1"/>
  <c r="CP146" i="1"/>
  <c r="CO146" i="1"/>
  <c r="CI146" i="1"/>
  <c r="CC146" i="1"/>
  <c r="BZ146" i="1"/>
  <c r="BV146" i="1"/>
  <c r="BU146" i="1"/>
  <c r="BK146" i="1"/>
  <c r="K144" i="4" s="1"/>
  <c r="BH146" i="1"/>
  <c r="BD146" i="1"/>
  <c r="AZ146" i="1"/>
  <c r="AV146" i="1"/>
  <c r="AP146" i="1"/>
  <c r="AL146" i="1"/>
  <c r="AJ146" i="1"/>
  <c r="AC146" i="1"/>
  <c r="X146" i="1"/>
  <c r="U146" i="1"/>
  <c r="T146" i="1"/>
  <c r="F146" i="1"/>
  <c r="GE145" i="1"/>
  <c r="GB145" i="1"/>
  <c r="FW145" i="1"/>
  <c r="FV145" i="1"/>
  <c r="FS145" i="1"/>
  <c r="FO145" i="1"/>
  <c r="FJ145" i="1"/>
  <c r="FF145" i="1"/>
  <c r="FC145" i="1"/>
  <c r="EZ145" i="1"/>
  <c r="ET145" i="1"/>
  <c r="EL145" i="1"/>
  <c r="EI145" i="1"/>
  <c r="EC145" i="1"/>
  <c r="DW145" i="1"/>
  <c r="DS145" i="1"/>
  <c r="DP145" i="1"/>
  <c r="DM145" i="1"/>
  <c r="DI145" i="1"/>
  <c r="DD145" i="1"/>
  <c r="CX145" i="1"/>
  <c r="CP145" i="1"/>
  <c r="CO145" i="1"/>
  <c r="CI145" i="1"/>
  <c r="CC145" i="1"/>
  <c r="BZ145" i="1"/>
  <c r="BV145" i="1"/>
  <c r="BU145" i="1"/>
  <c r="BK145" i="1"/>
  <c r="K143" i="4" s="1"/>
  <c r="BH145" i="1"/>
  <c r="BD145" i="1"/>
  <c r="AZ145" i="1"/>
  <c r="AV145" i="1"/>
  <c r="AP145" i="1"/>
  <c r="AL145" i="1"/>
  <c r="AJ145" i="1"/>
  <c r="AC145" i="1"/>
  <c r="X145" i="1"/>
  <c r="U145" i="1"/>
  <c r="T145" i="1"/>
  <c r="F145" i="1"/>
  <c r="GE144" i="1"/>
  <c r="GB144" i="1"/>
  <c r="FW144" i="1"/>
  <c r="FV144" i="1"/>
  <c r="FS144" i="1"/>
  <c r="FO144" i="1"/>
  <c r="FJ144" i="1"/>
  <c r="FF144" i="1"/>
  <c r="FC144" i="1"/>
  <c r="EZ144" i="1"/>
  <c r="ET144" i="1"/>
  <c r="EL144" i="1"/>
  <c r="EI144" i="1"/>
  <c r="EC144" i="1"/>
  <c r="DW144" i="1"/>
  <c r="DS144" i="1"/>
  <c r="DP144" i="1"/>
  <c r="DM144" i="1"/>
  <c r="DI144" i="1"/>
  <c r="DD144" i="1"/>
  <c r="CX144" i="1"/>
  <c r="CP144" i="1"/>
  <c r="CO144" i="1"/>
  <c r="CI144" i="1"/>
  <c r="CC144" i="1"/>
  <c r="BZ144" i="1"/>
  <c r="BV144" i="1"/>
  <c r="BU144" i="1"/>
  <c r="BK144" i="1"/>
  <c r="K142" i="4" s="1"/>
  <c r="BH144" i="1"/>
  <c r="BD144" i="1"/>
  <c r="AZ144" i="1"/>
  <c r="AV144" i="1"/>
  <c r="AP144" i="1"/>
  <c r="AL144" i="1"/>
  <c r="AJ144" i="1"/>
  <c r="AC144" i="1"/>
  <c r="X144" i="1"/>
  <c r="U144" i="1"/>
  <c r="T144" i="1"/>
  <c r="F144" i="1"/>
  <c r="GE143" i="1"/>
  <c r="GB143" i="1"/>
  <c r="FW143" i="1"/>
  <c r="FV143" i="1"/>
  <c r="FS143" i="1"/>
  <c r="FO143" i="1"/>
  <c r="FJ143" i="1"/>
  <c r="FF143" i="1"/>
  <c r="FC143" i="1"/>
  <c r="EZ143" i="1"/>
  <c r="ET143" i="1"/>
  <c r="EL143" i="1"/>
  <c r="EI143" i="1"/>
  <c r="EC143" i="1"/>
  <c r="DW143" i="1"/>
  <c r="DS143" i="1"/>
  <c r="DP143" i="1"/>
  <c r="DM143" i="1"/>
  <c r="DI143" i="1"/>
  <c r="DD143" i="1"/>
  <c r="CX143" i="1"/>
  <c r="CP143" i="1"/>
  <c r="CO143" i="1"/>
  <c r="CI143" i="1"/>
  <c r="CC143" i="1"/>
  <c r="BZ143" i="1"/>
  <c r="BV143" i="1"/>
  <c r="BU143" i="1"/>
  <c r="BK143" i="1"/>
  <c r="K141" i="4" s="1"/>
  <c r="BH143" i="1"/>
  <c r="BD143" i="1"/>
  <c r="AZ143" i="1"/>
  <c r="AV143" i="1"/>
  <c r="AP143" i="1"/>
  <c r="AL143" i="1"/>
  <c r="AJ143" i="1"/>
  <c r="AC143" i="1"/>
  <c r="X143" i="1"/>
  <c r="U143" i="1"/>
  <c r="T143" i="1"/>
  <c r="F143" i="1"/>
  <c r="GE142" i="1"/>
  <c r="GB142" i="1"/>
  <c r="FW142" i="1"/>
  <c r="FV142" i="1"/>
  <c r="FS142" i="1"/>
  <c r="FO142" i="1"/>
  <c r="FJ142" i="1"/>
  <c r="FF142" i="1"/>
  <c r="FC142" i="1"/>
  <c r="EZ142" i="1"/>
  <c r="ET142" i="1"/>
  <c r="EL142" i="1"/>
  <c r="EI142" i="1"/>
  <c r="EC142" i="1"/>
  <c r="DW142" i="1"/>
  <c r="DS142" i="1"/>
  <c r="DP142" i="1"/>
  <c r="DM142" i="1"/>
  <c r="DI142" i="1"/>
  <c r="DD142" i="1"/>
  <c r="CX142" i="1"/>
  <c r="CP142" i="1"/>
  <c r="CO142" i="1"/>
  <c r="CI142" i="1"/>
  <c r="CC142" i="1"/>
  <c r="BZ142" i="1"/>
  <c r="BV142" i="1"/>
  <c r="BU142" i="1"/>
  <c r="BK142" i="1"/>
  <c r="K140" i="4" s="1"/>
  <c r="BH142" i="1"/>
  <c r="BD142" i="1"/>
  <c r="AZ142" i="1"/>
  <c r="AV142" i="1"/>
  <c r="AP142" i="1"/>
  <c r="AL142" i="1"/>
  <c r="AJ142" i="1"/>
  <c r="AC142" i="1"/>
  <c r="X142" i="1"/>
  <c r="U142" i="1"/>
  <c r="T142" i="1"/>
  <c r="F142" i="1"/>
  <c r="GE141" i="1"/>
  <c r="GB141" i="1"/>
  <c r="FW141" i="1"/>
  <c r="FV141" i="1"/>
  <c r="FS141" i="1"/>
  <c r="FO141" i="1"/>
  <c r="FJ141" i="1"/>
  <c r="FF141" i="1"/>
  <c r="FC141" i="1"/>
  <c r="EZ141" i="1"/>
  <c r="ET141" i="1"/>
  <c r="EL141" i="1"/>
  <c r="EI141" i="1"/>
  <c r="EC141" i="1"/>
  <c r="DW141" i="1"/>
  <c r="DS141" i="1"/>
  <c r="DP141" i="1"/>
  <c r="DM141" i="1"/>
  <c r="DI141" i="1"/>
  <c r="DD141" i="1"/>
  <c r="CX141" i="1"/>
  <c r="CP141" i="1"/>
  <c r="CO141" i="1"/>
  <c r="CI141" i="1"/>
  <c r="CC141" i="1"/>
  <c r="BZ141" i="1"/>
  <c r="BV141" i="1"/>
  <c r="BU141" i="1"/>
  <c r="BK141" i="1"/>
  <c r="K139" i="4" s="1"/>
  <c r="BH141" i="1"/>
  <c r="BD141" i="1"/>
  <c r="AZ141" i="1"/>
  <c r="AV141" i="1"/>
  <c r="AP141" i="1"/>
  <c r="AL141" i="1"/>
  <c r="AJ141" i="1"/>
  <c r="AC141" i="1"/>
  <c r="X141" i="1"/>
  <c r="U141" i="1"/>
  <c r="T141" i="1"/>
  <c r="F141" i="1"/>
  <c r="GE140" i="1"/>
  <c r="GB140" i="1"/>
  <c r="FW140" i="1"/>
  <c r="FV140" i="1"/>
  <c r="FS140" i="1"/>
  <c r="FO140" i="1"/>
  <c r="FJ140" i="1"/>
  <c r="FF140" i="1"/>
  <c r="FC140" i="1"/>
  <c r="EZ140" i="1"/>
  <c r="ET140" i="1"/>
  <c r="EL140" i="1"/>
  <c r="EI140" i="1"/>
  <c r="EC140" i="1"/>
  <c r="DW140" i="1"/>
  <c r="DS140" i="1"/>
  <c r="DP140" i="1"/>
  <c r="DM140" i="1"/>
  <c r="DI140" i="1"/>
  <c r="DD140" i="1"/>
  <c r="CX140" i="1"/>
  <c r="CP140" i="1"/>
  <c r="CO140" i="1"/>
  <c r="CI140" i="1"/>
  <c r="CC140" i="1"/>
  <c r="BZ140" i="1"/>
  <c r="BV140" i="1"/>
  <c r="BU140" i="1"/>
  <c r="BK140" i="1"/>
  <c r="BH140" i="1"/>
  <c r="BD140" i="1"/>
  <c r="AZ140" i="1"/>
  <c r="AV140" i="1"/>
  <c r="AP140" i="1"/>
  <c r="AL140" i="1"/>
  <c r="AJ140" i="1"/>
  <c r="AC140" i="1"/>
  <c r="X140" i="1"/>
  <c r="U140" i="1"/>
  <c r="T140" i="1"/>
  <c r="F140" i="1"/>
  <c r="GE139" i="1"/>
  <c r="GB139" i="1"/>
  <c r="FW139" i="1"/>
  <c r="FV139" i="1"/>
  <c r="FS139" i="1"/>
  <c r="FO139" i="1"/>
  <c r="FJ139" i="1"/>
  <c r="FF139" i="1"/>
  <c r="FC139" i="1"/>
  <c r="EZ139" i="1"/>
  <c r="ET139" i="1"/>
  <c r="EL139" i="1"/>
  <c r="EI139" i="1"/>
  <c r="EC139" i="1"/>
  <c r="DW139" i="1"/>
  <c r="DS139" i="1"/>
  <c r="DP139" i="1"/>
  <c r="DM139" i="1"/>
  <c r="DI139" i="1"/>
  <c r="DD139" i="1"/>
  <c r="CX139" i="1"/>
  <c r="CP139" i="1"/>
  <c r="CO139" i="1"/>
  <c r="CI139" i="1"/>
  <c r="CC139" i="1"/>
  <c r="BZ139" i="1"/>
  <c r="BV139" i="1"/>
  <c r="BU139" i="1"/>
  <c r="BK139" i="1"/>
  <c r="K137" i="4" s="1"/>
  <c r="BH139" i="1"/>
  <c r="BD139" i="1"/>
  <c r="AZ139" i="1"/>
  <c r="AV139" i="1"/>
  <c r="AP139" i="1"/>
  <c r="AL139" i="1"/>
  <c r="AJ139" i="1"/>
  <c r="AC139" i="1"/>
  <c r="X139" i="1"/>
  <c r="U139" i="1"/>
  <c r="T139" i="1"/>
  <c r="F139" i="1"/>
  <c r="GE138" i="1"/>
  <c r="GB138" i="1"/>
  <c r="FW138" i="1"/>
  <c r="FV138" i="1"/>
  <c r="FS138" i="1"/>
  <c r="FO138" i="1"/>
  <c r="FJ138" i="1"/>
  <c r="FF138" i="1"/>
  <c r="FC138" i="1"/>
  <c r="EZ138" i="1"/>
  <c r="ET138" i="1"/>
  <c r="EL138" i="1"/>
  <c r="EI138" i="1"/>
  <c r="EC138" i="1"/>
  <c r="DW138" i="1"/>
  <c r="DS138" i="1"/>
  <c r="DP138" i="1"/>
  <c r="DM138" i="1"/>
  <c r="DI138" i="1"/>
  <c r="DD138" i="1"/>
  <c r="CX138" i="1"/>
  <c r="CP138" i="1"/>
  <c r="CO138" i="1"/>
  <c r="CI138" i="1"/>
  <c r="CC138" i="1"/>
  <c r="BZ138" i="1"/>
  <c r="BV138" i="1"/>
  <c r="BU138" i="1"/>
  <c r="BK138" i="1"/>
  <c r="K136" i="4" s="1"/>
  <c r="BH138" i="1"/>
  <c r="BD138" i="1"/>
  <c r="AZ138" i="1"/>
  <c r="AV138" i="1"/>
  <c r="AP138" i="1"/>
  <c r="AL138" i="1"/>
  <c r="AJ138" i="1"/>
  <c r="AC138" i="1"/>
  <c r="X138" i="1"/>
  <c r="U138" i="1"/>
  <c r="T138" i="1"/>
  <c r="F138" i="1"/>
  <c r="GE137" i="1"/>
  <c r="GB137" i="1"/>
  <c r="FW137" i="1"/>
  <c r="FV137" i="1"/>
  <c r="FS137" i="1"/>
  <c r="FO137" i="1"/>
  <c r="FJ137" i="1"/>
  <c r="FF137" i="1"/>
  <c r="FC137" i="1"/>
  <c r="EZ137" i="1"/>
  <c r="ET137" i="1"/>
  <c r="EL137" i="1"/>
  <c r="EI137" i="1"/>
  <c r="EC137" i="1"/>
  <c r="DW137" i="1"/>
  <c r="DS137" i="1"/>
  <c r="DP137" i="1"/>
  <c r="DM137" i="1"/>
  <c r="DI137" i="1"/>
  <c r="DD137" i="1"/>
  <c r="CX137" i="1"/>
  <c r="CP137" i="1"/>
  <c r="CO137" i="1"/>
  <c r="CI137" i="1"/>
  <c r="CC137" i="1"/>
  <c r="BZ137" i="1"/>
  <c r="BV137" i="1"/>
  <c r="BU137" i="1"/>
  <c r="BK137" i="1"/>
  <c r="K135" i="4" s="1"/>
  <c r="BH137" i="1"/>
  <c r="BD137" i="1"/>
  <c r="AZ137" i="1"/>
  <c r="AV137" i="1"/>
  <c r="AP137" i="1"/>
  <c r="AL137" i="1"/>
  <c r="AJ137" i="1"/>
  <c r="AC137" i="1"/>
  <c r="X137" i="1"/>
  <c r="U137" i="1"/>
  <c r="T137" i="1"/>
  <c r="F137" i="1"/>
  <c r="GE136" i="1"/>
  <c r="GB136" i="1"/>
  <c r="FW136" i="1"/>
  <c r="FV136" i="1"/>
  <c r="FS136" i="1"/>
  <c r="FO136" i="1"/>
  <c r="FJ136" i="1"/>
  <c r="FF136" i="1"/>
  <c r="FC136" i="1"/>
  <c r="EZ136" i="1"/>
  <c r="ET136" i="1"/>
  <c r="EL136" i="1"/>
  <c r="EI136" i="1"/>
  <c r="EC136" i="1"/>
  <c r="DW136" i="1"/>
  <c r="DS136" i="1"/>
  <c r="DP136" i="1"/>
  <c r="DM136" i="1"/>
  <c r="DI136" i="1"/>
  <c r="DD136" i="1"/>
  <c r="CX136" i="1"/>
  <c r="CP136" i="1"/>
  <c r="CO136" i="1"/>
  <c r="CI136" i="1"/>
  <c r="CC136" i="1"/>
  <c r="BZ136" i="1"/>
  <c r="BV136" i="1"/>
  <c r="BU136" i="1"/>
  <c r="BK136" i="1"/>
  <c r="BH136" i="1"/>
  <c r="BD136" i="1"/>
  <c r="AZ136" i="1"/>
  <c r="AV136" i="1"/>
  <c r="AP136" i="1"/>
  <c r="AL136" i="1"/>
  <c r="AJ136" i="1"/>
  <c r="AC136" i="1"/>
  <c r="X136" i="1"/>
  <c r="U136" i="1"/>
  <c r="T136" i="1"/>
  <c r="F136" i="1"/>
  <c r="GE135" i="1"/>
  <c r="GB135" i="1"/>
  <c r="FW135" i="1"/>
  <c r="FV135" i="1"/>
  <c r="FS135" i="1"/>
  <c r="FO135" i="1"/>
  <c r="FJ135" i="1"/>
  <c r="FF135" i="1"/>
  <c r="FC135" i="1"/>
  <c r="EZ135" i="1"/>
  <c r="ET135" i="1"/>
  <c r="EL135" i="1"/>
  <c r="EI135" i="1"/>
  <c r="EC135" i="1"/>
  <c r="DW135" i="1"/>
  <c r="DS135" i="1"/>
  <c r="DP135" i="1"/>
  <c r="DM135" i="1"/>
  <c r="DI135" i="1"/>
  <c r="DD135" i="1"/>
  <c r="CX135" i="1"/>
  <c r="CP135" i="1"/>
  <c r="CO135" i="1"/>
  <c r="CI135" i="1"/>
  <c r="CC135" i="1"/>
  <c r="BZ135" i="1"/>
  <c r="BV135" i="1"/>
  <c r="BU135" i="1"/>
  <c r="BK135" i="1"/>
  <c r="K133" i="4" s="1"/>
  <c r="BH135" i="1"/>
  <c r="BD135" i="1"/>
  <c r="AZ135" i="1"/>
  <c r="AV135" i="1"/>
  <c r="AP135" i="1"/>
  <c r="AL135" i="1"/>
  <c r="AJ135" i="1"/>
  <c r="AC135" i="1"/>
  <c r="X135" i="1"/>
  <c r="U135" i="1"/>
  <c r="T135" i="1"/>
  <c r="F135" i="1"/>
  <c r="GE134" i="1"/>
  <c r="GB134" i="1"/>
  <c r="FW134" i="1"/>
  <c r="FV134" i="1"/>
  <c r="FS134" i="1"/>
  <c r="FO134" i="1"/>
  <c r="FJ134" i="1"/>
  <c r="FF134" i="1"/>
  <c r="FC134" i="1"/>
  <c r="EZ134" i="1"/>
  <c r="ET134" i="1"/>
  <c r="EL134" i="1"/>
  <c r="EI134" i="1"/>
  <c r="EC134" i="1"/>
  <c r="DW134" i="1"/>
  <c r="DS134" i="1"/>
  <c r="DP134" i="1"/>
  <c r="DM134" i="1"/>
  <c r="DI134" i="1"/>
  <c r="DD134" i="1"/>
  <c r="CX134" i="1"/>
  <c r="CP134" i="1"/>
  <c r="CO134" i="1"/>
  <c r="CI134" i="1"/>
  <c r="CC134" i="1"/>
  <c r="BZ134" i="1"/>
  <c r="BV134" i="1"/>
  <c r="BU134" i="1"/>
  <c r="BK134" i="1"/>
  <c r="K132" i="4" s="1"/>
  <c r="BH134" i="1"/>
  <c r="BD134" i="1"/>
  <c r="AZ134" i="1"/>
  <c r="AV134" i="1"/>
  <c r="AP134" i="1"/>
  <c r="AL134" i="1"/>
  <c r="AJ134" i="1"/>
  <c r="AC134" i="1"/>
  <c r="X134" i="1"/>
  <c r="U134" i="1"/>
  <c r="T134" i="1"/>
  <c r="F134" i="1"/>
  <c r="GE133" i="1"/>
  <c r="GB133" i="1"/>
  <c r="FW133" i="1"/>
  <c r="FV133" i="1"/>
  <c r="FS133" i="1"/>
  <c r="FO133" i="1"/>
  <c r="FJ133" i="1"/>
  <c r="FF133" i="1"/>
  <c r="FC133" i="1"/>
  <c r="EZ133" i="1"/>
  <c r="ET133" i="1"/>
  <c r="EL133" i="1"/>
  <c r="EI133" i="1"/>
  <c r="EC133" i="1"/>
  <c r="DW133" i="1"/>
  <c r="DS133" i="1"/>
  <c r="DP133" i="1"/>
  <c r="DM133" i="1"/>
  <c r="DI133" i="1"/>
  <c r="DD133" i="1"/>
  <c r="CX133" i="1"/>
  <c r="CP133" i="1"/>
  <c r="CO133" i="1"/>
  <c r="CI133" i="1"/>
  <c r="CC133" i="1"/>
  <c r="BZ133" i="1"/>
  <c r="BV133" i="1"/>
  <c r="BU133" i="1"/>
  <c r="BK133" i="1"/>
  <c r="K131" i="4" s="1"/>
  <c r="BH133" i="1"/>
  <c r="BD133" i="1"/>
  <c r="AZ133" i="1"/>
  <c r="AV133" i="1"/>
  <c r="AP133" i="1"/>
  <c r="AL133" i="1"/>
  <c r="AJ133" i="1"/>
  <c r="AC133" i="1"/>
  <c r="X133" i="1"/>
  <c r="U133" i="1"/>
  <c r="T133" i="1"/>
  <c r="F133" i="1"/>
  <c r="GE132" i="1"/>
  <c r="GB132" i="1"/>
  <c r="FW132" i="1"/>
  <c r="FV132" i="1"/>
  <c r="FS132" i="1"/>
  <c r="FO132" i="1"/>
  <c r="FJ132" i="1"/>
  <c r="FF132" i="1"/>
  <c r="FC132" i="1"/>
  <c r="EZ132" i="1"/>
  <c r="ET132" i="1"/>
  <c r="EL132" i="1"/>
  <c r="EI132" i="1"/>
  <c r="EC132" i="1"/>
  <c r="DW132" i="1"/>
  <c r="DS132" i="1"/>
  <c r="DP132" i="1"/>
  <c r="DM132" i="1"/>
  <c r="DI132" i="1"/>
  <c r="DD132" i="1"/>
  <c r="CX132" i="1"/>
  <c r="CP132" i="1"/>
  <c r="CO132" i="1"/>
  <c r="CI132" i="1"/>
  <c r="CC132" i="1"/>
  <c r="BZ132" i="1"/>
  <c r="BV132" i="1"/>
  <c r="BU132" i="1"/>
  <c r="BK132" i="1"/>
  <c r="K130" i="4" s="1"/>
  <c r="BH132" i="1"/>
  <c r="BD132" i="1"/>
  <c r="AZ132" i="1"/>
  <c r="AV132" i="1"/>
  <c r="AP132" i="1"/>
  <c r="AL132" i="1"/>
  <c r="AJ132" i="1"/>
  <c r="AC132" i="1"/>
  <c r="X132" i="1"/>
  <c r="U132" i="1"/>
  <c r="T132" i="1"/>
  <c r="F132" i="1"/>
  <c r="GE131" i="1"/>
  <c r="GB131" i="1"/>
  <c r="FW131" i="1"/>
  <c r="FV131" i="1"/>
  <c r="FS131" i="1"/>
  <c r="FO131" i="1"/>
  <c r="FJ131" i="1"/>
  <c r="FF131" i="1"/>
  <c r="FC131" i="1"/>
  <c r="EZ131" i="1"/>
  <c r="ET131" i="1"/>
  <c r="EL131" i="1"/>
  <c r="EI131" i="1"/>
  <c r="EC131" i="1"/>
  <c r="DW131" i="1"/>
  <c r="DS131" i="1"/>
  <c r="DP131" i="1"/>
  <c r="DM131" i="1"/>
  <c r="DI131" i="1"/>
  <c r="DD131" i="1"/>
  <c r="CX131" i="1"/>
  <c r="CP131" i="1"/>
  <c r="CO131" i="1"/>
  <c r="CI131" i="1"/>
  <c r="CC131" i="1"/>
  <c r="BZ131" i="1"/>
  <c r="BV131" i="1"/>
  <c r="BU131" i="1"/>
  <c r="BK131" i="1"/>
  <c r="K129" i="4" s="1"/>
  <c r="BH131" i="1"/>
  <c r="BD131" i="1"/>
  <c r="AZ131" i="1"/>
  <c r="AV131" i="1"/>
  <c r="AP131" i="1"/>
  <c r="AL131" i="1"/>
  <c r="AJ131" i="1"/>
  <c r="AC131" i="1"/>
  <c r="X131" i="1"/>
  <c r="U131" i="1"/>
  <c r="T131" i="1"/>
  <c r="F131" i="1"/>
  <c r="GE130" i="1"/>
  <c r="GB130" i="1"/>
  <c r="FW130" i="1"/>
  <c r="FV130" i="1"/>
  <c r="FS130" i="1"/>
  <c r="FO130" i="1"/>
  <c r="FJ130" i="1"/>
  <c r="FF130" i="1"/>
  <c r="FC130" i="1"/>
  <c r="EZ130" i="1"/>
  <c r="ET130" i="1"/>
  <c r="EL130" i="1"/>
  <c r="EI130" i="1"/>
  <c r="EC130" i="1"/>
  <c r="DW130" i="1"/>
  <c r="DS130" i="1"/>
  <c r="DP130" i="1"/>
  <c r="DM130" i="1"/>
  <c r="DI130" i="1"/>
  <c r="DD130" i="1"/>
  <c r="CX130" i="1"/>
  <c r="CP130" i="1"/>
  <c r="CO130" i="1"/>
  <c r="CI130" i="1"/>
  <c r="CC130" i="1"/>
  <c r="BZ130" i="1"/>
  <c r="BV130" i="1"/>
  <c r="BU130" i="1"/>
  <c r="BK130" i="1"/>
  <c r="K128" i="4" s="1"/>
  <c r="BH130" i="1"/>
  <c r="BD130" i="1"/>
  <c r="AZ130" i="1"/>
  <c r="AV130" i="1"/>
  <c r="AP130" i="1"/>
  <c r="AL130" i="1"/>
  <c r="AJ130" i="1"/>
  <c r="AC130" i="1"/>
  <c r="X130" i="1"/>
  <c r="U130" i="1"/>
  <c r="T130" i="1"/>
  <c r="F130" i="1"/>
  <c r="GE129" i="1"/>
  <c r="GB129" i="1"/>
  <c r="FW129" i="1"/>
  <c r="FV129" i="1"/>
  <c r="FS129" i="1"/>
  <c r="FO129" i="1"/>
  <c r="FJ129" i="1"/>
  <c r="FF129" i="1"/>
  <c r="FC129" i="1"/>
  <c r="EZ129" i="1"/>
  <c r="ET129" i="1"/>
  <c r="EL129" i="1"/>
  <c r="EI129" i="1"/>
  <c r="EC129" i="1"/>
  <c r="DW129" i="1"/>
  <c r="DS129" i="1"/>
  <c r="DP129" i="1"/>
  <c r="DM129" i="1"/>
  <c r="DI129" i="1"/>
  <c r="DD129" i="1"/>
  <c r="CX129" i="1"/>
  <c r="CP129" i="1"/>
  <c r="CO129" i="1"/>
  <c r="CI129" i="1"/>
  <c r="CC129" i="1"/>
  <c r="BZ129" i="1"/>
  <c r="BV129" i="1"/>
  <c r="BU129" i="1"/>
  <c r="BK129" i="1"/>
  <c r="BH129" i="1"/>
  <c r="BD129" i="1"/>
  <c r="AZ129" i="1"/>
  <c r="AV129" i="1"/>
  <c r="AP129" i="1"/>
  <c r="AL129" i="1"/>
  <c r="AJ129" i="1"/>
  <c r="AC129" i="1"/>
  <c r="X129" i="1"/>
  <c r="U129" i="1"/>
  <c r="T129" i="1"/>
  <c r="F129" i="1"/>
  <c r="GE128" i="1"/>
  <c r="GB128" i="1"/>
  <c r="FW128" i="1"/>
  <c r="FV128" i="1"/>
  <c r="FS128" i="1"/>
  <c r="FO128" i="1"/>
  <c r="FJ128" i="1"/>
  <c r="FF128" i="1"/>
  <c r="FC128" i="1"/>
  <c r="EZ128" i="1"/>
  <c r="ET128" i="1"/>
  <c r="EL128" i="1"/>
  <c r="EI128" i="1"/>
  <c r="EC128" i="1"/>
  <c r="DW128" i="1"/>
  <c r="DS128" i="1"/>
  <c r="DP128" i="1"/>
  <c r="DM128" i="1"/>
  <c r="DI128" i="1"/>
  <c r="DD128" i="1"/>
  <c r="CX128" i="1"/>
  <c r="CP128" i="1"/>
  <c r="CO128" i="1"/>
  <c r="CI128" i="1"/>
  <c r="CC128" i="1"/>
  <c r="BZ128" i="1"/>
  <c r="BV128" i="1"/>
  <c r="BU128" i="1"/>
  <c r="BK128" i="1"/>
  <c r="K126" i="4" s="1"/>
  <c r="BH128" i="1"/>
  <c r="BD128" i="1"/>
  <c r="AZ128" i="1"/>
  <c r="AV128" i="1"/>
  <c r="AP128" i="1"/>
  <c r="AL128" i="1"/>
  <c r="AJ128" i="1"/>
  <c r="AC128" i="1"/>
  <c r="X128" i="1"/>
  <c r="U128" i="1"/>
  <c r="T128" i="1"/>
  <c r="F128" i="1"/>
  <c r="GE127" i="1"/>
  <c r="GB127" i="1"/>
  <c r="FW127" i="1"/>
  <c r="FV127" i="1"/>
  <c r="FS127" i="1"/>
  <c r="FO127" i="1"/>
  <c r="FJ127" i="1"/>
  <c r="FF127" i="1"/>
  <c r="FC127" i="1"/>
  <c r="EZ127" i="1"/>
  <c r="ET127" i="1"/>
  <c r="EL127" i="1"/>
  <c r="EI127" i="1"/>
  <c r="EC127" i="1"/>
  <c r="DW127" i="1"/>
  <c r="DS127" i="1"/>
  <c r="DP127" i="1"/>
  <c r="DM127" i="1"/>
  <c r="DI127" i="1"/>
  <c r="DD127" i="1"/>
  <c r="CX127" i="1"/>
  <c r="CP127" i="1"/>
  <c r="CO127" i="1"/>
  <c r="CI127" i="1"/>
  <c r="CC127" i="1"/>
  <c r="BZ127" i="1"/>
  <c r="BV127" i="1"/>
  <c r="BU127" i="1"/>
  <c r="BK127" i="1"/>
  <c r="K125" i="4" s="1"/>
  <c r="BH127" i="1"/>
  <c r="BD127" i="1"/>
  <c r="AZ127" i="1"/>
  <c r="AV127" i="1"/>
  <c r="AP127" i="1"/>
  <c r="AL127" i="1"/>
  <c r="AJ127" i="1"/>
  <c r="AC127" i="1"/>
  <c r="X127" i="1"/>
  <c r="U127" i="1"/>
  <c r="T127" i="1"/>
  <c r="F127" i="1"/>
  <c r="GE126" i="1"/>
  <c r="GB126" i="1"/>
  <c r="FW126" i="1"/>
  <c r="FV126" i="1"/>
  <c r="FS126" i="1"/>
  <c r="FO126" i="1"/>
  <c r="FJ126" i="1"/>
  <c r="FF126" i="1"/>
  <c r="FC126" i="1"/>
  <c r="EZ126" i="1"/>
  <c r="ET126" i="1"/>
  <c r="EL126" i="1"/>
  <c r="EI126" i="1"/>
  <c r="EC126" i="1"/>
  <c r="DW126" i="1"/>
  <c r="DS126" i="1"/>
  <c r="DP126" i="1"/>
  <c r="DM126" i="1"/>
  <c r="DI126" i="1"/>
  <c r="DD126" i="1"/>
  <c r="CX126" i="1"/>
  <c r="CP126" i="1"/>
  <c r="CO126" i="1"/>
  <c r="CI126" i="1"/>
  <c r="CC126" i="1"/>
  <c r="BZ126" i="1"/>
  <c r="BV126" i="1"/>
  <c r="BU126" i="1"/>
  <c r="BK126" i="1"/>
  <c r="K124" i="4" s="1"/>
  <c r="BH126" i="1"/>
  <c r="BD126" i="1"/>
  <c r="AZ126" i="1"/>
  <c r="AV126" i="1"/>
  <c r="AP126" i="1"/>
  <c r="AL126" i="1"/>
  <c r="AJ126" i="1"/>
  <c r="AC126" i="1"/>
  <c r="X126" i="1"/>
  <c r="U126" i="1"/>
  <c r="T126" i="1"/>
  <c r="F126" i="1"/>
  <c r="GE125" i="1"/>
  <c r="GB125" i="1"/>
  <c r="FW125" i="1"/>
  <c r="FV125" i="1"/>
  <c r="FS125" i="1"/>
  <c r="FO125" i="1"/>
  <c r="FJ125" i="1"/>
  <c r="FF125" i="1"/>
  <c r="FC125" i="1"/>
  <c r="EZ125" i="1"/>
  <c r="ET125" i="1"/>
  <c r="EL125" i="1"/>
  <c r="EI125" i="1"/>
  <c r="EC125" i="1"/>
  <c r="DW125" i="1"/>
  <c r="DS125" i="1"/>
  <c r="DP125" i="1"/>
  <c r="DM125" i="1"/>
  <c r="DI125" i="1"/>
  <c r="DD125" i="1"/>
  <c r="CX125" i="1"/>
  <c r="CP125" i="1"/>
  <c r="CO125" i="1"/>
  <c r="CI125" i="1"/>
  <c r="CC125" i="1"/>
  <c r="BZ125" i="1"/>
  <c r="BV125" i="1"/>
  <c r="BU125" i="1"/>
  <c r="BK125" i="1"/>
  <c r="K123" i="4" s="1"/>
  <c r="BH125" i="1"/>
  <c r="BD125" i="1"/>
  <c r="AZ125" i="1"/>
  <c r="AV125" i="1"/>
  <c r="AP125" i="1"/>
  <c r="AL125" i="1"/>
  <c r="AJ125" i="1"/>
  <c r="AC125" i="1"/>
  <c r="X125" i="1"/>
  <c r="U125" i="1"/>
  <c r="T125" i="1"/>
  <c r="F125" i="1"/>
  <c r="GE124" i="1"/>
  <c r="GB124" i="1"/>
  <c r="FW124" i="1"/>
  <c r="FV124" i="1"/>
  <c r="FS124" i="1"/>
  <c r="FO124" i="1"/>
  <c r="FJ124" i="1"/>
  <c r="FF124" i="1"/>
  <c r="FC124" i="1"/>
  <c r="EZ124" i="1"/>
  <c r="ET124" i="1"/>
  <c r="EL124" i="1"/>
  <c r="EI124" i="1"/>
  <c r="EC124" i="1"/>
  <c r="DW124" i="1"/>
  <c r="DS124" i="1"/>
  <c r="DP124" i="1"/>
  <c r="DM124" i="1"/>
  <c r="DI124" i="1"/>
  <c r="DD124" i="1"/>
  <c r="CX124" i="1"/>
  <c r="CP124" i="1"/>
  <c r="CO124" i="1"/>
  <c r="CI124" i="1"/>
  <c r="CC124" i="1"/>
  <c r="BZ124" i="1"/>
  <c r="BV124" i="1"/>
  <c r="BU124" i="1"/>
  <c r="BK124" i="1"/>
  <c r="BH124" i="1"/>
  <c r="BD124" i="1"/>
  <c r="AZ124" i="1"/>
  <c r="AV124" i="1"/>
  <c r="AP124" i="1"/>
  <c r="AL124" i="1"/>
  <c r="AJ124" i="1"/>
  <c r="AC124" i="1"/>
  <c r="X124" i="1"/>
  <c r="U124" i="1"/>
  <c r="T124" i="1"/>
  <c r="F124" i="1"/>
  <c r="GE123" i="1"/>
  <c r="GB123" i="1"/>
  <c r="FW123" i="1"/>
  <c r="FV123" i="1"/>
  <c r="FS123" i="1"/>
  <c r="FO123" i="1"/>
  <c r="FJ123" i="1"/>
  <c r="FF123" i="1"/>
  <c r="FC123" i="1"/>
  <c r="EZ123" i="1"/>
  <c r="ET123" i="1"/>
  <c r="EL123" i="1"/>
  <c r="EI123" i="1"/>
  <c r="EC123" i="1"/>
  <c r="DW123" i="1"/>
  <c r="DS123" i="1"/>
  <c r="DP123" i="1"/>
  <c r="DM123" i="1"/>
  <c r="DI123" i="1"/>
  <c r="DD123" i="1"/>
  <c r="CX123" i="1"/>
  <c r="CP123" i="1"/>
  <c r="CO123" i="1"/>
  <c r="CI123" i="1"/>
  <c r="CC123" i="1"/>
  <c r="BZ123" i="1"/>
  <c r="BV123" i="1"/>
  <c r="BU123" i="1"/>
  <c r="BK123" i="1"/>
  <c r="K121" i="4" s="1"/>
  <c r="BH123" i="1"/>
  <c r="BD123" i="1"/>
  <c r="AZ123" i="1"/>
  <c r="AV123" i="1"/>
  <c r="AP123" i="1"/>
  <c r="AL123" i="1"/>
  <c r="AJ123" i="1"/>
  <c r="AC123" i="1"/>
  <c r="X123" i="1"/>
  <c r="U123" i="1"/>
  <c r="T123" i="1"/>
  <c r="F123" i="1"/>
  <c r="GE122" i="1"/>
  <c r="GB122" i="1"/>
  <c r="FW122" i="1"/>
  <c r="FV122" i="1"/>
  <c r="FS122" i="1"/>
  <c r="FO122" i="1"/>
  <c r="FJ122" i="1"/>
  <c r="FF122" i="1"/>
  <c r="FC122" i="1"/>
  <c r="EZ122" i="1"/>
  <c r="ET122" i="1"/>
  <c r="EL122" i="1"/>
  <c r="EI122" i="1"/>
  <c r="EC122" i="1"/>
  <c r="DW122" i="1"/>
  <c r="DS122" i="1"/>
  <c r="DP122" i="1"/>
  <c r="DM122" i="1"/>
  <c r="DI122" i="1"/>
  <c r="DD122" i="1"/>
  <c r="CX122" i="1"/>
  <c r="CP122" i="1"/>
  <c r="CO122" i="1"/>
  <c r="CI122" i="1"/>
  <c r="CC122" i="1"/>
  <c r="BZ122" i="1"/>
  <c r="BV122" i="1"/>
  <c r="BU122" i="1"/>
  <c r="BK122" i="1"/>
  <c r="K120" i="4" s="1"/>
  <c r="BH122" i="1"/>
  <c r="BD122" i="1"/>
  <c r="AZ122" i="1"/>
  <c r="AV122" i="1"/>
  <c r="AP122" i="1"/>
  <c r="AL122" i="1"/>
  <c r="AJ122" i="1"/>
  <c r="AC122" i="1"/>
  <c r="X122" i="1"/>
  <c r="U122" i="1"/>
  <c r="T122" i="1"/>
  <c r="F122" i="1"/>
  <c r="GE121" i="1"/>
  <c r="GB121" i="1"/>
  <c r="FW121" i="1"/>
  <c r="FV121" i="1"/>
  <c r="FS121" i="1"/>
  <c r="FO121" i="1"/>
  <c r="FJ121" i="1"/>
  <c r="FF121" i="1"/>
  <c r="FC121" i="1"/>
  <c r="EZ121" i="1"/>
  <c r="ET121" i="1"/>
  <c r="EL121" i="1"/>
  <c r="EI121" i="1"/>
  <c r="EC121" i="1"/>
  <c r="DW121" i="1"/>
  <c r="DS121" i="1"/>
  <c r="DP121" i="1"/>
  <c r="DM121" i="1"/>
  <c r="DI121" i="1"/>
  <c r="DD121" i="1"/>
  <c r="CX121" i="1"/>
  <c r="CP121" i="1"/>
  <c r="CO121" i="1"/>
  <c r="CI121" i="1"/>
  <c r="CC121" i="1"/>
  <c r="BZ121" i="1"/>
  <c r="BV121" i="1"/>
  <c r="BU121" i="1"/>
  <c r="BK121" i="1"/>
  <c r="BH121" i="1"/>
  <c r="BD121" i="1"/>
  <c r="AZ121" i="1"/>
  <c r="AV121" i="1"/>
  <c r="AP121" i="1"/>
  <c r="AL121" i="1"/>
  <c r="AJ121" i="1"/>
  <c r="AC121" i="1"/>
  <c r="X121" i="1"/>
  <c r="U121" i="1"/>
  <c r="T121" i="1"/>
  <c r="F121" i="1"/>
  <c r="GE120" i="1"/>
  <c r="GB120" i="1"/>
  <c r="FW120" i="1"/>
  <c r="FV120" i="1"/>
  <c r="FS120" i="1"/>
  <c r="FO120" i="1"/>
  <c r="FJ120" i="1"/>
  <c r="FF120" i="1"/>
  <c r="FC120" i="1"/>
  <c r="EZ120" i="1"/>
  <c r="ET120" i="1"/>
  <c r="EL120" i="1"/>
  <c r="EI120" i="1"/>
  <c r="EC120" i="1"/>
  <c r="DW120" i="1"/>
  <c r="DS120" i="1"/>
  <c r="DP120" i="1"/>
  <c r="DM120" i="1"/>
  <c r="DI120" i="1"/>
  <c r="DD120" i="1"/>
  <c r="CX120" i="1"/>
  <c r="CP120" i="1"/>
  <c r="CO120" i="1"/>
  <c r="CI120" i="1"/>
  <c r="CC120" i="1"/>
  <c r="BZ120" i="1"/>
  <c r="BV120" i="1"/>
  <c r="BU120" i="1"/>
  <c r="BK120" i="1"/>
  <c r="BH120" i="1"/>
  <c r="BD120" i="1"/>
  <c r="AZ120" i="1"/>
  <c r="AV120" i="1"/>
  <c r="AP120" i="1"/>
  <c r="AL120" i="1"/>
  <c r="AJ120" i="1"/>
  <c r="AC120" i="1"/>
  <c r="X120" i="1"/>
  <c r="U120" i="1"/>
  <c r="T120" i="1"/>
  <c r="F120" i="1"/>
  <c r="GE119" i="1"/>
  <c r="GB119" i="1"/>
  <c r="FW119" i="1"/>
  <c r="FV119" i="1"/>
  <c r="FS119" i="1"/>
  <c r="FO119" i="1"/>
  <c r="FJ119" i="1"/>
  <c r="FF119" i="1"/>
  <c r="FC119" i="1"/>
  <c r="EZ119" i="1"/>
  <c r="ET119" i="1"/>
  <c r="EL119" i="1"/>
  <c r="EI119" i="1"/>
  <c r="EC119" i="1"/>
  <c r="DW119" i="1"/>
  <c r="DS119" i="1"/>
  <c r="DP119" i="1"/>
  <c r="DM119" i="1"/>
  <c r="DI119" i="1"/>
  <c r="DD119" i="1"/>
  <c r="CX119" i="1"/>
  <c r="CP119" i="1"/>
  <c r="CO119" i="1"/>
  <c r="CI119" i="1"/>
  <c r="CC119" i="1"/>
  <c r="BZ119" i="1"/>
  <c r="BV119" i="1"/>
  <c r="BU119" i="1"/>
  <c r="BK119" i="1"/>
  <c r="K117" i="4" s="1"/>
  <c r="BH119" i="1"/>
  <c r="BD119" i="1"/>
  <c r="AZ119" i="1"/>
  <c r="AV119" i="1"/>
  <c r="AP119" i="1"/>
  <c r="AL119" i="1"/>
  <c r="AJ119" i="1"/>
  <c r="AC119" i="1"/>
  <c r="X119" i="1"/>
  <c r="U119" i="1"/>
  <c r="T119" i="1"/>
  <c r="F119" i="1"/>
  <c r="GE118" i="1"/>
  <c r="GB118" i="1"/>
  <c r="FW118" i="1"/>
  <c r="FV118" i="1"/>
  <c r="FS118" i="1"/>
  <c r="FO118" i="1"/>
  <c r="FJ118" i="1"/>
  <c r="FF118" i="1"/>
  <c r="FC118" i="1"/>
  <c r="EZ118" i="1"/>
  <c r="ET118" i="1"/>
  <c r="EL118" i="1"/>
  <c r="EI118" i="1"/>
  <c r="EC118" i="1"/>
  <c r="DW118" i="1"/>
  <c r="DS118" i="1"/>
  <c r="DP118" i="1"/>
  <c r="DM118" i="1"/>
  <c r="DI118" i="1"/>
  <c r="DD118" i="1"/>
  <c r="CX118" i="1"/>
  <c r="CP118" i="1"/>
  <c r="CO118" i="1"/>
  <c r="CI118" i="1"/>
  <c r="CC118" i="1"/>
  <c r="BZ118" i="1"/>
  <c r="BV118" i="1"/>
  <c r="BU118" i="1"/>
  <c r="BK118" i="1"/>
  <c r="K116" i="4" s="1"/>
  <c r="BH118" i="1"/>
  <c r="BD118" i="1"/>
  <c r="AZ118" i="1"/>
  <c r="AV118" i="1"/>
  <c r="AP118" i="1"/>
  <c r="AL118" i="1"/>
  <c r="AJ118" i="1"/>
  <c r="AC118" i="1"/>
  <c r="X118" i="1"/>
  <c r="U118" i="1"/>
  <c r="T118" i="1"/>
  <c r="F118" i="1"/>
  <c r="GE117" i="1"/>
  <c r="GB117" i="1"/>
  <c r="FW117" i="1"/>
  <c r="FV117" i="1"/>
  <c r="FS117" i="1"/>
  <c r="FO117" i="1"/>
  <c r="FJ117" i="1"/>
  <c r="FF117" i="1"/>
  <c r="FC117" i="1"/>
  <c r="EZ117" i="1"/>
  <c r="ET117" i="1"/>
  <c r="EL117" i="1"/>
  <c r="EI117" i="1"/>
  <c r="EC117" i="1"/>
  <c r="DW117" i="1"/>
  <c r="DS117" i="1"/>
  <c r="DP117" i="1"/>
  <c r="DM117" i="1"/>
  <c r="DI117" i="1"/>
  <c r="DD117" i="1"/>
  <c r="CX117" i="1"/>
  <c r="CP117" i="1"/>
  <c r="CO117" i="1"/>
  <c r="CI117" i="1"/>
  <c r="CC117" i="1"/>
  <c r="BZ117" i="1"/>
  <c r="BV117" i="1"/>
  <c r="BU117" i="1"/>
  <c r="BK117" i="1"/>
  <c r="K115" i="4" s="1"/>
  <c r="BH117" i="1"/>
  <c r="BD117" i="1"/>
  <c r="AZ117" i="1"/>
  <c r="AV117" i="1"/>
  <c r="AP117" i="1"/>
  <c r="AL117" i="1"/>
  <c r="AJ117" i="1"/>
  <c r="AC117" i="1"/>
  <c r="X117" i="1"/>
  <c r="U117" i="1"/>
  <c r="T117" i="1"/>
  <c r="F117" i="1"/>
  <c r="GE116" i="1"/>
  <c r="GB116" i="1"/>
  <c r="FW116" i="1"/>
  <c r="FV116" i="1"/>
  <c r="FS116" i="1"/>
  <c r="FO116" i="1"/>
  <c r="FJ116" i="1"/>
  <c r="FF116" i="1"/>
  <c r="FC116" i="1"/>
  <c r="EZ116" i="1"/>
  <c r="ET116" i="1"/>
  <c r="EL116" i="1"/>
  <c r="EI116" i="1"/>
  <c r="EC116" i="1"/>
  <c r="DW116" i="1"/>
  <c r="DS116" i="1"/>
  <c r="DP116" i="1"/>
  <c r="DM116" i="1"/>
  <c r="DI116" i="1"/>
  <c r="DD116" i="1"/>
  <c r="CX116" i="1"/>
  <c r="CP116" i="1"/>
  <c r="CO116" i="1"/>
  <c r="CI116" i="1"/>
  <c r="CC116" i="1"/>
  <c r="BZ116" i="1"/>
  <c r="BV116" i="1"/>
  <c r="BU116" i="1"/>
  <c r="BK116" i="1"/>
  <c r="K114" i="4" s="1"/>
  <c r="BH116" i="1"/>
  <c r="BD116" i="1"/>
  <c r="AZ116" i="1"/>
  <c r="AV116" i="1"/>
  <c r="AP116" i="1"/>
  <c r="AL116" i="1"/>
  <c r="AJ116" i="1"/>
  <c r="AC116" i="1"/>
  <c r="X116" i="1"/>
  <c r="U116" i="1"/>
  <c r="T116" i="1"/>
  <c r="F116" i="1"/>
  <c r="GE115" i="1"/>
  <c r="GB115" i="1"/>
  <c r="FW115" i="1"/>
  <c r="FV115" i="1"/>
  <c r="FS115" i="1"/>
  <c r="FO115" i="1"/>
  <c r="FJ115" i="1"/>
  <c r="FF115" i="1"/>
  <c r="FC115" i="1"/>
  <c r="EZ115" i="1"/>
  <c r="ET115" i="1"/>
  <c r="EL115" i="1"/>
  <c r="EI115" i="1"/>
  <c r="EC115" i="1"/>
  <c r="DW115" i="1"/>
  <c r="DS115" i="1"/>
  <c r="DP115" i="1"/>
  <c r="DM115" i="1"/>
  <c r="DI115" i="1"/>
  <c r="DD115" i="1"/>
  <c r="CX115" i="1"/>
  <c r="CP115" i="1"/>
  <c r="CO115" i="1"/>
  <c r="CI115" i="1"/>
  <c r="CC115" i="1"/>
  <c r="BZ115" i="1"/>
  <c r="BV115" i="1"/>
  <c r="BU115" i="1"/>
  <c r="BK115" i="1"/>
  <c r="K113" i="4" s="1"/>
  <c r="BH115" i="1"/>
  <c r="BD115" i="1"/>
  <c r="AZ115" i="1"/>
  <c r="AV115" i="1"/>
  <c r="AP115" i="1"/>
  <c r="AL115" i="1"/>
  <c r="AJ115" i="1"/>
  <c r="AC115" i="1"/>
  <c r="X115" i="1"/>
  <c r="U115" i="1"/>
  <c r="T115" i="1"/>
  <c r="F115" i="1"/>
  <c r="GE114" i="1"/>
  <c r="GB114" i="1"/>
  <c r="FW114" i="1"/>
  <c r="FV114" i="1"/>
  <c r="FS114" i="1"/>
  <c r="FO114" i="1"/>
  <c r="FJ114" i="1"/>
  <c r="FF114" i="1"/>
  <c r="FC114" i="1"/>
  <c r="EZ114" i="1"/>
  <c r="ET114" i="1"/>
  <c r="EL114" i="1"/>
  <c r="EI114" i="1"/>
  <c r="EC114" i="1"/>
  <c r="DW114" i="1"/>
  <c r="DS114" i="1"/>
  <c r="DP114" i="1"/>
  <c r="DM114" i="1"/>
  <c r="DI114" i="1"/>
  <c r="DD114" i="1"/>
  <c r="CX114" i="1"/>
  <c r="CP114" i="1"/>
  <c r="CO114" i="1"/>
  <c r="CI114" i="1"/>
  <c r="CC114" i="1"/>
  <c r="BZ114" i="1"/>
  <c r="BV114" i="1"/>
  <c r="BU114" i="1"/>
  <c r="BK114" i="1"/>
  <c r="K112" i="4" s="1"/>
  <c r="BH114" i="1"/>
  <c r="BD114" i="1"/>
  <c r="AZ114" i="1"/>
  <c r="AV114" i="1"/>
  <c r="AP114" i="1"/>
  <c r="AL114" i="1"/>
  <c r="AJ114" i="1"/>
  <c r="AC114" i="1"/>
  <c r="X114" i="1"/>
  <c r="U114" i="1"/>
  <c r="T114" i="1"/>
  <c r="F114" i="1"/>
  <c r="GE113" i="1"/>
  <c r="GB113" i="1"/>
  <c r="FW113" i="1"/>
  <c r="FV113" i="1"/>
  <c r="FS113" i="1"/>
  <c r="FO113" i="1"/>
  <c r="FJ113" i="1"/>
  <c r="FF113" i="1"/>
  <c r="FC113" i="1"/>
  <c r="EZ113" i="1"/>
  <c r="ET113" i="1"/>
  <c r="EL113" i="1"/>
  <c r="EI113" i="1"/>
  <c r="EC113" i="1"/>
  <c r="DW113" i="1"/>
  <c r="DS113" i="1"/>
  <c r="DP113" i="1"/>
  <c r="DM113" i="1"/>
  <c r="DI113" i="1"/>
  <c r="DD113" i="1"/>
  <c r="CX113" i="1"/>
  <c r="CP113" i="1"/>
  <c r="CO113" i="1"/>
  <c r="CI113" i="1"/>
  <c r="CC113" i="1"/>
  <c r="BZ113" i="1"/>
  <c r="BV113" i="1"/>
  <c r="BU113" i="1"/>
  <c r="BK113" i="1"/>
  <c r="BH113" i="1"/>
  <c r="BD113" i="1"/>
  <c r="AZ113" i="1"/>
  <c r="AV113" i="1"/>
  <c r="AP113" i="1"/>
  <c r="AL113" i="1"/>
  <c r="AJ113" i="1"/>
  <c r="AC113" i="1"/>
  <c r="X113" i="1"/>
  <c r="U113" i="1"/>
  <c r="T113" i="1"/>
  <c r="F113" i="1"/>
  <c r="GE112" i="1"/>
  <c r="GB112" i="1"/>
  <c r="FW112" i="1"/>
  <c r="FV112" i="1"/>
  <c r="FS112" i="1"/>
  <c r="FO112" i="1"/>
  <c r="FJ112" i="1"/>
  <c r="FF112" i="1"/>
  <c r="FC112" i="1"/>
  <c r="EZ112" i="1"/>
  <c r="ET112" i="1"/>
  <c r="EL112" i="1"/>
  <c r="EI112" i="1"/>
  <c r="EC112" i="1"/>
  <c r="DW112" i="1"/>
  <c r="DS112" i="1"/>
  <c r="DP112" i="1"/>
  <c r="DM112" i="1"/>
  <c r="DI112" i="1"/>
  <c r="DD112" i="1"/>
  <c r="CX112" i="1"/>
  <c r="CP112" i="1"/>
  <c r="CO112" i="1"/>
  <c r="CI112" i="1"/>
  <c r="CC112" i="1"/>
  <c r="BZ112" i="1"/>
  <c r="BV112" i="1"/>
  <c r="BU112" i="1"/>
  <c r="BK112" i="1"/>
  <c r="K110" i="4" s="1"/>
  <c r="BH112" i="1"/>
  <c r="BD112" i="1"/>
  <c r="AZ112" i="1"/>
  <c r="AV112" i="1"/>
  <c r="AP112" i="1"/>
  <c r="AL112" i="1"/>
  <c r="AJ112" i="1"/>
  <c r="AC112" i="1"/>
  <c r="X112" i="1"/>
  <c r="U112" i="1"/>
  <c r="T112" i="1"/>
  <c r="F112" i="1"/>
  <c r="GE111" i="1"/>
  <c r="GB111" i="1"/>
  <c r="FW111" i="1"/>
  <c r="FV111" i="1"/>
  <c r="FS111" i="1"/>
  <c r="FO111" i="1"/>
  <c r="FJ111" i="1"/>
  <c r="FF111" i="1"/>
  <c r="FC111" i="1"/>
  <c r="EZ111" i="1"/>
  <c r="ET111" i="1"/>
  <c r="EL111" i="1"/>
  <c r="EI111" i="1"/>
  <c r="EC111" i="1"/>
  <c r="DW111" i="1"/>
  <c r="DS111" i="1"/>
  <c r="DP111" i="1"/>
  <c r="DM111" i="1"/>
  <c r="DI111" i="1"/>
  <c r="DD111" i="1"/>
  <c r="CX111" i="1"/>
  <c r="CP111" i="1"/>
  <c r="CO111" i="1"/>
  <c r="CI111" i="1"/>
  <c r="CC111" i="1"/>
  <c r="BZ111" i="1"/>
  <c r="BV111" i="1"/>
  <c r="BU111" i="1"/>
  <c r="BK111" i="1"/>
  <c r="K109" i="4" s="1"/>
  <c r="BH111" i="1"/>
  <c r="BD111" i="1"/>
  <c r="AZ111" i="1"/>
  <c r="AV111" i="1"/>
  <c r="AP111" i="1"/>
  <c r="AL111" i="1"/>
  <c r="AJ111" i="1"/>
  <c r="AC111" i="1"/>
  <c r="X111" i="1"/>
  <c r="U111" i="1"/>
  <c r="T111" i="1"/>
  <c r="F111" i="1"/>
  <c r="GE110" i="1"/>
  <c r="GB110" i="1"/>
  <c r="FW110" i="1"/>
  <c r="FV110" i="1"/>
  <c r="FS110" i="1"/>
  <c r="FO110" i="1"/>
  <c r="FJ110" i="1"/>
  <c r="FF110" i="1"/>
  <c r="FC110" i="1"/>
  <c r="EZ110" i="1"/>
  <c r="ET110" i="1"/>
  <c r="EL110" i="1"/>
  <c r="EI110" i="1"/>
  <c r="EC110" i="1"/>
  <c r="DW110" i="1"/>
  <c r="DS110" i="1"/>
  <c r="DP110" i="1"/>
  <c r="DM110" i="1"/>
  <c r="DI110" i="1"/>
  <c r="DD110" i="1"/>
  <c r="CX110" i="1"/>
  <c r="CP110" i="1"/>
  <c r="CO110" i="1"/>
  <c r="CI110" i="1"/>
  <c r="CC110" i="1"/>
  <c r="BZ110" i="1"/>
  <c r="BV110" i="1"/>
  <c r="BU110" i="1"/>
  <c r="BK110" i="1"/>
  <c r="K108" i="4" s="1"/>
  <c r="BH110" i="1"/>
  <c r="BD110" i="1"/>
  <c r="AZ110" i="1"/>
  <c r="AV110" i="1"/>
  <c r="AP110" i="1"/>
  <c r="AL110" i="1"/>
  <c r="AJ110" i="1"/>
  <c r="AC110" i="1"/>
  <c r="X110" i="1"/>
  <c r="U110" i="1"/>
  <c r="T110" i="1"/>
  <c r="F110" i="1"/>
  <c r="GE109" i="1"/>
  <c r="GB109" i="1"/>
  <c r="FW109" i="1"/>
  <c r="FV109" i="1"/>
  <c r="FS109" i="1"/>
  <c r="FO109" i="1"/>
  <c r="FJ109" i="1"/>
  <c r="FF109" i="1"/>
  <c r="FC109" i="1"/>
  <c r="EZ109" i="1"/>
  <c r="ET109" i="1"/>
  <c r="EL109" i="1"/>
  <c r="EI109" i="1"/>
  <c r="EC109" i="1"/>
  <c r="DW109" i="1"/>
  <c r="DS109" i="1"/>
  <c r="DP109" i="1"/>
  <c r="DM109" i="1"/>
  <c r="DI109" i="1"/>
  <c r="DD109" i="1"/>
  <c r="CX109" i="1"/>
  <c r="CP109" i="1"/>
  <c r="CO109" i="1"/>
  <c r="CI109" i="1"/>
  <c r="CC109" i="1"/>
  <c r="BZ109" i="1"/>
  <c r="BV109" i="1"/>
  <c r="BU109" i="1"/>
  <c r="BK109" i="1"/>
  <c r="K107" i="4" s="1"/>
  <c r="BH109" i="1"/>
  <c r="BD109" i="1"/>
  <c r="AZ109" i="1"/>
  <c r="AV109" i="1"/>
  <c r="AP109" i="1"/>
  <c r="AL109" i="1"/>
  <c r="AJ109" i="1"/>
  <c r="AC109" i="1"/>
  <c r="X109" i="1"/>
  <c r="U109" i="1"/>
  <c r="T109" i="1"/>
  <c r="F109" i="1"/>
  <c r="GE108" i="1"/>
  <c r="GB108" i="1"/>
  <c r="FW108" i="1"/>
  <c r="FV108" i="1"/>
  <c r="FS108" i="1"/>
  <c r="FO108" i="1"/>
  <c r="FJ108" i="1"/>
  <c r="FF108" i="1"/>
  <c r="FC108" i="1"/>
  <c r="EZ108" i="1"/>
  <c r="ET108" i="1"/>
  <c r="EL108" i="1"/>
  <c r="EI108" i="1"/>
  <c r="EC108" i="1"/>
  <c r="DW108" i="1"/>
  <c r="DS108" i="1"/>
  <c r="DP108" i="1"/>
  <c r="DM108" i="1"/>
  <c r="DI108" i="1"/>
  <c r="DD108" i="1"/>
  <c r="CX108" i="1"/>
  <c r="CP108" i="1"/>
  <c r="CO108" i="1"/>
  <c r="CI108" i="1"/>
  <c r="CC108" i="1"/>
  <c r="BZ108" i="1"/>
  <c r="BV108" i="1"/>
  <c r="BU108" i="1"/>
  <c r="BK108" i="1"/>
  <c r="BH108" i="1"/>
  <c r="BD108" i="1"/>
  <c r="AZ108" i="1"/>
  <c r="AV108" i="1"/>
  <c r="AP108" i="1"/>
  <c r="AL108" i="1"/>
  <c r="AJ108" i="1"/>
  <c r="AC108" i="1"/>
  <c r="X108" i="1"/>
  <c r="U108" i="1"/>
  <c r="T108" i="1"/>
  <c r="F108" i="1"/>
  <c r="GE107" i="1"/>
  <c r="GB107" i="1"/>
  <c r="FW107" i="1"/>
  <c r="FV107" i="1"/>
  <c r="FS107" i="1"/>
  <c r="FO107" i="1"/>
  <c r="FJ107" i="1"/>
  <c r="FF107" i="1"/>
  <c r="FC107" i="1"/>
  <c r="EZ107" i="1"/>
  <c r="ET107" i="1"/>
  <c r="EL107" i="1"/>
  <c r="EI107" i="1"/>
  <c r="EC107" i="1"/>
  <c r="DW107" i="1"/>
  <c r="DS107" i="1"/>
  <c r="DP107" i="1"/>
  <c r="DM107" i="1"/>
  <c r="DI107" i="1"/>
  <c r="DD107" i="1"/>
  <c r="CX107" i="1"/>
  <c r="CP107" i="1"/>
  <c r="CO107" i="1"/>
  <c r="CI107" i="1"/>
  <c r="CC107" i="1"/>
  <c r="BZ107" i="1"/>
  <c r="BV107" i="1"/>
  <c r="BU107" i="1"/>
  <c r="BK107" i="1"/>
  <c r="K105" i="4" s="1"/>
  <c r="BH107" i="1"/>
  <c r="BD107" i="1"/>
  <c r="AZ107" i="1"/>
  <c r="AV107" i="1"/>
  <c r="AP107" i="1"/>
  <c r="AL107" i="1"/>
  <c r="AJ107" i="1"/>
  <c r="AC107" i="1"/>
  <c r="X107" i="1"/>
  <c r="U107" i="1"/>
  <c r="T107" i="1"/>
  <c r="F107" i="1"/>
  <c r="GE106" i="1"/>
  <c r="GB106" i="1"/>
  <c r="FW106" i="1"/>
  <c r="FV106" i="1"/>
  <c r="FS106" i="1"/>
  <c r="FO106" i="1"/>
  <c r="FJ106" i="1"/>
  <c r="FF106" i="1"/>
  <c r="FC106" i="1"/>
  <c r="EZ106" i="1"/>
  <c r="ET106" i="1"/>
  <c r="EL106" i="1"/>
  <c r="EI106" i="1"/>
  <c r="EC106" i="1"/>
  <c r="DW106" i="1"/>
  <c r="DS106" i="1"/>
  <c r="DP106" i="1"/>
  <c r="DM106" i="1"/>
  <c r="DI106" i="1"/>
  <c r="DD106" i="1"/>
  <c r="CX106" i="1"/>
  <c r="CP106" i="1"/>
  <c r="CO106" i="1"/>
  <c r="CI106" i="1"/>
  <c r="CC106" i="1"/>
  <c r="BZ106" i="1"/>
  <c r="BV106" i="1"/>
  <c r="BU106" i="1"/>
  <c r="BK106" i="1"/>
  <c r="K104" i="4" s="1"/>
  <c r="BH106" i="1"/>
  <c r="BD106" i="1"/>
  <c r="AZ106" i="1"/>
  <c r="AV106" i="1"/>
  <c r="AP106" i="1"/>
  <c r="AL106" i="1"/>
  <c r="AJ106" i="1"/>
  <c r="AC106" i="1"/>
  <c r="X106" i="1"/>
  <c r="U106" i="1"/>
  <c r="T106" i="1"/>
  <c r="F106" i="1"/>
  <c r="GE105" i="1"/>
  <c r="GB105" i="1"/>
  <c r="FW105" i="1"/>
  <c r="FV105" i="1"/>
  <c r="FS105" i="1"/>
  <c r="FO105" i="1"/>
  <c r="FJ105" i="1"/>
  <c r="FF105" i="1"/>
  <c r="FC105" i="1"/>
  <c r="EZ105" i="1"/>
  <c r="ET105" i="1"/>
  <c r="EL105" i="1"/>
  <c r="EI105" i="1"/>
  <c r="EC105" i="1"/>
  <c r="DW105" i="1"/>
  <c r="DS105" i="1"/>
  <c r="DP105" i="1"/>
  <c r="DM105" i="1"/>
  <c r="DI105" i="1"/>
  <c r="DD105" i="1"/>
  <c r="CX105" i="1"/>
  <c r="CP105" i="1"/>
  <c r="CO105" i="1"/>
  <c r="CI105" i="1"/>
  <c r="CC105" i="1"/>
  <c r="BZ105" i="1"/>
  <c r="BV105" i="1"/>
  <c r="BU105" i="1"/>
  <c r="BK105" i="1"/>
  <c r="BH105" i="1"/>
  <c r="BD105" i="1"/>
  <c r="AZ105" i="1"/>
  <c r="AV105" i="1"/>
  <c r="AP105" i="1"/>
  <c r="AL105" i="1"/>
  <c r="AJ105" i="1"/>
  <c r="AC105" i="1"/>
  <c r="X105" i="1"/>
  <c r="U105" i="1"/>
  <c r="T105" i="1"/>
  <c r="F105" i="1"/>
  <c r="GE104" i="1"/>
  <c r="GB104" i="1"/>
  <c r="FW104" i="1"/>
  <c r="FV104" i="1"/>
  <c r="FS104" i="1"/>
  <c r="FO104" i="1"/>
  <c r="FJ104" i="1"/>
  <c r="FF104" i="1"/>
  <c r="FC104" i="1"/>
  <c r="EZ104" i="1"/>
  <c r="ET104" i="1"/>
  <c r="EL104" i="1"/>
  <c r="EI104" i="1"/>
  <c r="EC104" i="1"/>
  <c r="DW104" i="1"/>
  <c r="DS104" i="1"/>
  <c r="DP104" i="1"/>
  <c r="DM104" i="1"/>
  <c r="DI104" i="1"/>
  <c r="DD104" i="1"/>
  <c r="CX104" i="1"/>
  <c r="CP104" i="1"/>
  <c r="CO104" i="1"/>
  <c r="CI104" i="1"/>
  <c r="CC104" i="1"/>
  <c r="BZ104" i="1"/>
  <c r="BV104" i="1"/>
  <c r="BU104" i="1"/>
  <c r="BK104" i="1"/>
  <c r="BH104" i="1"/>
  <c r="BD104" i="1"/>
  <c r="AZ104" i="1"/>
  <c r="AV104" i="1"/>
  <c r="AP104" i="1"/>
  <c r="AL104" i="1"/>
  <c r="AJ104" i="1"/>
  <c r="AC104" i="1"/>
  <c r="X104" i="1"/>
  <c r="U104" i="1"/>
  <c r="T104" i="1"/>
  <c r="F104" i="1"/>
  <c r="GE103" i="1"/>
  <c r="GB103" i="1"/>
  <c r="FW103" i="1"/>
  <c r="FV103" i="1"/>
  <c r="FS103" i="1"/>
  <c r="FO103" i="1"/>
  <c r="FJ103" i="1"/>
  <c r="FF103" i="1"/>
  <c r="FC103" i="1"/>
  <c r="EZ103" i="1"/>
  <c r="ET103" i="1"/>
  <c r="EL103" i="1"/>
  <c r="EI103" i="1"/>
  <c r="EC103" i="1"/>
  <c r="DW103" i="1"/>
  <c r="DS103" i="1"/>
  <c r="DP103" i="1"/>
  <c r="DM103" i="1"/>
  <c r="DI103" i="1"/>
  <c r="DD103" i="1"/>
  <c r="CX103" i="1"/>
  <c r="CP103" i="1"/>
  <c r="CO103" i="1"/>
  <c r="CI103" i="1"/>
  <c r="CC103" i="1"/>
  <c r="BZ103" i="1"/>
  <c r="BV103" i="1"/>
  <c r="BU103" i="1"/>
  <c r="BK103" i="1"/>
  <c r="K101" i="4" s="1"/>
  <c r="BH103" i="1"/>
  <c r="BD103" i="1"/>
  <c r="AZ103" i="1"/>
  <c r="AV103" i="1"/>
  <c r="AP103" i="1"/>
  <c r="AL103" i="1"/>
  <c r="AJ103" i="1"/>
  <c r="AC103" i="1"/>
  <c r="X103" i="1"/>
  <c r="U103" i="1"/>
  <c r="T103" i="1"/>
  <c r="F103" i="1"/>
  <c r="GE102" i="1"/>
  <c r="GB102" i="1"/>
  <c r="FW102" i="1"/>
  <c r="FV102" i="1"/>
  <c r="FS102" i="1"/>
  <c r="FO102" i="1"/>
  <c r="FJ102" i="1"/>
  <c r="FF102" i="1"/>
  <c r="FC102" i="1"/>
  <c r="EZ102" i="1"/>
  <c r="ET102" i="1"/>
  <c r="EL102" i="1"/>
  <c r="EI102" i="1"/>
  <c r="EC102" i="1"/>
  <c r="DW102" i="1"/>
  <c r="DS102" i="1"/>
  <c r="DP102" i="1"/>
  <c r="DM102" i="1"/>
  <c r="DI102" i="1"/>
  <c r="DD102" i="1"/>
  <c r="CX102" i="1"/>
  <c r="CP102" i="1"/>
  <c r="CO102" i="1"/>
  <c r="CI102" i="1"/>
  <c r="CC102" i="1"/>
  <c r="BZ102" i="1"/>
  <c r="BV102" i="1"/>
  <c r="BU102" i="1"/>
  <c r="BK102" i="1"/>
  <c r="K100" i="4" s="1"/>
  <c r="BH102" i="1"/>
  <c r="BD102" i="1"/>
  <c r="AZ102" i="1"/>
  <c r="AV102" i="1"/>
  <c r="AP102" i="1"/>
  <c r="AL102" i="1"/>
  <c r="AJ102" i="1"/>
  <c r="AC102" i="1"/>
  <c r="X102" i="1"/>
  <c r="U102" i="1"/>
  <c r="T102" i="1"/>
  <c r="F102" i="1"/>
  <c r="GE101" i="1"/>
  <c r="GB101" i="1"/>
  <c r="FW101" i="1"/>
  <c r="FV101" i="1"/>
  <c r="FS101" i="1"/>
  <c r="FO101" i="1"/>
  <c r="FJ101" i="1"/>
  <c r="FF101" i="1"/>
  <c r="FC101" i="1"/>
  <c r="EZ101" i="1"/>
  <c r="ET101" i="1"/>
  <c r="EL101" i="1"/>
  <c r="EI101" i="1"/>
  <c r="EC101" i="1"/>
  <c r="DW101" i="1"/>
  <c r="DS101" i="1"/>
  <c r="DP101" i="1"/>
  <c r="DM101" i="1"/>
  <c r="DI101" i="1"/>
  <c r="DD101" i="1"/>
  <c r="CX101" i="1"/>
  <c r="CP101" i="1"/>
  <c r="CO101" i="1"/>
  <c r="CI101" i="1"/>
  <c r="CC101" i="1"/>
  <c r="BZ101" i="1"/>
  <c r="BV101" i="1"/>
  <c r="BU101" i="1"/>
  <c r="BK101" i="1"/>
  <c r="K99" i="4" s="1"/>
  <c r="BH101" i="1"/>
  <c r="BD101" i="1"/>
  <c r="AZ101" i="1"/>
  <c r="AV101" i="1"/>
  <c r="AP101" i="1"/>
  <c r="AL101" i="1"/>
  <c r="AJ101" i="1"/>
  <c r="AC101" i="1"/>
  <c r="X101" i="1"/>
  <c r="U101" i="1"/>
  <c r="T101" i="1"/>
  <c r="F101" i="1"/>
  <c r="GE100" i="1"/>
  <c r="GB100" i="1"/>
  <c r="FW100" i="1"/>
  <c r="FV100" i="1"/>
  <c r="FS100" i="1"/>
  <c r="FO100" i="1"/>
  <c r="FJ100" i="1"/>
  <c r="FF100" i="1"/>
  <c r="FC100" i="1"/>
  <c r="EZ100" i="1"/>
  <c r="ET100" i="1"/>
  <c r="EL100" i="1"/>
  <c r="EI100" i="1"/>
  <c r="EC100" i="1"/>
  <c r="DW100" i="1"/>
  <c r="DS100" i="1"/>
  <c r="DP100" i="1"/>
  <c r="DM100" i="1"/>
  <c r="DI100" i="1"/>
  <c r="DD100" i="1"/>
  <c r="CX100" i="1"/>
  <c r="CP100" i="1"/>
  <c r="CO100" i="1"/>
  <c r="CI100" i="1"/>
  <c r="CC100" i="1"/>
  <c r="BZ100" i="1"/>
  <c r="BV100" i="1"/>
  <c r="BU100" i="1"/>
  <c r="BK100" i="1"/>
  <c r="K98" i="4" s="1"/>
  <c r="BH100" i="1"/>
  <c r="BD100" i="1"/>
  <c r="AZ100" i="1"/>
  <c r="AV100" i="1"/>
  <c r="AP100" i="1"/>
  <c r="AL100" i="1"/>
  <c r="AJ100" i="1"/>
  <c r="AC100" i="1"/>
  <c r="X100" i="1"/>
  <c r="U100" i="1"/>
  <c r="T100" i="1"/>
  <c r="F100" i="1"/>
  <c r="GE99" i="1"/>
  <c r="GB99" i="1"/>
  <c r="FW99" i="1"/>
  <c r="FV99" i="1"/>
  <c r="FS99" i="1"/>
  <c r="FO99" i="1"/>
  <c r="FJ99" i="1"/>
  <c r="FF99" i="1"/>
  <c r="FC99" i="1"/>
  <c r="EZ99" i="1"/>
  <c r="ET99" i="1"/>
  <c r="EL99" i="1"/>
  <c r="EI99" i="1"/>
  <c r="EC99" i="1"/>
  <c r="DW99" i="1"/>
  <c r="DS99" i="1"/>
  <c r="DP99" i="1"/>
  <c r="DM99" i="1"/>
  <c r="DI99" i="1"/>
  <c r="DD99" i="1"/>
  <c r="CX99" i="1"/>
  <c r="CP99" i="1"/>
  <c r="CO99" i="1"/>
  <c r="CI99" i="1"/>
  <c r="CC99" i="1"/>
  <c r="BZ99" i="1"/>
  <c r="BV99" i="1"/>
  <c r="BU99" i="1"/>
  <c r="BK99" i="1"/>
  <c r="BH99" i="1"/>
  <c r="BD99" i="1"/>
  <c r="AZ99" i="1"/>
  <c r="AV99" i="1"/>
  <c r="AP99" i="1"/>
  <c r="AL99" i="1"/>
  <c r="AJ99" i="1"/>
  <c r="AC99" i="1"/>
  <c r="X99" i="1"/>
  <c r="U99" i="1"/>
  <c r="T99" i="1"/>
  <c r="F99" i="1"/>
  <c r="GE98" i="1"/>
  <c r="GB98" i="1"/>
  <c r="FW98" i="1"/>
  <c r="FV98" i="1"/>
  <c r="FS98" i="1"/>
  <c r="FO98" i="1"/>
  <c r="FJ98" i="1"/>
  <c r="FF98" i="1"/>
  <c r="FC98" i="1"/>
  <c r="EZ98" i="1"/>
  <c r="ET98" i="1"/>
  <c r="EL98" i="1"/>
  <c r="EI98" i="1"/>
  <c r="EC98" i="1"/>
  <c r="DW98" i="1"/>
  <c r="DS98" i="1"/>
  <c r="DP98" i="1"/>
  <c r="DM98" i="1"/>
  <c r="DI98" i="1"/>
  <c r="DD98" i="1"/>
  <c r="CX98" i="1"/>
  <c r="CP98" i="1"/>
  <c r="CO98" i="1"/>
  <c r="CI98" i="1"/>
  <c r="CC98" i="1"/>
  <c r="BZ98" i="1"/>
  <c r="BV98" i="1"/>
  <c r="BU98" i="1"/>
  <c r="BK98" i="1"/>
  <c r="K96" i="4" s="1"/>
  <c r="BH98" i="1"/>
  <c r="BD98" i="1"/>
  <c r="AZ98" i="1"/>
  <c r="AV98" i="1"/>
  <c r="AP98" i="1"/>
  <c r="AL98" i="1"/>
  <c r="AJ98" i="1"/>
  <c r="AC98" i="1"/>
  <c r="X98" i="1"/>
  <c r="U98" i="1"/>
  <c r="T98" i="1"/>
  <c r="F98" i="1"/>
  <c r="GE97" i="1"/>
  <c r="GB97" i="1"/>
  <c r="FW97" i="1"/>
  <c r="FV97" i="1"/>
  <c r="FS97" i="1"/>
  <c r="FO97" i="1"/>
  <c r="FJ97" i="1"/>
  <c r="FF97" i="1"/>
  <c r="FC97" i="1"/>
  <c r="EZ97" i="1"/>
  <c r="ET97" i="1"/>
  <c r="EL97" i="1"/>
  <c r="EI97" i="1"/>
  <c r="EC97" i="1"/>
  <c r="DW97" i="1"/>
  <c r="DS97" i="1"/>
  <c r="DP97" i="1"/>
  <c r="DM97" i="1"/>
  <c r="DI97" i="1"/>
  <c r="DD97" i="1"/>
  <c r="CX97" i="1"/>
  <c r="CP97" i="1"/>
  <c r="CO97" i="1"/>
  <c r="CI97" i="1"/>
  <c r="CC97" i="1"/>
  <c r="BZ97" i="1"/>
  <c r="BV97" i="1"/>
  <c r="BU97" i="1"/>
  <c r="BK97" i="1"/>
  <c r="BH97" i="1"/>
  <c r="BD97" i="1"/>
  <c r="AZ97" i="1"/>
  <c r="AV97" i="1"/>
  <c r="AP97" i="1"/>
  <c r="AL97" i="1"/>
  <c r="AJ97" i="1"/>
  <c r="AC97" i="1"/>
  <c r="X97" i="1"/>
  <c r="U97" i="1"/>
  <c r="T97" i="1"/>
  <c r="F97" i="1"/>
  <c r="GE96" i="1"/>
  <c r="GB96" i="1"/>
  <c r="FW96" i="1"/>
  <c r="FV96" i="1"/>
  <c r="FS96" i="1"/>
  <c r="FO96" i="1"/>
  <c r="FJ96" i="1"/>
  <c r="FF96" i="1"/>
  <c r="FC96" i="1"/>
  <c r="EZ96" i="1"/>
  <c r="ET96" i="1"/>
  <c r="EL96" i="1"/>
  <c r="EI96" i="1"/>
  <c r="EC96" i="1"/>
  <c r="DW96" i="1"/>
  <c r="DS96" i="1"/>
  <c r="DP96" i="1"/>
  <c r="DM96" i="1"/>
  <c r="DI96" i="1"/>
  <c r="DD96" i="1"/>
  <c r="CX96" i="1"/>
  <c r="CP96" i="1"/>
  <c r="CO96" i="1"/>
  <c r="CI96" i="1"/>
  <c r="CC96" i="1"/>
  <c r="BZ96" i="1"/>
  <c r="BV96" i="1"/>
  <c r="BU96" i="1"/>
  <c r="BK96" i="1"/>
  <c r="K94" i="4" s="1"/>
  <c r="BH96" i="1"/>
  <c r="BD96" i="1"/>
  <c r="AZ96" i="1"/>
  <c r="AV96" i="1"/>
  <c r="AP96" i="1"/>
  <c r="AL96" i="1"/>
  <c r="AJ96" i="1"/>
  <c r="AC96" i="1"/>
  <c r="X96" i="1"/>
  <c r="U96" i="1"/>
  <c r="T96" i="1"/>
  <c r="F96" i="1"/>
  <c r="GE95" i="1"/>
  <c r="GB95" i="1"/>
  <c r="FW95" i="1"/>
  <c r="FV95" i="1"/>
  <c r="FS95" i="1"/>
  <c r="FO95" i="1"/>
  <c r="FJ95" i="1"/>
  <c r="FF95" i="1"/>
  <c r="FC95" i="1"/>
  <c r="EZ95" i="1"/>
  <c r="ET95" i="1"/>
  <c r="EL95" i="1"/>
  <c r="EI95" i="1"/>
  <c r="EC95" i="1"/>
  <c r="DW95" i="1"/>
  <c r="DS95" i="1"/>
  <c r="DP95" i="1"/>
  <c r="DM95" i="1"/>
  <c r="DI95" i="1"/>
  <c r="DD95" i="1"/>
  <c r="CX95" i="1"/>
  <c r="CP95" i="1"/>
  <c r="CO95" i="1"/>
  <c r="CI95" i="1"/>
  <c r="CC95" i="1"/>
  <c r="BZ95" i="1"/>
  <c r="BV95" i="1"/>
  <c r="BU95" i="1"/>
  <c r="BK95" i="1"/>
  <c r="K93" i="4" s="1"/>
  <c r="BH95" i="1"/>
  <c r="BD95" i="1"/>
  <c r="AZ95" i="1"/>
  <c r="AV95" i="1"/>
  <c r="AP95" i="1"/>
  <c r="AL95" i="1"/>
  <c r="AJ95" i="1"/>
  <c r="AC95" i="1"/>
  <c r="X95" i="1"/>
  <c r="U95" i="1"/>
  <c r="T95" i="1"/>
  <c r="F95" i="1"/>
  <c r="GE94" i="1"/>
  <c r="GB94" i="1"/>
  <c r="FW94" i="1"/>
  <c r="FV94" i="1"/>
  <c r="FS94" i="1"/>
  <c r="FO94" i="1"/>
  <c r="FJ94" i="1"/>
  <c r="FF94" i="1"/>
  <c r="FC94" i="1"/>
  <c r="EZ94" i="1"/>
  <c r="ET94" i="1"/>
  <c r="EL94" i="1"/>
  <c r="EI94" i="1"/>
  <c r="EC94" i="1"/>
  <c r="DW94" i="1"/>
  <c r="DS94" i="1"/>
  <c r="DP94" i="1"/>
  <c r="DM94" i="1"/>
  <c r="DI94" i="1"/>
  <c r="DD94" i="1"/>
  <c r="CX94" i="1"/>
  <c r="CP94" i="1"/>
  <c r="CO94" i="1"/>
  <c r="CI94" i="1"/>
  <c r="CC94" i="1"/>
  <c r="BZ94" i="1"/>
  <c r="BV94" i="1"/>
  <c r="BU94" i="1"/>
  <c r="BK94" i="1"/>
  <c r="BH94" i="1"/>
  <c r="BD94" i="1"/>
  <c r="AZ94" i="1"/>
  <c r="AV94" i="1"/>
  <c r="AP94" i="1"/>
  <c r="AL94" i="1"/>
  <c r="AJ94" i="1"/>
  <c r="AC94" i="1"/>
  <c r="X94" i="1"/>
  <c r="U94" i="1"/>
  <c r="T94" i="1"/>
  <c r="F94" i="1"/>
  <c r="GE93" i="1"/>
  <c r="GB93" i="1"/>
  <c r="FW93" i="1"/>
  <c r="FV93" i="1"/>
  <c r="FS93" i="1"/>
  <c r="FO93" i="1"/>
  <c r="FJ93" i="1"/>
  <c r="FF93" i="1"/>
  <c r="FC93" i="1"/>
  <c r="EZ93" i="1"/>
  <c r="ET93" i="1"/>
  <c r="EL93" i="1"/>
  <c r="EI93" i="1"/>
  <c r="EC93" i="1"/>
  <c r="DW93" i="1"/>
  <c r="DS93" i="1"/>
  <c r="DP93" i="1"/>
  <c r="DM93" i="1"/>
  <c r="DI93" i="1"/>
  <c r="DD93" i="1"/>
  <c r="CX93" i="1"/>
  <c r="CP93" i="1"/>
  <c r="CO93" i="1"/>
  <c r="CI93" i="1"/>
  <c r="CC93" i="1"/>
  <c r="BZ93" i="1"/>
  <c r="BV93" i="1"/>
  <c r="BU93" i="1"/>
  <c r="BK93" i="1"/>
  <c r="K91" i="4" s="1"/>
  <c r="BH93" i="1"/>
  <c r="BD93" i="1"/>
  <c r="AZ93" i="1"/>
  <c r="AV93" i="1"/>
  <c r="AP93" i="1"/>
  <c r="AL93" i="1"/>
  <c r="AJ93" i="1"/>
  <c r="AC93" i="1"/>
  <c r="X93" i="1"/>
  <c r="U93" i="1"/>
  <c r="T93" i="1"/>
  <c r="F93" i="1"/>
  <c r="GE92" i="1"/>
  <c r="GB92" i="1"/>
  <c r="FW92" i="1"/>
  <c r="FV92" i="1"/>
  <c r="FS92" i="1"/>
  <c r="FO92" i="1"/>
  <c r="FJ92" i="1"/>
  <c r="FF92" i="1"/>
  <c r="FC92" i="1"/>
  <c r="EZ92" i="1"/>
  <c r="ET92" i="1"/>
  <c r="EL92" i="1"/>
  <c r="EI92" i="1"/>
  <c r="EC92" i="1"/>
  <c r="DW92" i="1"/>
  <c r="DS92" i="1"/>
  <c r="DP92" i="1"/>
  <c r="DM92" i="1"/>
  <c r="DI92" i="1"/>
  <c r="DD92" i="1"/>
  <c r="CX92" i="1"/>
  <c r="CP92" i="1"/>
  <c r="CO92" i="1"/>
  <c r="CI92" i="1"/>
  <c r="CC92" i="1"/>
  <c r="BZ92" i="1"/>
  <c r="BV92" i="1"/>
  <c r="BU92" i="1"/>
  <c r="BK92" i="1"/>
  <c r="K90" i="4" s="1"/>
  <c r="BH92" i="1"/>
  <c r="BD92" i="1"/>
  <c r="AZ92" i="1"/>
  <c r="AV92" i="1"/>
  <c r="AP92" i="1"/>
  <c r="AL92" i="1"/>
  <c r="AJ92" i="1"/>
  <c r="AC92" i="1"/>
  <c r="X92" i="1"/>
  <c r="U92" i="1"/>
  <c r="T92" i="1"/>
  <c r="F92" i="1"/>
  <c r="GE91" i="1"/>
  <c r="GB91" i="1"/>
  <c r="FW91" i="1"/>
  <c r="FV91" i="1"/>
  <c r="FS91" i="1"/>
  <c r="FO91" i="1"/>
  <c r="FJ91" i="1"/>
  <c r="FF91" i="1"/>
  <c r="FC91" i="1"/>
  <c r="EZ91" i="1"/>
  <c r="ET91" i="1"/>
  <c r="EL91" i="1"/>
  <c r="EI91" i="1"/>
  <c r="EC91" i="1"/>
  <c r="DW91" i="1"/>
  <c r="DS91" i="1"/>
  <c r="DP91" i="1"/>
  <c r="DM91" i="1"/>
  <c r="DI91" i="1"/>
  <c r="DD91" i="1"/>
  <c r="CX91" i="1"/>
  <c r="CP91" i="1"/>
  <c r="CO91" i="1"/>
  <c r="CI91" i="1"/>
  <c r="CC91" i="1"/>
  <c r="BZ91" i="1"/>
  <c r="BV91" i="1"/>
  <c r="BU91" i="1"/>
  <c r="BK91" i="1"/>
  <c r="BH91" i="1"/>
  <c r="BD91" i="1"/>
  <c r="AZ91" i="1"/>
  <c r="AV91" i="1"/>
  <c r="AP91" i="1"/>
  <c r="AL91" i="1"/>
  <c r="AJ91" i="1"/>
  <c r="AC91" i="1"/>
  <c r="X91" i="1"/>
  <c r="U91" i="1"/>
  <c r="T91" i="1"/>
  <c r="F91" i="1"/>
  <c r="GE90" i="1"/>
  <c r="GB90" i="1"/>
  <c r="FW90" i="1"/>
  <c r="FV90" i="1"/>
  <c r="FS90" i="1"/>
  <c r="FO90" i="1"/>
  <c r="FJ90" i="1"/>
  <c r="FF90" i="1"/>
  <c r="FC90" i="1"/>
  <c r="EZ90" i="1"/>
  <c r="ET90" i="1"/>
  <c r="EL90" i="1"/>
  <c r="EI90" i="1"/>
  <c r="EC90" i="1"/>
  <c r="DW90" i="1"/>
  <c r="DS90" i="1"/>
  <c r="DP90" i="1"/>
  <c r="DM90" i="1"/>
  <c r="DI90" i="1"/>
  <c r="DD90" i="1"/>
  <c r="CX90" i="1"/>
  <c r="CP90" i="1"/>
  <c r="CO90" i="1"/>
  <c r="CI90" i="1"/>
  <c r="CC90" i="1"/>
  <c r="BZ90" i="1"/>
  <c r="BV90" i="1"/>
  <c r="BU90" i="1"/>
  <c r="BK90" i="1"/>
  <c r="K88" i="4" s="1"/>
  <c r="BH90" i="1"/>
  <c r="BD90" i="1"/>
  <c r="AZ90" i="1"/>
  <c r="AV90" i="1"/>
  <c r="AP90" i="1"/>
  <c r="AL90" i="1"/>
  <c r="AJ90" i="1"/>
  <c r="AC90" i="1"/>
  <c r="X90" i="1"/>
  <c r="U90" i="1"/>
  <c r="T90" i="1"/>
  <c r="F90" i="1"/>
  <c r="GE89" i="1"/>
  <c r="GB89" i="1"/>
  <c r="FW89" i="1"/>
  <c r="FV89" i="1"/>
  <c r="FS89" i="1"/>
  <c r="FO89" i="1"/>
  <c r="FJ89" i="1"/>
  <c r="FF89" i="1"/>
  <c r="FC89" i="1"/>
  <c r="EZ89" i="1"/>
  <c r="ET89" i="1"/>
  <c r="EL89" i="1"/>
  <c r="EI89" i="1"/>
  <c r="EC89" i="1"/>
  <c r="DW89" i="1"/>
  <c r="DS89" i="1"/>
  <c r="DP89" i="1"/>
  <c r="DM89" i="1"/>
  <c r="DI89" i="1"/>
  <c r="DD89" i="1"/>
  <c r="CX89" i="1"/>
  <c r="CP89" i="1"/>
  <c r="CO89" i="1"/>
  <c r="CI89" i="1"/>
  <c r="CC89" i="1"/>
  <c r="BZ89" i="1"/>
  <c r="BV89" i="1"/>
  <c r="BU89" i="1"/>
  <c r="BK89" i="1"/>
  <c r="BH89" i="1"/>
  <c r="BD89" i="1"/>
  <c r="AZ89" i="1"/>
  <c r="AV89" i="1"/>
  <c r="AP89" i="1"/>
  <c r="AL89" i="1"/>
  <c r="AJ89" i="1"/>
  <c r="AC89" i="1"/>
  <c r="X89" i="1"/>
  <c r="U89" i="1"/>
  <c r="T89" i="1"/>
  <c r="F89" i="1"/>
  <c r="GE88" i="1"/>
  <c r="GB88" i="1"/>
  <c r="FW88" i="1"/>
  <c r="FV88" i="1"/>
  <c r="FS88" i="1"/>
  <c r="FO88" i="1"/>
  <c r="FJ88" i="1"/>
  <c r="FF88" i="1"/>
  <c r="FC88" i="1"/>
  <c r="EZ88" i="1"/>
  <c r="ET88" i="1"/>
  <c r="EL88" i="1"/>
  <c r="EI88" i="1"/>
  <c r="EC88" i="1"/>
  <c r="DW88" i="1"/>
  <c r="DS88" i="1"/>
  <c r="DP88" i="1"/>
  <c r="DM88" i="1"/>
  <c r="DI88" i="1"/>
  <c r="DD88" i="1"/>
  <c r="CX88" i="1"/>
  <c r="CP88" i="1"/>
  <c r="CO88" i="1"/>
  <c r="CI88" i="1"/>
  <c r="CC88" i="1"/>
  <c r="BZ88" i="1"/>
  <c r="BV88" i="1"/>
  <c r="BU88" i="1"/>
  <c r="BK88" i="1"/>
  <c r="K86" i="4" s="1"/>
  <c r="BH88" i="1"/>
  <c r="BD88" i="1"/>
  <c r="AZ88" i="1"/>
  <c r="AV88" i="1"/>
  <c r="AP88" i="1"/>
  <c r="AL88" i="1"/>
  <c r="AJ88" i="1"/>
  <c r="AC88" i="1"/>
  <c r="X88" i="1"/>
  <c r="U88" i="1"/>
  <c r="T88" i="1"/>
  <c r="F88" i="1"/>
  <c r="GE87" i="1"/>
  <c r="GB87" i="1"/>
  <c r="FW87" i="1"/>
  <c r="FV87" i="1"/>
  <c r="FS87" i="1"/>
  <c r="FO87" i="1"/>
  <c r="FJ87" i="1"/>
  <c r="FF87" i="1"/>
  <c r="FC87" i="1"/>
  <c r="EZ87" i="1"/>
  <c r="ET87" i="1"/>
  <c r="EL87" i="1"/>
  <c r="EI87" i="1"/>
  <c r="EC87" i="1"/>
  <c r="DW87" i="1"/>
  <c r="DS87" i="1"/>
  <c r="DP87" i="1"/>
  <c r="DM87" i="1"/>
  <c r="DI87" i="1"/>
  <c r="DD87" i="1"/>
  <c r="CX87" i="1"/>
  <c r="CP87" i="1"/>
  <c r="CO87" i="1"/>
  <c r="CI87" i="1"/>
  <c r="CC87" i="1"/>
  <c r="BZ87" i="1"/>
  <c r="BV87" i="1"/>
  <c r="BU87" i="1"/>
  <c r="BK87" i="1"/>
  <c r="K85" i="4" s="1"/>
  <c r="BH87" i="1"/>
  <c r="BD87" i="1"/>
  <c r="AZ87" i="1"/>
  <c r="AV87" i="1"/>
  <c r="AP87" i="1"/>
  <c r="AL87" i="1"/>
  <c r="AJ87" i="1"/>
  <c r="AC87" i="1"/>
  <c r="X87" i="1"/>
  <c r="U87" i="1"/>
  <c r="T87" i="1"/>
  <c r="F87" i="1"/>
  <c r="GE86" i="1"/>
  <c r="GB86" i="1"/>
  <c r="FW86" i="1"/>
  <c r="FV86" i="1"/>
  <c r="FS86" i="1"/>
  <c r="FO86" i="1"/>
  <c r="FJ86" i="1"/>
  <c r="FF86" i="1"/>
  <c r="FC86" i="1"/>
  <c r="EZ86" i="1"/>
  <c r="ET86" i="1"/>
  <c r="EL86" i="1"/>
  <c r="EI86" i="1"/>
  <c r="EC86" i="1"/>
  <c r="DW86" i="1"/>
  <c r="DS86" i="1"/>
  <c r="DP86" i="1"/>
  <c r="DM86" i="1"/>
  <c r="DI86" i="1"/>
  <c r="DD86" i="1"/>
  <c r="CX86" i="1"/>
  <c r="CP86" i="1"/>
  <c r="CO86" i="1"/>
  <c r="CI86" i="1"/>
  <c r="CC86" i="1"/>
  <c r="BZ86" i="1"/>
  <c r="BV86" i="1"/>
  <c r="BU86" i="1"/>
  <c r="BK86" i="1"/>
  <c r="K84" i="4" s="1"/>
  <c r="BH86" i="1"/>
  <c r="BD86" i="1"/>
  <c r="AZ86" i="1"/>
  <c r="AV86" i="1"/>
  <c r="AP86" i="1"/>
  <c r="AL86" i="1"/>
  <c r="AJ86" i="1"/>
  <c r="AC86" i="1"/>
  <c r="X86" i="1"/>
  <c r="U86" i="1"/>
  <c r="T86" i="1"/>
  <c r="F86" i="1"/>
  <c r="GE85" i="1"/>
  <c r="GB85" i="1"/>
  <c r="FW85" i="1"/>
  <c r="FV85" i="1"/>
  <c r="FS85" i="1"/>
  <c r="FO85" i="1"/>
  <c r="FJ85" i="1"/>
  <c r="FF85" i="1"/>
  <c r="FC85" i="1"/>
  <c r="EZ85" i="1"/>
  <c r="ET85" i="1"/>
  <c r="EL85" i="1"/>
  <c r="EI85" i="1"/>
  <c r="EC85" i="1"/>
  <c r="DW85" i="1"/>
  <c r="DS85" i="1"/>
  <c r="DP85" i="1"/>
  <c r="DM85" i="1"/>
  <c r="DI85" i="1"/>
  <c r="DD85" i="1"/>
  <c r="CX85" i="1"/>
  <c r="CP85" i="1"/>
  <c r="CO85" i="1"/>
  <c r="CI85" i="1"/>
  <c r="CC85" i="1"/>
  <c r="BZ85" i="1"/>
  <c r="BV85" i="1"/>
  <c r="BU85" i="1"/>
  <c r="BK85" i="1"/>
  <c r="K83" i="4" s="1"/>
  <c r="BH85" i="1"/>
  <c r="BD85" i="1"/>
  <c r="AZ85" i="1"/>
  <c r="AV85" i="1"/>
  <c r="AP85" i="1"/>
  <c r="AL85" i="1"/>
  <c r="AJ85" i="1"/>
  <c r="AC85" i="1"/>
  <c r="X85" i="1"/>
  <c r="U85" i="1"/>
  <c r="T85" i="1"/>
  <c r="F85" i="1"/>
  <c r="GE84" i="1"/>
  <c r="GB84" i="1"/>
  <c r="FW84" i="1"/>
  <c r="FV84" i="1"/>
  <c r="FS84" i="1"/>
  <c r="FO84" i="1"/>
  <c r="FJ84" i="1"/>
  <c r="FF84" i="1"/>
  <c r="FC84" i="1"/>
  <c r="EZ84" i="1"/>
  <c r="ET84" i="1"/>
  <c r="EL84" i="1"/>
  <c r="EI84" i="1"/>
  <c r="EC84" i="1"/>
  <c r="DW84" i="1"/>
  <c r="DS84" i="1"/>
  <c r="DP84" i="1"/>
  <c r="DM84" i="1"/>
  <c r="DI84" i="1"/>
  <c r="DD84" i="1"/>
  <c r="CX84" i="1"/>
  <c r="CP84" i="1"/>
  <c r="CO84" i="1"/>
  <c r="CI84" i="1"/>
  <c r="CC84" i="1"/>
  <c r="BZ84" i="1"/>
  <c r="BV84" i="1"/>
  <c r="BU84" i="1"/>
  <c r="BK84" i="1"/>
  <c r="BH84" i="1"/>
  <c r="BD84" i="1"/>
  <c r="AZ84" i="1"/>
  <c r="AV84" i="1"/>
  <c r="AP84" i="1"/>
  <c r="AL84" i="1"/>
  <c r="AJ84" i="1"/>
  <c r="AC84" i="1"/>
  <c r="X84" i="1"/>
  <c r="U84" i="1"/>
  <c r="T84" i="1"/>
  <c r="F84" i="1"/>
  <c r="GE83" i="1"/>
  <c r="GB83" i="1"/>
  <c r="FW83" i="1"/>
  <c r="FV83" i="1"/>
  <c r="FS83" i="1"/>
  <c r="FO83" i="1"/>
  <c r="FJ83" i="1"/>
  <c r="FF83" i="1"/>
  <c r="FC83" i="1"/>
  <c r="EZ83" i="1"/>
  <c r="ET83" i="1"/>
  <c r="EL83" i="1"/>
  <c r="EI83" i="1"/>
  <c r="EC83" i="1"/>
  <c r="DW83" i="1"/>
  <c r="DS83" i="1"/>
  <c r="DP83" i="1"/>
  <c r="DM83" i="1"/>
  <c r="DI83" i="1"/>
  <c r="DD83" i="1"/>
  <c r="CX83" i="1"/>
  <c r="CP83" i="1"/>
  <c r="CO83" i="1"/>
  <c r="CI83" i="1"/>
  <c r="CC83" i="1"/>
  <c r="BZ83" i="1"/>
  <c r="BV83" i="1"/>
  <c r="BU83" i="1"/>
  <c r="BK83" i="1"/>
  <c r="BH83" i="1"/>
  <c r="BD83" i="1"/>
  <c r="AZ83" i="1"/>
  <c r="AV83" i="1"/>
  <c r="AP83" i="1"/>
  <c r="AL83" i="1"/>
  <c r="AJ83" i="1"/>
  <c r="AC83" i="1"/>
  <c r="X83" i="1"/>
  <c r="U83" i="1"/>
  <c r="T83" i="1"/>
  <c r="F83" i="1"/>
  <c r="GE82" i="1"/>
  <c r="GB82" i="1"/>
  <c r="FW82" i="1"/>
  <c r="FV82" i="1"/>
  <c r="FS82" i="1"/>
  <c r="FO82" i="1"/>
  <c r="FJ82" i="1"/>
  <c r="FF82" i="1"/>
  <c r="FC82" i="1"/>
  <c r="EZ82" i="1"/>
  <c r="ET82" i="1"/>
  <c r="EL82" i="1"/>
  <c r="EI82" i="1"/>
  <c r="EC82" i="1"/>
  <c r="DW82" i="1"/>
  <c r="DS82" i="1"/>
  <c r="DP82" i="1"/>
  <c r="DM82" i="1"/>
  <c r="DI82" i="1"/>
  <c r="DD82" i="1"/>
  <c r="CX82" i="1"/>
  <c r="CP82" i="1"/>
  <c r="CO82" i="1"/>
  <c r="CI82" i="1"/>
  <c r="CC82" i="1"/>
  <c r="BZ82" i="1"/>
  <c r="BV82" i="1"/>
  <c r="BU82" i="1"/>
  <c r="BK82" i="1"/>
  <c r="BH82" i="1"/>
  <c r="BD82" i="1"/>
  <c r="AZ82" i="1"/>
  <c r="AV82" i="1"/>
  <c r="AP82" i="1"/>
  <c r="AL82" i="1"/>
  <c r="AJ82" i="1"/>
  <c r="AC82" i="1"/>
  <c r="X82" i="1"/>
  <c r="U82" i="1"/>
  <c r="T82" i="1"/>
  <c r="F82" i="1"/>
  <c r="GE81" i="1"/>
  <c r="GB81" i="1"/>
  <c r="FW81" i="1"/>
  <c r="FV81" i="1"/>
  <c r="FS81" i="1"/>
  <c r="FO81" i="1"/>
  <c r="FJ81" i="1"/>
  <c r="FF81" i="1"/>
  <c r="FC81" i="1"/>
  <c r="EZ81" i="1"/>
  <c r="ET81" i="1"/>
  <c r="EL81" i="1"/>
  <c r="EI81" i="1"/>
  <c r="EC81" i="1"/>
  <c r="DW81" i="1"/>
  <c r="DS81" i="1"/>
  <c r="DP81" i="1"/>
  <c r="DM81" i="1"/>
  <c r="DI81" i="1"/>
  <c r="DD81" i="1"/>
  <c r="CX81" i="1"/>
  <c r="CP81" i="1"/>
  <c r="CO81" i="1"/>
  <c r="CI81" i="1"/>
  <c r="CC81" i="1"/>
  <c r="BZ81" i="1"/>
  <c r="BV81" i="1"/>
  <c r="BU81" i="1"/>
  <c r="BK81" i="1"/>
  <c r="BH81" i="1"/>
  <c r="BD81" i="1"/>
  <c r="AZ81" i="1"/>
  <c r="AV81" i="1"/>
  <c r="AP81" i="1"/>
  <c r="AL81" i="1"/>
  <c r="AJ81" i="1"/>
  <c r="AC81" i="1"/>
  <c r="X81" i="1"/>
  <c r="U81" i="1"/>
  <c r="T81" i="1"/>
  <c r="F81" i="1"/>
  <c r="GE80" i="1"/>
  <c r="GB80" i="1"/>
  <c r="FW80" i="1"/>
  <c r="FV80" i="1"/>
  <c r="FS80" i="1"/>
  <c r="FO80" i="1"/>
  <c r="FJ80" i="1"/>
  <c r="FF80" i="1"/>
  <c r="FC80" i="1"/>
  <c r="EZ80" i="1"/>
  <c r="ET80" i="1"/>
  <c r="EL80" i="1"/>
  <c r="EI80" i="1"/>
  <c r="EC80" i="1"/>
  <c r="DW80" i="1"/>
  <c r="DS80" i="1"/>
  <c r="DP80" i="1"/>
  <c r="DM80" i="1"/>
  <c r="DI80" i="1"/>
  <c r="DD80" i="1"/>
  <c r="CX80" i="1"/>
  <c r="CP80" i="1"/>
  <c r="CO80" i="1"/>
  <c r="CI80" i="1"/>
  <c r="CC80" i="1"/>
  <c r="BZ80" i="1"/>
  <c r="BV80" i="1"/>
  <c r="BU80" i="1"/>
  <c r="BK80" i="1"/>
  <c r="BH80" i="1"/>
  <c r="BD80" i="1"/>
  <c r="AZ80" i="1"/>
  <c r="AV80" i="1"/>
  <c r="AP80" i="1"/>
  <c r="AL80" i="1"/>
  <c r="AJ80" i="1"/>
  <c r="AC80" i="1"/>
  <c r="X80" i="1"/>
  <c r="U80" i="1"/>
  <c r="T80" i="1"/>
  <c r="F80" i="1"/>
  <c r="GE79" i="1"/>
  <c r="GB79" i="1"/>
  <c r="FW79" i="1"/>
  <c r="FV79" i="1"/>
  <c r="FS79" i="1"/>
  <c r="FO79" i="1"/>
  <c r="FJ79" i="1"/>
  <c r="FF79" i="1"/>
  <c r="FC79" i="1"/>
  <c r="EZ79" i="1"/>
  <c r="ET79" i="1"/>
  <c r="EL79" i="1"/>
  <c r="EI79" i="1"/>
  <c r="EC79" i="1"/>
  <c r="DW79" i="1"/>
  <c r="DS79" i="1"/>
  <c r="DP79" i="1"/>
  <c r="DM79" i="1"/>
  <c r="DI79" i="1"/>
  <c r="DD79" i="1"/>
  <c r="CX79" i="1"/>
  <c r="CP79" i="1"/>
  <c r="CO79" i="1"/>
  <c r="CI79" i="1"/>
  <c r="CC79" i="1"/>
  <c r="BZ79" i="1"/>
  <c r="BV79" i="1"/>
  <c r="BU79" i="1"/>
  <c r="BK79" i="1"/>
  <c r="K77" i="4" s="1"/>
  <c r="BH79" i="1"/>
  <c r="BD79" i="1"/>
  <c r="AZ79" i="1"/>
  <c r="AV79" i="1"/>
  <c r="AP79" i="1"/>
  <c r="AL79" i="1"/>
  <c r="AJ79" i="1"/>
  <c r="AC79" i="1"/>
  <c r="X79" i="1"/>
  <c r="U79" i="1"/>
  <c r="T79" i="1"/>
  <c r="F79" i="1"/>
  <c r="GE78" i="1"/>
  <c r="GB78" i="1"/>
  <c r="FW78" i="1"/>
  <c r="FV78" i="1"/>
  <c r="FS78" i="1"/>
  <c r="FO78" i="1"/>
  <c r="FJ78" i="1"/>
  <c r="FF78" i="1"/>
  <c r="FC78" i="1"/>
  <c r="EZ78" i="1"/>
  <c r="ET78" i="1"/>
  <c r="EL78" i="1"/>
  <c r="EI78" i="1"/>
  <c r="EC78" i="1"/>
  <c r="DW78" i="1"/>
  <c r="DS78" i="1"/>
  <c r="DP78" i="1"/>
  <c r="DM78" i="1"/>
  <c r="DI78" i="1"/>
  <c r="DD78" i="1"/>
  <c r="CX78" i="1"/>
  <c r="CP78" i="1"/>
  <c r="CO78" i="1"/>
  <c r="CI78" i="1"/>
  <c r="CC78" i="1"/>
  <c r="BZ78" i="1"/>
  <c r="BV78" i="1"/>
  <c r="BU78" i="1"/>
  <c r="BK78" i="1"/>
  <c r="BH78" i="1"/>
  <c r="BD78" i="1"/>
  <c r="AZ78" i="1"/>
  <c r="AV78" i="1"/>
  <c r="AP78" i="1"/>
  <c r="AL78" i="1"/>
  <c r="AJ78" i="1"/>
  <c r="AC78" i="1"/>
  <c r="X78" i="1"/>
  <c r="U78" i="1"/>
  <c r="T78" i="1"/>
  <c r="F78" i="1"/>
  <c r="GE77" i="1"/>
  <c r="GB77" i="1"/>
  <c r="FW77" i="1"/>
  <c r="FV77" i="1"/>
  <c r="FS77" i="1"/>
  <c r="FO77" i="1"/>
  <c r="FJ77" i="1"/>
  <c r="FF77" i="1"/>
  <c r="FC77" i="1"/>
  <c r="EZ77" i="1"/>
  <c r="ET77" i="1"/>
  <c r="EL77" i="1"/>
  <c r="EI77" i="1"/>
  <c r="EC77" i="1"/>
  <c r="DW77" i="1"/>
  <c r="DS77" i="1"/>
  <c r="DP77" i="1"/>
  <c r="DM77" i="1"/>
  <c r="DI77" i="1"/>
  <c r="DD77" i="1"/>
  <c r="CX77" i="1"/>
  <c r="CP77" i="1"/>
  <c r="CO77" i="1"/>
  <c r="CI77" i="1"/>
  <c r="CC77" i="1"/>
  <c r="BZ77" i="1"/>
  <c r="BV77" i="1"/>
  <c r="BU77" i="1"/>
  <c r="BK77" i="1"/>
  <c r="K75" i="4" s="1"/>
  <c r="BH77" i="1"/>
  <c r="BD77" i="1"/>
  <c r="AZ77" i="1"/>
  <c r="AV77" i="1"/>
  <c r="AP77" i="1"/>
  <c r="AL77" i="1"/>
  <c r="AJ77" i="1"/>
  <c r="AC77" i="1"/>
  <c r="X77" i="1"/>
  <c r="U77" i="1"/>
  <c r="T77" i="1"/>
  <c r="F77" i="1"/>
  <c r="GE76" i="1"/>
  <c r="GB76" i="1"/>
  <c r="FW76" i="1"/>
  <c r="FV76" i="1"/>
  <c r="FS76" i="1"/>
  <c r="FO76" i="1"/>
  <c r="FJ76" i="1"/>
  <c r="FF76" i="1"/>
  <c r="FC76" i="1"/>
  <c r="EZ76" i="1"/>
  <c r="ET76" i="1"/>
  <c r="EL76" i="1"/>
  <c r="EI76" i="1"/>
  <c r="EC76" i="1"/>
  <c r="DW76" i="1"/>
  <c r="DS76" i="1"/>
  <c r="DP76" i="1"/>
  <c r="DM76" i="1"/>
  <c r="DI76" i="1"/>
  <c r="DD76" i="1"/>
  <c r="CX76" i="1"/>
  <c r="CP76" i="1"/>
  <c r="CO76" i="1"/>
  <c r="CI76" i="1"/>
  <c r="CC76" i="1"/>
  <c r="BZ76" i="1"/>
  <c r="BV76" i="1"/>
  <c r="BU76" i="1"/>
  <c r="BK76" i="1"/>
  <c r="BH76" i="1"/>
  <c r="BD76" i="1"/>
  <c r="AZ76" i="1"/>
  <c r="AV76" i="1"/>
  <c r="AP76" i="1"/>
  <c r="AL76" i="1"/>
  <c r="AJ76" i="1"/>
  <c r="AC76" i="1"/>
  <c r="X76" i="1"/>
  <c r="U76" i="1"/>
  <c r="T76" i="1"/>
  <c r="F76" i="1"/>
  <c r="GE75" i="1"/>
  <c r="GB75" i="1"/>
  <c r="FW75" i="1"/>
  <c r="FV75" i="1"/>
  <c r="FS75" i="1"/>
  <c r="FO75" i="1"/>
  <c r="FJ75" i="1"/>
  <c r="FF75" i="1"/>
  <c r="FC75" i="1"/>
  <c r="EZ75" i="1"/>
  <c r="ET75" i="1"/>
  <c r="EL75" i="1"/>
  <c r="EI75" i="1"/>
  <c r="EC75" i="1"/>
  <c r="DW75" i="1"/>
  <c r="DS75" i="1"/>
  <c r="DP75" i="1"/>
  <c r="DM75" i="1"/>
  <c r="DI75" i="1"/>
  <c r="DD75" i="1"/>
  <c r="CX75" i="1"/>
  <c r="CP75" i="1"/>
  <c r="CO75" i="1"/>
  <c r="CI75" i="1"/>
  <c r="CC75" i="1"/>
  <c r="BZ75" i="1"/>
  <c r="BV75" i="1"/>
  <c r="BU75" i="1"/>
  <c r="BK75" i="1"/>
  <c r="BH75" i="1"/>
  <c r="BD75" i="1"/>
  <c r="AZ75" i="1"/>
  <c r="AV75" i="1"/>
  <c r="AP75" i="1"/>
  <c r="AL75" i="1"/>
  <c r="AJ75" i="1"/>
  <c r="AC75" i="1"/>
  <c r="X75" i="1"/>
  <c r="U75" i="1"/>
  <c r="T75" i="1"/>
  <c r="F75" i="1"/>
  <c r="GE74" i="1"/>
  <c r="GB74" i="1"/>
  <c r="FW74" i="1"/>
  <c r="FV74" i="1"/>
  <c r="FS74" i="1"/>
  <c r="FO74" i="1"/>
  <c r="FJ74" i="1"/>
  <c r="FF74" i="1"/>
  <c r="FC74" i="1"/>
  <c r="EZ74" i="1"/>
  <c r="ET74" i="1"/>
  <c r="EL74" i="1"/>
  <c r="EI74" i="1"/>
  <c r="EC74" i="1"/>
  <c r="DW74" i="1"/>
  <c r="DS74" i="1"/>
  <c r="DP74" i="1"/>
  <c r="DM74" i="1"/>
  <c r="DI74" i="1"/>
  <c r="DD74" i="1"/>
  <c r="CX74" i="1"/>
  <c r="CP74" i="1"/>
  <c r="CO74" i="1"/>
  <c r="CI74" i="1"/>
  <c r="CC74" i="1"/>
  <c r="BZ74" i="1"/>
  <c r="BV74" i="1"/>
  <c r="BU74" i="1"/>
  <c r="BK74" i="1"/>
  <c r="K72" i="4" s="1"/>
  <c r="BH74" i="1"/>
  <c r="BD74" i="1"/>
  <c r="AZ74" i="1"/>
  <c r="AV74" i="1"/>
  <c r="AP74" i="1"/>
  <c r="AL74" i="1"/>
  <c r="AJ74" i="1"/>
  <c r="AC74" i="1"/>
  <c r="X74" i="1"/>
  <c r="U74" i="1"/>
  <c r="T74" i="1"/>
  <c r="F74" i="1"/>
  <c r="GE73" i="1"/>
  <c r="GB73" i="1"/>
  <c r="FW73" i="1"/>
  <c r="FV73" i="1"/>
  <c r="FS73" i="1"/>
  <c r="FO73" i="1"/>
  <c r="FJ73" i="1"/>
  <c r="FF73" i="1"/>
  <c r="FC73" i="1"/>
  <c r="EZ73" i="1"/>
  <c r="ET73" i="1"/>
  <c r="EL73" i="1"/>
  <c r="EI73" i="1"/>
  <c r="EC73" i="1"/>
  <c r="DW73" i="1"/>
  <c r="DS73" i="1"/>
  <c r="DP73" i="1"/>
  <c r="DM73" i="1"/>
  <c r="DI73" i="1"/>
  <c r="DD73" i="1"/>
  <c r="CX73" i="1"/>
  <c r="CP73" i="1"/>
  <c r="CO73" i="1"/>
  <c r="CI73" i="1"/>
  <c r="CC73" i="1"/>
  <c r="BZ73" i="1"/>
  <c r="BV73" i="1"/>
  <c r="BU73" i="1"/>
  <c r="BK73" i="1"/>
  <c r="BH73" i="1"/>
  <c r="BD73" i="1"/>
  <c r="AZ73" i="1"/>
  <c r="AV73" i="1"/>
  <c r="AP73" i="1"/>
  <c r="AL73" i="1"/>
  <c r="AJ73" i="1"/>
  <c r="AC73" i="1"/>
  <c r="X73" i="1"/>
  <c r="U73" i="1"/>
  <c r="T73" i="1"/>
  <c r="F73" i="1"/>
  <c r="GE72" i="1"/>
  <c r="GB72" i="1"/>
  <c r="FW72" i="1"/>
  <c r="FV72" i="1"/>
  <c r="FS72" i="1"/>
  <c r="FO72" i="1"/>
  <c r="FJ72" i="1"/>
  <c r="FF72" i="1"/>
  <c r="FC72" i="1"/>
  <c r="EZ72" i="1"/>
  <c r="ET72" i="1"/>
  <c r="EL72" i="1"/>
  <c r="EI72" i="1"/>
  <c r="EC72" i="1"/>
  <c r="DW72" i="1"/>
  <c r="DS72" i="1"/>
  <c r="DP72" i="1"/>
  <c r="DM72" i="1"/>
  <c r="DI72" i="1"/>
  <c r="DD72" i="1"/>
  <c r="CX72" i="1"/>
  <c r="CP72" i="1"/>
  <c r="CO72" i="1"/>
  <c r="CI72" i="1"/>
  <c r="CC72" i="1"/>
  <c r="BZ72" i="1"/>
  <c r="BV72" i="1"/>
  <c r="BU72" i="1"/>
  <c r="BK72" i="1"/>
  <c r="K70" i="4" s="1"/>
  <c r="BH72" i="1"/>
  <c r="BD72" i="1"/>
  <c r="AZ72" i="1"/>
  <c r="AV72" i="1"/>
  <c r="AP72" i="1"/>
  <c r="AL72" i="1"/>
  <c r="AJ72" i="1"/>
  <c r="AC72" i="1"/>
  <c r="X72" i="1"/>
  <c r="U72" i="1"/>
  <c r="T72" i="1"/>
  <c r="F72" i="1"/>
  <c r="GE71" i="1"/>
  <c r="GB71" i="1"/>
  <c r="FW71" i="1"/>
  <c r="FV71" i="1"/>
  <c r="FS71" i="1"/>
  <c r="FO71" i="1"/>
  <c r="FJ71" i="1"/>
  <c r="FF71" i="1"/>
  <c r="FC71" i="1"/>
  <c r="EZ71" i="1"/>
  <c r="ET71" i="1"/>
  <c r="EL71" i="1"/>
  <c r="EI71" i="1"/>
  <c r="EC71" i="1"/>
  <c r="DW71" i="1"/>
  <c r="DS71" i="1"/>
  <c r="DP71" i="1"/>
  <c r="DM71" i="1"/>
  <c r="DI71" i="1"/>
  <c r="DD71" i="1"/>
  <c r="CX71" i="1"/>
  <c r="CP71" i="1"/>
  <c r="CO71" i="1"/>
  <c r="CI71" i="1"/>
  <c r="CC71" i="1"/>
  <c r="BZ71" i="1"/>
  <c r="BV71" i="1"/>
  <c r="BU71" i="1"/>
  <c r="BK71" i="1"/>
  <c r="K69" i="4" s="1"/>
  <c r="BH71" i="1"/>
  <c r="BD71" i="1"/>
  <c r="AZ71" i="1"/>
  <c r="AV71" i="1"/>
  <c r="AP71" i="1"/>
  <c r="AL71" i="1"/>
  <c r="AJ71" i="1"/>
  <c r="AC71" i="1"/>
  <c r="X71" i="1"/>
  <c r="U71" i="1"/>
  <c r="T71" i="1"/>
  <c r="F71" i="1"/>
  <c r="GE70" i="1"/>
  <c r="GB70" i="1"/>
  <c r="FW70" i="1"/>
  <c r="FV70" i="1"/>
  <c r="FS70" i="1"/>
  <c r="FO70" i="1"/>
  <c r="FJ70" i="1"/>
  <c r="FF70" i="1"/>
  <c r="FC70" i="1"/>
  <c r="EZ70" i="1"/>
  <c r="ET70" i="1"/>
  <c r="EL70" i="1"/>
  <c r="EI70" i="1"/>
  <c r="EC70" i="1"/>
  <c r="DW70" i="1"/>
  <c r="DS70" i="1"/>
  <c r="DP70" i="1"/>
  <c r="DM70" i="1"/>
  <c r="DI70" i="1"/>
  <c r="DD70" i="1"/>
  <c r="CX70" i="1"/>
  <c r="CP70" i="1"/>
  <c r="CO70" i="1"/>
  <c r="CI70" i="1"/>
  <c r="CC70" i="1"/>
  <c r="BZ70" i="1"/>
  <c r="BV70" i="1"/>
  <c r="BU70" i="1"/>
  <c r="BK70" i="1"/>
  <c r="K68" i="4" s="1"/>
  <c r="BH70" i="1"/>
  <c r="BD70" i="1"/>
  <c r="AZ70" i="1"/>
  <c r="AV70" i="1"/>
  <c r="AP70" i="1"/>
  <c r="AL70" i="1"/>
  <c r="AJ70" i="1"/>
  <c r="AC70" i="1"/>
  <c r="X70" i="1"/>
  <c r="U70" i="1"/>
  <c r="T70" i="1"/>
  <c r="F70" i="1"/>
  <c r="GE69" i="1"/>
  <c r="GB69" i="1"/>
  <c r="FW69" i="1"/>
  <c r="FV69" i="1"/>
  <c r="FS69" i="1"/>
  <c r="FO69" i="1"/>
  <c r="FJ69" i="1"/>
  <c r="FF69" i="1"/>
  <c r="FC69" i="1"/>
  <c r="EZ69" i="1"/>
  <c r="ET69" i="1"/>
  <c r="EL69" i="1"/>
  <c r="EI69" i="1"/>
  <c r="EC69" i="1"/>
  <c r="DW69" i="1"/>
  <c r="DS69" i="1"/>
  <c r="DP69" i="1"/>
  <c r="DM69" i="1"/>
  <c r="DI69" i="1"/>
  <c r="DD69" i="1"/>
  <c r="CX69" i="1"/>
  <c r="CP69" i="1"/>
  <c r="CO69" i="1"/>
  <c r="CI69" i="1"/>
  <c r="CC69" i="1"/>
  <c r="BZ69" i="1"/>
  <c r="BV69" i="1"/>
  <c r="BU69" i="1"/>
  <c r="BK69" i="1"/>
  <c r="K67" i="4" s="1"/>
  <c r="BH69" i="1"/>
  <c r="BD69" i="1"/>
  <c r="AZ69" i="1"/>
  <c r="AV69" i="1"/>
  <c r="AP69" i="1"/>
  <c r="AL69" i="1"/>
  <c r="AJ69" i="1"/>
  <c r="AC69" i="1"/>
  <c r="X69" i="1"/>
  <c r="U69" i="1"/>
  <c r="T69" i="1"/>
  <c r="F69" i="1"/>
  <c r="GE68" i="1"/>
  <c r="GB68" i="1"/>
  <c r="FW68" i="1"/>
  <c r="FV68" i="1"/>
  <c r="FS68" i="1"/>
  <c r="FO68" i="1"/>
  <c r="FJ68" i="1"/>
  <c r="FF68" i="1"/>
  <c r="FC68" i="1"/>
  <c r="EZ68" i="1"/>
  <c r="ET68" i="1"/>
  <c r="EL68" i="1"/>
  <c r="EI68" i="1"/>
  <c r="EC68" i="1"/>
  <c r="DW68" i="1"/>
  <c r="DS68" i="1"/>
  <c r="DP68" i="1"/>
  <c r="DM68" i="1"/>
  <c r="DI68" i="1"/>
  <c r="DD68" i="1"/>
  <c r="CX68" i="1"/>
  <c r="CP68" i="1"/>
  <c r="CO68" i="1"/>
  <c r="CI68" i="1"/>
  <c r="CC68" i="1"/>
  <c r="BZ68" i="1"/>
  <c r="BV68" i="1"/>
  <c r="BU68" i="1"/>
  <c r="BK68" i="1"/>
  <c r="K66" i="4" s="1"/>
  <c r="BH68" i="1"/>
  <c r="BD68" i="1"/>
  <c r="AZ68" i="1"/>
  <c r="AV68" i="1"/>
  <c r="AP68" i="1"/>
  <c r="AL68" i="1"/>
  <c r="AJ68" i="1"/>
  <c r="AC68" i="1"/>
  <c r="X68" i="1"/>
  <c r="U68" i="1"/>
  <c r="T68" i="1"/>
  <c r="F68" i="1"/>
  <c r="GE67" i="1"/>
  <c r="GB67" i="1"/>
  <c r="FW67" i="1"/>
  <c r="FV67" i="1"/>
  <c r="FS67" i="1"/>
  <c r="FO67" i="1"/>
  <c r="FJ67" i="1"/>
  <c r="FF67" i="1"/>
  <c r="FC67" i="1"/>
  <c r="EZ67" i="1"/>
  <c r="ET67" i="1"/>
  <c r="EL67" i="1"/>
  <c r="EI67" i="1"/>
  <c r="EC67" i="1"/>
  <c r="DW67" i="1"/>
  <c r="DS67" i="1"/>
  <c r="DP67" i="1"/>
  <c r="DM67" i="1"/>
  <c r="DI67" i="1"/>
  <c r="DD67" i="1"/>
  <c r="CX67" i="1"/>
  <c r="CP67" i="1"/>
  <c r="CO67" i="1"/>
  <c r="CI67" i="1"/>
  <c r="CC67" i="1"/>
  <c r="BZ67" i="1"/>
  <c r="BV67" i="1"/>
  <c r="BU67" i="1"/>
  <c r="BK67" i="1"/>
  <c r="BH67" i="1"/>
  <c r="BD67" i="1"/>
  <c r="AZ67" i="1"/>
  <c r="AV67" i="1"/>
  <c r="AP67" i="1"/>
  <c r="AL67" i="1"/>
  <c r="AJ67" i="1"/>
  <c r="AC67" i="1"/>
  <c r="X67" i="1"/>
  <c r="U67" i="1"/>
  <c r="T67" i="1"/>
  <c r="F67" i="1"/>
  <c r="GE66" i="1"/>
  <c r="GB66" i="1"/>
  <c r="FW66" i="1"/>
  <c r="FV66" i="1"/>
  <c r="FS66" i="1"/>
  <c r="FO66" i="1"/>
  <c r="FJ66" i="1"/>
  <c r="FF66" i="1"/>
  <c r="FC66" i="1"/>
  <c r="EZ66" i="1"/>
  <c r="ET66" i="1"/>
  <c r="EL66" i="1"/>
  <c r="EI66" i="1"/>
  <c r="EC66" i="1"/>
  <c r="DW66" i="1"/>
  <c r="DS66" i="1"/>
  <c r="DP66" i="1"/>
  <c r="DM66" i="1"/>
  <c r="DI66" i="1"/>
  <c r="DD66" i="1"/>
  <c r="CX66" i="1"/>
  <c r="CP66" i="1"/>
  <c r="CO66" i="1"/>
  <c r="CI66" i="1"/>
  <c r="CC66" i="1"/>
  <c r="BZ66" i="1"/>
  <c r="BV66" i="1"/>
  <c r="BU66" i="1"/>
  <c r="BK66" i="1"/>
  <c r="K64" i="4" s="1"/>
  <c r="BH66" i="1"/>
  <c r="BD66" i="1"/>
  <c r="AZ66" i="1"/>
  <c r="AV66" i="1"/>
  <c r="AP66" i="1"/>
  <c r="AL66" i="1"/>
  <c r="AJ66" i="1"/>
  <c r="AC66" i="1"/>
  <c r="X66" i="1"/>
  <c r="U66" i="1"/>
  <c r="T66" i="1"/>
  <c r="F66" i="1"/>
  <c r="GE65" i="1"/>
  <c r="GB65" i="1"/>
  <c r="FW65" i="1"/>
  <c r="FV65" i="1"/>
  <c r="FS65" i="1"/>
  <c r="FO65" i="1"/>
  <c r="FJ65" i="1"/>
  <c r="FF65" i="1"/>
  <c r="FC65" i="1"/>
  <c r="EZ65" i="1"/>
  <c r="ET65" i="1"/>
  <c r="EL65" i="1"/>
  <c r="EI65" i="1"/>
  <c r="EC65" i="1"/>
  <c r="DW65" i="1"/>
  <c r="DS65" i="1"/>
  <c r="DP65" i="1"/>
  <c r="DM65" i="1"/>
  <c r="DI65" i="1"/>
  <c r="DD65" i="1"/>
  <c r="CX65" i="1"/>
  <c r="CP65" i="1"/>
  <c r="CO65" i="1"/>
  <c r="CI65" i="1"/>
  <c r="CC65" i="1"/>
  <c r="BZ65" i="1"/>
  <c r="BV65" i="1"/>
  <c r="BU65" i="1"/>
  <c r="BK65" i="1"/>
  <c r="BH65" i="1"/>
  <c r="BD65" i="1"/>
  <c r="AZ65" i="1"/>
  <c r="AV65" i="1"/>
  <c r="AP65" i="1"/>
  <c r="AL65" i="1"/>
  <c r="AJ65" i="1"/>
  <c r="AC65" i="1"/>
  <c r="X65" i="1"/>
  <c r="U65" i="1"/>
  <c r="T65" i="1"/>
  <c r="F65" i="1"/>
  <c r="GE64" i="1"/>
  <c r="GB64" i="1"/>
  <c r="FW64" i="1"/>
  <c r="FV64" i="1"/>
  <c r="FS64" i="1"/>
  <c r="FO64" i="1"/>
  <c r="FJ64" i="1"/>
  <c r="FF64" i="1"/>
  <c r="FC64" i="1"/>
  <c r="EZ64" i="1"/>
  <c r="ET64" i="1"/>
  <c r="EL64" i="1"/>
  <c r="EI64" i="1"/>
  <c r="EC64" i="1"/>
  <c r="DW64" i="1"/>
  <c r="DS64" i="1"/>
  <c r="DP64" i="1"/>
  <c r="DM64" i="1"/>
  <c r="DI64" i="1"/>
  <c r="DD64" i="1"/>
  <c r="CX64" i="1"/>
  <c r="CP64" i="1"/>
  <c r="CO64" i="1"/>
  <c r="CI64" i="1"/>
  <c r="CC64" i="1"/>
  <c r="BZ64" i="1"/>
  <c r="BV64" i="1"/>
  <c r="BU64" i="1"/>
  <c r="BK64" i="1"/>
  <c r="K62" i="4" s="1"/>
  <c r="BH64" i="1"/>
  <c r="BD64" i="1"/>
  <c r="AZ64" i="1"/>
  <c r="AV64" i="1"/>
  <c r="AP64" i="1"/>
  <c r="AL64" i="1"/>
  <c r="AJ64" i="1"/>
  <c r="AC64" i="1"/>
  <c r="X64" i="1"/>
  <c r="U64" i="1"/>
  <c r="T64" i="1"/>
  <c r="F64" i="1"/>
  <c r="GE63" i="1"/>
  <c r="GB63" i="1"/>
  <c r="FW63" i="1"/>
  <c r="FV63" i="1"/>
  <c r="FS63" i="1"/>
  <c r="FO63" i="1"/>
  <c r="FJ63" i="1"/>
  <c r="FF63" i="1"/>
  <c r="FC63" i="1"/>
  <c r="EZ63" i="1"/>
  <c r="ET63" i="1"/>
  <c r="EL63" i="1"/>
  <c r="EI63" i="1"/>
  <c r="EC63" i="1"/>
  <c r="DW63" i="1"/>
  <c r="DS63" i="1"/>
  <c r="DP63" i="1"/>
  <c r="DM63" i="1"/>
  <c r="DI63" i="1"/>
  <c r="DD63" i="1"/>
  <c r="CX63" i="1"/>
  <c r="CP63" i="1"/>
  <c r="CO63" i="1"/>
  <c r="CI63" i="1"/>
  <c r="CC63" i="1"/>
  <c r="BZ63" i="1"/>
  <c r="BV63" i="1"/>
  <c r="BU63" i="1"/>
  <c r="BK63" i="1"/>
  <c r="K61" i="4" s="1"/>
  <c r="BH63" i="1"/>
  <c r="BD63" i="1"/>
  <c r="AZ63" i="1"/>
  <c r="AV63" i="1"/>
  <c r="AP63" i="1"/>
  <c r="AL63" i="1"/>
  <c r="AJ63" i="1"/>
  <c r="AC63" i="1"/>
  <c r="X63" i="1"/>
  <c r="U63" i="1"/>
  <c r="T63" i="1"/>
  <c r="F63" i="1"/>
  <c r="GE62" i="1"/>
  <c r="GB62" i="1"/>
  <c r="FW62" i="1"/>
  <c r="FV62" i="1"/>
  <c r="FS62" i="1"/>
  <c r="FO62" i="1"/>
  <c r="FJ62" i="1"/>
  <c r="FF62" i="1"/>
  <c r="FC62" i="1"/>
  <c r="EZ62" i="1"/>
  <c r="ET62" i="1"/>
  <c r="EL62" i="1"/>
  <c r="EI62" i="1"/>
  <c r="EC62" i="1"/>
  <c r="DW62" i="1"/>
  <c r="DS62" i="1"/>
  <c r="DP62" i="1"/>
  <c r="DM62" i="1"/>
  <c r="DI62" i="1"/>
  <c r="DD62" i="1"/>
  <c r="CX62" i="1"/>
  <c r="CP62" i="1"/>
  <c r="CO62" i="1"/>
  <c r="CI62" i="1"/>
  <c r="CC62" i="1"/>
  <c r="BZ62" i="1"/>
  <c r="BV62" i="1"/>
  <c r="BU62" i="1"/>
  <c r="BK62" i="1"/>
  <c r="K60" i="4" s="1"/>
  <c r="BH62" i="1"/>
  <c r="BD62" i="1"/>
  <c r="AZ62" i="1"/>
  <c r="AV62" i="1"/>
  <c r="AP62" i="1"/>
  <c r="AL62" i="1"/>
  <c r="AJ62" i="1"/>
  <c r="AC62" i="1"/>
  <c r="X62" i="1"/>
  <c r="U62" i="1"/>
  <c r="T62" i="1"/>
  <c r="F62" i="1"/>
  <c r="GE61" i="1"/>
  <c r="GB61" i="1"/>
  <c r="FW61" i="1"/>
  <c r="FV61" i="1"/>
  <c r="FS61" i="1"/>
  <c r="FO61" i="1"/>
  <c r="FJ61" i="1"/>
  <c r="FF61" i="1"/>
  <c r="FC61" i="1"/>
  <c r="EZ61" i="1"/>
  <c r="ET61" i="1"/>
  <c r="EL61" i="1"/>
  <c r="EI61" i="1"/>
  <c r="EC61" i="1"/>
  <c r="DW61" i="1"/>
  <c r="DS61" i="1"/>
  <c r="DP61" i="1"/>
  <c r="DM61" i="1"/>
  <c r="DI61" i="1"/>
  <c r="DD61" i="1"/>
  <c r="CX61" i="1"/>
  <c r="CP61" i="1"/>
  <c r="CO61" i="1"/>
  <c r="CI61" i="1"/>
  <c r="CC61" i="1"/>
  <c r="BZ61" i="1"/>
  <c r="BV61" i="1"/>
  <c r="BU61" i="1"/>
  <c r="BK61" i="1"/>
  <c r="K59" i="4" s="1"/>
  <c r="BH61" i="1"/>
  <c r="BD61" i="1"/>
  <c r="AZ61" i="1"/>
  <c r="AV61" i="1"/>
  <c r="AP61" i="1"/>
  <c r="AL61" i="1"/>
  <c r="AJ61" i="1"/>
  <c r="AC61" i="1"/>
  <c r="X61" i="1"/>
  <c r="U61" i="1"/>
  <c r="T61" i="1"/>
  <c r="F61" i="1"/>
  <c r="GE60" i="1"/>
  <c r="GB60" i="1"/>
  <c r="FW60" i="1"/>
  <c r="FV60" i="1"/>
  <c r="FS60" i="1"/>
  <c r="FO60" i="1"/>
  <c r="FJ60" i="1"/>
  <c r="FF60" i="1"/>
  <c r="FC60" i="1"/>
  <c r="EZ60" i="1"/>
  <c r="ET60" i="1"/>
  <c r="EL60" i="1"/>
  <c r="EI60" i="1"/>
  <c r="EC60" i="1"/>
  <c r="DW60" i="1"/>
  <c r="DS60" i="1"/>
  <c r="DP60" i="1"/>
  <c r="DM60" i="1"/>
  <c r="DI60" i="1"/>
  <c r="DD60" i="1"/>
  <c r="CX60" i="1"/>
  <c r="CP60" i="1"/>
  <c r="CO60" i="1"/>
  <c r="CI60" i="1"/>
  <c r="CC60" i="1"/>
  <c r="BZ60" i="1"/>
  <c r="BV60" i="1"/>
  <c r="BU60" i="1"/>
  <c r="BK60" i="1"/>
  <c r="K58" i="4" s="1"/>
  <c r="BH60" i="1"/>
  <c r="BD60" i="1"/>
  <c r="AZ60" i="1"/>
  <c r="AV60" i="1"/>
  <c r="AP60" i="1"/>
  <c r="AL60" i="1"/>
  <c r="AJ60" i="1"/>
  <c r="AC60" i="1"/>
  <c r="X60" i="1"/>
  <c r="U60" i="1"/>
  <c r="T60" i="1"/>
  <c r="F60" i="1"/>
  <c r="GE59" i="1"/>
  <c r="GB59" i="1"/>
  <c r="FW59" i="1"/>
  <c r="FV59" i="1"/>
  <c r="FS59" i="1"/>
  <c r="FO59" i="1"/>
  <c r="FJ59" i="1"/>
  <c r="FF59" i="1"/>
  <c r="FC59" i="1"/>
  <c r="EZ59" i="1"/>
  <c r="ET59" i="1"/>
  <c r="EL59" i="1"/>
  <c r="EI59" i="1"/>
  <c r="EC59" i="1"/>
  <c r="DW59" i="1"/>
  <c r="DS59" i="1"/>
  <c r="DP59" i="1"/>
  <c r="DM59" i="1"/>
  <c r="DI59" i="1"/>
  <c r="DD59" i="1"/>
  <c r="CX59" i="1"/>
  <c r="CP59" i="1"/>
  <c r="CO59" i="1"/>
  <c r="CI59" i="1"/>
  <c r="CC59" i="1"/>
  <c r="BZ59" i="1"/>
  <c r="BV59" i="1"/>
  <c r="BU59" i="1"/>
  <c r="BK59" i="1"/>
  <c r="BH59" i="1"/>
  <c r="BD59" i="1"/>
  <c r="AZ59" i="1"/>
  <c r="AV59" i="1"/>
  <c r="AP59" i="1"/>
  <c r="AL59" i="1"/>
  <c r="AJ59" i="1"/>
  <c r="AC59" i="1"/>
  <c r="X59" i="1"/>
  <c r="U59" i="1"/>
  <c r="T59" i="1"/>
  <c r="F59" i="1"/>
  <c r="GE23" i="1"/>
  <c r="GB23" i="1"/>
  <c r="FW23" i="1"/>
  <c r="FV23" i="1"/>
  <c r="FS23" i="1"/>
  <c r="FO23" i="1"/>
  <c r="FJ23" i="1"/>
  <c r="FF23" i="1"/>
  <c r="FC23" i="1"/>
  <c r="EZ23" i="1"/>
  <c r="ET23" i="1"/>
  <c r="EL23" i="1"/>
  <c r="EI23" i="1"/>
  <c r="EC23" i="1"/>
  <c r="DW23" i="1"/>
  <c r="DS23" i="1"/>
  <c r="DP23" i="1"/>
  <c r="DM23" i="1"/>
  <c r="DI23" i="1"/>
  <c r="DD23" i="1"/>
  <c r="CX23" i="1"/>
  <c r="CP23" i="1"/>
  <c r="CO23" i="1"/>
  <c r="CI23" i="1"/>
  <c r="CC23" i="1"/>
  <c r="BZ23" i="1"/>
  <c r="BV23" i="1"/>
  <c r="BU23" i="1"/>
  <c r="BK23" i="1"/>
  <c r="BH23" i="1"/>
  <c r="BD23" i="1"/>
  <c r="AZ23" i="1"/>
  <c r="AV23" i="1"/>
  <c r="AP23" i="1"/>
  <c r="AL23" i="1"/>
  <c r="AJ23" i="1"/>
  <c r="AC23" i="1"/>
  <c r="X23" i="1"/>
  <c r="U23" i="1"/>
  <c r="T23" i="1"/>
  <c r="GE25" i="1"/>
  <c r="GB25" i="1"/>
  <c r="FW25" i="1"/>
  <c r="FV25" i="1"/>
  <c r="FS25" i="1"/>
  <c r="FO25" i="1"/>
  <c r="FJ25" i="1"/>
  <c r="FF25" i="1"/>
  <c r="FC25" i="1"/>
  <c r="EZ25" i="1"/>
  <c r="ET25" i="1"/>
  <c r="EL25" i="1"/>
  <c r="EI25" i="1"/>
  <c r="EC25" i="1"/>
  <c r="DW25" i="1"/>
  <c r="DS25" i="1"/>
  <c r="DP25" i="1"/>
  <c r="DM25" i="1"/>
  <c r="DI25" i="1"/>
  <c r="DD25" i="1"/>
  <c r="CX25" i="1"/>
  <c r="CP25" i="1"/>
  <c r="CO25" i="1"/>
  <c r="CI25" i="1"/>
  <c r="CC25" i="1"/>
  <c r="BZ25" i="1"/>
  <c r="BV25" i="1"/>
  <c r="BU25" i="1"/>
  <c r="BK25" i="1"/>
  <c r="BH25" i="1"/>
  <c r="BD25" i="1"/>
  <c r="AZ25" i="1"/>
  <c r="AV25" i="1"/>
  <c r="AP25" i="1"/>
  <c r="AL25" i="1"/>
  <c r="AC25" i="1"/>
  <c r="X25" i="1"/>
  <c r="U25" i="1"/>
  <c r="T25" i="1"/>
  <c r="GE24" i="1"/>
  <c r="GB24" i="1"/>
  <c r="FW24" i="1"/>
  <c r="FV24" i="1"/>
  <c r="FS24" i="1"/>
  <c r="FO24" i="1"/>
  <c r="FJ24" i="1"/>
  <c r="FF24" i="1"/>
  <c r="FC24" i="1"/>
  <c r="EZ24" i="1"/>
  <c r="ET24" i="1"/>
  <c r="EL24" i="1"/>
  <c r="EI24" i="1"/>
  <c r="EC24" i="1"/>
  <c r="DW24" i="1"/>
  <c r="DS24" i="1"/>
  <c r="DP24" i="1"/>
  <c r="DM24" i="1"/>
  <c r="DI24" i="1"/>
  <c r="DD24" i="1"/>
  <c r="CX24" i="1"/>
  <c r="CP24" i="1"/>
  <c r="CO24" i="1"/>
  <c r="CI24" i="1"/>
  <c r="CC24" i="1"/>
  <c r="BZ24" i="1"/>
  <c r="BV24" i="1"/>
  <c r="BU24" i="1"/>
  <c r="BK24" i="1"/>
  <c r="BH24" i="1"/>
  <c r="BD24" i="1"/>
  <c r="AZ24" i="1"/>
  <c r="AV24" i="1"/>
  <c r="AP24" i="1"/>
  <c r="AL24" i="1"/>
  <c r="AC24" i="1"/>
  <c r="X24" i="1"/>
  <c r="U24" i="1"/>
  <c r="T24" i="1"/>
  <c r="GE56" i="1"/>
  <c r="GB56" i="1"/>
  <c r="FW56" i="1"/>
  <c r="FV56" i="1"/>
  <c r="FS56" i="1"/>
  <c r="FO56" i="1"/>
  <c r="FJ56" i="1"/>
  <c r="FF56" i="1"/>
  <c r="FC56" i="1"/>
  <c r="EZ56" i="1"/>
  <c r="ET56" i="1"/>
  <c r="EL56" i="1"/>
  <c r="EI56" i="1"/>
  <c r="EC56" i="1"/>
  <c r="DW56" i="1"/>
  <c r="DS56" i="1"/>
  <c r="DP56" i="1"/>
  <c r="DM56" i="1"/>
  <c r="DI56" i="1"/>
  <c r="DD56" i="1"/>
  <c r="CX56" i="1"/>
  <c r="CP56" i="1"/>
  <c r="CO56" i="1"/>
  <c r="CI56" i="1"/>
  <c r="CC56" i="1"/>
  <c r="BZ56" i="1"/>
  <c r="BV56" i="1"/>
  <c r="BU56" i="1"/>
  <c r="BK56" i="1"/>
  <c r="BH56" i="1"/>
  <c r="BD56" i="1"/>
  <c r="AZ56" i="1"/>
  <c r="AV56" i="1"/>
  <c r="AP56" i="1"/>
  <c r="AL56" i="1"/>
  <c r="AJ56" i="1"/>
  <c r="AC56" i="1"/>
  <c r="X56" i="1"/>
  <c r="U56" i="1"/>
  <c r="T56" i="1"/>
  <c r="GE55" i="1"/>
  <c r="GB55" i="1"/>
  <c r="FW55" i="1"/>
  <c r="FV55" i="1"/>
  <c r="FS55" i="1"/>
  <c r="FO55" i="1"/>
  <c r="FJ55" i="1"/>
  <c r="FF55" i="1"/>
  <c r="EZ55" i="1"/>
  <c r="ET55" i="1"/>
  <c r="EL55" i="1"/>
  <c r="EI55" i="1"/>
  <c r="EC55" i="1"/>
  <c r="DW55" i="1"/>
  <c r="DS55" i="1"/>
  <c r="DP55" i="1"/>
  <c r="DM55" i="1"/>
  <c r="DI55" i="1"/>
  <c r="DD55" i="1"/>
  <c r="CX55" i="1"/>
  <c r="CP55" i="1"/>
  <c r="CO55" i="1"/>
  <c r="CI55" i="1"/>
  <c r="CC55" i="1"/>
  <c r="BZ55" i="1"/>
  <c r="BV55" i="1"/>
  <c r="BU55" i="1"/>
  <c r="BK55" i="1"/>
  <c r="BH55" i="1"/>
  <c r="BD55" i="1"/>
  <c r="AZ55" i="1"/>
  <c r="AV55" i="1"/>
  <c r="AP55" i="1"/>
  <c r="AL55" i="1"/>
  <c r="AC55" i="1"/>
  <c r="X55" i="1"/>
  <c r="U55" i="1"/>
  <c r="T55" i="1"/>
  <c r="GE18" i="1"/>
  <c r="GB18" i="1"/>
  <c r="GA18" i="1"/>
  <c r="FW18" i="1"/>
  <c r="FV18" i="1"/>
  <c r="FS18" i="1"/>
  <c r="FO18" i="1"/>
  <c r="FJ18" i="1"/>
  <c r="FF18" i="1"/>
  <c r="FC18" i="1"/>
  <c r="EZ18" i="1"/>
  <c r="ET18" i="1"/>
  <c r="EL18" i="1"/>
  <c r="EI18" i="1"/>
  <c r="EH18" i="1"/>
  <c r="EC18" i="1"/>
  <c r="EB18" i="1"/>
  <c r="DW18" i="1"/>
  <c r="DS18" i="1"/>
  <c r="DQ18" i="1"/>
  <c r="DP18" i="1"/>
  <c r="DM18" i="1"/>
  <c r="DI18" i="1"/>
  <c r="DD18" i="1"/>
  <c r="DA18" i="1"/>
  <c r="CX18" i="1"/>
  <c r="CU18" i="1"/>
  <c r="CP18" i="1"/>
  <c r="CO18" i="1"/>
  <c r="CI18" i="1"/>
  <c r="CC18" i="1"/>
  <c r="BZ18" i="1"/>
  <c r="BW18" i="1"/>
  <c r="BU18" i="1" s="1"/>
  <c r="BV18" i="1"/>
  <c r="BK18" i="1"/>
  <c r="BH18" i="1"/>
  <c r="BD18" i="1"/>
  <c r="AZ18" i="1"/>
  <c r="AV18" i="1"/>
  <c r="AS18" i="1"/>
  <c r="AL18" i="1" s="1"/>
  <c r="AP18" i="1"/>
  <c r="AJ18" i="1"/>
  <c r="AD18" i="1"/>
  <c r="AC18" i="1"/>
  <c r="X18" i="1"/>
  <c r="U18" i="1"/>
  <c r="T18" i="1"/>
  <c r="GE19" i="1"/>
  <c r="GB19" i="1"/>
  <c r="GA19" i="1"/>
  <c r="FV19" i="1" s="1"/>
  <c r="FW19" i="1"/>
  <c r="FS19" i="1"/>
  <c r="FP19" i="1"/>
  <c r="FO19" i="1" s="1"/>
  <c r="FJ19" i="1"/>
  <c r="FF19" i="1"/>
  <c r="FC19" i="1"/>
  <c r="EZ19" i="1"/>
  <c r="ET19" i="1"/>
  <c r="EL19" i="1"/>
  <c r="EI19" i="1"/>
  <c r="EH19" i="1"/>
  <c r="EC19" i="1"/>
  <c r="EB19" i="1"/>
  <c r="DW19" i="1"/>
  <c r="DS19" i="1"/>
  <c r="DQ19" i="1"/>
  <c r="DP19" i="1" s="1"/>
  <c r="DM19" i="1"/>
  <c r="DI19" i="1"/>
  <c r="DD19" i="1"/>
  <c r="DA19" i="1"/>
  <c r="CX19" i="1" s="1"/>
  <c r="CU19" i="1"/>
  <c r="CO19" i="1" s="1"/>
  <c r="CP19" i="1"/>
  <c r="CI19" i="1"/>
  <c r="CC19" i="1"/>
  <c r="BZ19" i="1"/>
  <c r="BW19" i="1"/>
  <c r="BU19" i="1" s="1"/>
  <c r="BV19" i="1"/>
  <c r="BK19" i="1"/>
  <c r="BH19" i="1"/>
  <c r="BD19" i="1"/>
  <c r="AZ19" i="1"/>
  <c r="AV19" i="1"/>
  <c r="AS19" i="1"/>
  <c r="AL19" i="1" s="1"/>
  <c r="AD19" i="1"/>
  <c r="AJ19" i="1" s="1"/>
  <c r="AC19" i="1"/>
  <c r="X19" i="1"/>
  <c r="U19" i="1"/>
  <c r="T19" i="1"/>
  <c r="GE37" i="1"/>
  <c r="GC37" i="1"/>
  <c r="I35" i="4" s="1"/>
  <c r="GB37" i="1"/>
  <c r="FW37" i="1"/>
  <c r="FV37" i="1"/>
  <c r="FS37" i="1"/>
  <c r="FO37" i="1"/>
  <c r="FJ37" i="1"/>
  <c r="FF37" i="1"/>
  <c r="FC37" i="1"/>
  <c r="EZ37" i="1"/>
  <c r="EU37" i="1"/>
  <c r="ET37" i="1"/>
  <c r="ES37" i="1"/>
  <c r="EM37" i="1"/>
  <c r="EL37" i="1" s="1"/>
  <c r="EI37" i="1"/>
  <c r="EH37" i="1"/>
  <c r="EC37" i="1" s="1"/>
  <c r="EB37" i="1"/>
  <c r="DW37" i="1"/>
  <c r="DS37" i="1"/>
  <c r="DR37" i="1"/>
  <c r="DP37" i="1" s="1"/>
  <c r="DM37" i="1"/>
  <c r="DI37" i="1"/>
  <c r="DD37" i="1"/>
  <c r="DA37" i="1"/>
  <c r="CX37" i="1"/>
  <c r="CV37" i="1"/>
  <c r="CU37" i="1"/>
  <c r="CO37" i="1" s="1"/>
  <c r="CR37" i="1"/>
  <c r="CP37" i="1"/>
  <c r="CI37" i="1"/>
  <c r="CC37" i="1"/>
  <c r="BZ37" i="1"/>
  <c r="BW37" i="1"/>
  <c r="BU37" i="1" s="1"/>
  <c r="BV37" i="1"/>
  <c r="BK37" i="1"/>
  <c r="BH37" i="1"/>
  <c r="BD37" i="1"/>
  <c r="AZ37" i="1"/>
  <c r="AV37" i="1"/>
  <c r="AS37" i="1"/>
  <c r="AP37" i="1" s="1"/>
  <c r="AM37" i="1"/>
  <c r="AJ37" i="1"/>
  <c r="AE37" i="1"/>
  <c r="AC37" i="1" s="1"/>
  <c r="X37" i="1"/>
  <c r="V37" i="1"/>
  <c r="T37" i="1" s="1"/>
  <c r="U37" i="1"/>
  <c r="GE36" i="1"/>
  <c r="GB36" i="1"/>
  <c r="FW36" i="1"/>
  <c r="FV36" i="1"/>
  <c r="FS36" i="1"/>
  <c r="FO36" i="1"/>
  <c r="FJ36" i="1"/>
  <c r="FF36" i="1"/>
  <c r="FC36" i="1"/>
  <c r="EZ36" i="1"/>
  <c r="EU36" i="1"/>
  <c r="ET36" i="1" s="1"/>
  <c r="ES36" i="1"/>
  <c r="EM36" i="1"/>
  <c r="EI36" i="1"/>
  <c r="EH36" i="1"/>
  <c r="EC36" i="1" s="1"/>
  <c r="EB36" i="1"/>
  <c r="DW36" i="1" s="1"/>
  <c r="DS36" i="1"/>
  <c r="DR36" i="1"/>
  <c r="DP36" i="1" s="1"/>
  <c r="DM36" i="1"/>
  <c r="DL36" i="1"/>
  <c r="DI36" i="1"/>
  <c r="DD36" i="1"/>
  <c r="DA36" i="1"/>
  <c r="CX36" i="1"/>
  <c r="CV36" i="1"/>
  <c r="CU36" i="1"/>
  <c r="CR36" i="1"/>
  <c r="CP36" i="1"/>
  <c r="CO36" i="1"/>
  <c r="CK36" i="1"/>
  <c r="CI36" i="1" s="1"/>
  <c r="CC36" i="1"/>
  <c r="BZ36" i="1"/>
  <c r="BW36" i="1"/>
  <c r="BV36" i="1" s="1"/>
  <c r="BK36" i="1"/>
  <c r="BH36" i="1"/>
  <c r="BD36" i="1"/>
  <c r="AZ36" i="1"/>
  <c r="AV36" i="1"/>
  <c r="AS36" i="1"/>
  <c r="AP36" i="1" s="1"/>
  <c r="AM36" i="1"/>
  <c r="AL36" i="1" s="1"/>
  <c r="AJ36" i="1"/>
  <c r="AD36" i="1"/>
  <c r="AC36" i="1"/>
  <c r="X36" i="1"/>
  <c r="U36" i="1"/>
  <c r="T36" i="1"/>
  <c r="GE35" i="1"/>
  <c r="GB35" i="1"/>
  <c r="FW35" i="1"/>
  <c r="FV35" i="1"/>
  <c r="FS35" i="1"/>
  <c r="FO35" i="1"/>
  <c r="FJ35" i="1"/>
  <c r="FF35" i="1"/>
  <c r="FC35" i="1"/>
  <c r="EZ35" i="1"/>
  <c r="EU35" i="1"/>
  <c r="ET35" i="1" s="1"/>
  <c r="ES35" i="1"/>
  <c r="EM35" i="1"/>
  <c r="EL35" i="1" s="1"/>
  <c r="EI35" i="1"/>
  <c r="EH35" i="1"/>
  <c r="EC35" i="1" s="1"/>
  <c r="EB35" i="1"/>
  <c r="DW35" i="1" s="1"/>
  <c r="DS35" i="1"/>
  <c r="DR35" i="1"/>
  <c r="DP35" i="1" s="1"/>
  <c r="DM35" i="1"/>
  <c r="DI35" i="1"/>
  <c r="DD35" i="1"/>
  <c r="DA35" i="1"/>
  <c r="CX35" i="1" s="1"/>
  <c r="CV35" i="1"/>
  <c r="CU35" i="1"/>
  <c r="CO35" i="1" s="1"/>
  <c r="CP35" i="1"/>
  <c r="CI35" i="1"/>
  <c r="CC35" i="1"/>
  <c r="BZ35" i="1"/>
  <c r="BW35" i="1"/>
  <c r="BK35" i="1"/>
  <c r="BH35" i="1"/>
  <c r="BF35" i="1"/>
  <c r="BD35" i="1" s="1"/>
  <c r="AZ35" i="1"/>
  <c r="AV35" i="1"/>
  <c r="AP35" i="1"/>
  <c r="AO35" i="1"/>
  <c r="AL35" i="1"/>
  <c r="AJ35" i="1"/>
  <c r="AC35" i="1"/>
  <c r="X35" i="1"/>
  <c r="U35" i="1"/>
  <c r="T35" i="1"/>
  <c r="GE10" i="1"/>
  <c r="GB10" i="1"/>
  <c r="FW10" i="1"/>
  <c r="FV10" i="1"/>
  <c r="FS10" i="1"/>
  <c r="FO10" i="1"/>
  <c r="FJ10" i="1"/>
  <c r="FF10" i="1"/>
  <c r="FC10" i="1"/>
  <c r="EZ10" i="1"/>
  <c r="ET10" i="1"/>
  <c r="EL10" i="1"/>
  <c r="EI10" i="1"/>
  <c r="EC10" i="1"/>
  <c r="DW10" i="1"/>
  <c r="DS10" i="1"/>
  <c r="DP10" i="1"/>
  <c r="DM10" i="1"/>
  <c r="DI10" i="1"/>
  <c r="DD10" i="1"/>
  <c r="CX10" i="1"/>
  <c r="CP10" i="1"/>
  <c r="CO10" i="1"/>
  <c r="CI10" i="1"/>
  <c r="CC10" i="1"/>
  <c r="BZ10" i="1"/>
  <c r="BV10" i="1"/>
  <c r="BU10" i="1"/>
  <c r="BK10" i="1"/>
  <c r="BH10" i="1"/>
  <c r="BD10" i="1"/>
  <c r="AZ10" i="1"/>
  <c r="AY10" i="1"/>
  <c r="AV10" i="1" s="1"/>
  <c r="AP10" i="1"/>
  <c r="AL10" i="1"/>
  <c r="AK10" i="1"/>
  <c r="AC10" i="1" s="1"/>
  <c r="AJ10" i="1"/>
  <c r="X10" i="1"/>
  <c r="U10" i="1"/>
  <c r="T10" i="1"/>
  <c r="GE34" i="1"/>
  <c r="GB34" i="1"/>
  <c r="FW34" i="1"/>
  <c r="FV34" i="1"/>
  <c r="FS34" i="1"/>
  <c r="FO34" i="1"/>
  <c r="FJ34" i="1"/>
  <c r="FF34" i="1"/>
  <c r="FD34" i="1"/>
  <c r="FC34" i="1" s="1"/>
  <c r="EZ34" i="1"/>
  <c r="ET34" i="1"/>
  <c r="EL34" i="1"/>
  <c r="EI34" i="1"/>
  <c r="EC34" i="1"/>
  <c r="DW34" i="1"/>
  <c r="DS34" i="1"/>
  <c r="DP34" i="1"/>
  <c r="DO34" i="1"/>
  <c r="DM34" i="1"/>
  <c r="DL34" i="1"/>
  <c r="DI34" i="1" s="1"/>
  <c r="DD34" i="1"/>
  <c r="CX34" i="1"/>
  <c r="CP34" i="1"/>
  <c r="CO34" i="1"/>
  <c r="CI34" i="1"/>
  <c r="CC34" i="1"/>
  <c r="BZ34" i="1"/>
  <c r="BW34" i="1"/>
  <c r="BU34" i="1" s="1"/>
  <c r="BV34" i="1"/>
  <c r="BP34" i="1"/>
  <c r="BK34" i="1" s="1"/>
  <c r="BH34" i="1"/>
  <c r="BG34" i="1"/>
  <c r="BF34" i="1"/>
  <c r="AZ34" i="1"/>
  <c r="AY34" i="1"/>
  <c r="AW34" i="1"/>
  <c r="AV34" i="1" s="1"/>
  <c r="AP34" i="1"/>
  <c r="AL34" i="1"/>
  <c r="AJ34" i="1"/>
  <c r="AC34" i="1"/>
  <c r="X34" i="1"/>
  <c r="U34" i="1"/>
  <c r="T34" i="1"/>
  <c r="GE32" i="1"/>
  <c r="GB32" i="1"/>
  <c r="FW32" i="1"/>
  <c r="FV32" i="1"/>
  <c r="FS32" i="1"/>
  <c r="FO32" i="1"/>
  <c r="FJ32" i="1"/>
  <c r="FF32" i="1"/>
  <c r="FD32" i="1"/>
  <c r="FC32" i="1" s="1"/>
  <c r="EZ32" i="1"/>
  <c r="EY32" i="1"/>
  <c r="EW32" i="1"/>
  <c r="EL32" i="1"/>
  <c r="EI32" i="1"/>
  <c r="EH32" i="1"/>
  <c r="EC32" i="1" s="1"/>
  <c r="EF32" i="1"/>
  <c r="DW32" i="1"/>
  <c r="DV32" i="1"/>
  <c r="DS32" i="1" s="1"/>
  <c r="DP32" i="1"/>
  <c r="DM32" i="1"/>
  <c r="DI32" i="1"/>
  <c r="DG32" i="1"/>
  <c r="DD32" i="1"/>
  <c r="CX32" i="1"/>
  <c r="CU32" i="1"/>
  <c r="CO32" i="1" s="1"/>
  <c r="CP32" i="1"/>
  <c r="CI32" i="1"/>
  <c r="CC32" i="1"/>
  <c r="BZ32" i="1"/>
  <c r="BW32" i="1"/>
  <c r="BU32" i="1" s="1"/>
  <c r="BK32" i="1"/>
  <c r="BH32" i="1"/>
  <c r="BG32" i="1"/>
  <c r="BD32" i="1" s="1"/>
  <c r="AZ32" i="1"/>
  <c r="AV32" i="1"/>
  <c r="AP32" i="1"/>
  <c r="AL32" i="1"/>
  <c r="AF32" i="1"/>
  <c r="AD32" i="1"/>
  <c r="AC32" i="1" s="1"/>
  <c r="X32" i="1"/>
  <c r="U32" i="1"/>
  <c r="T32" i="1"/>
  <c r="GE33" i="1"/>
  <c r="GB33" i="1"/>
  <c r="FW33" i="1"/>
  <c r="FV33" i="1"/>
  <c r="FS33" i="1"/>
  <c r="FO33" i="1"/>
  <c r="FJ33" i="1"/>
  <c r="FF33" i="1"/>
  <c r="FC33" i="1"/>
  <c r="EZ33" i="1"/>
  <c r="EW33" i="1"/>
  <c r="ET33" i="1"/>
  <c r="EL33" i="1"/>
  <c r="EI33" i="1"/>
  <c r="EH33" i="1"/>
  <c r="EC33" i="1"/>
  <c r="DW33" i="1"/>
  <c r="DV33" i="1"/>
  <c r="DS33" i="1" s="1"/>
  <c r="DP33" i="1"/>
  <c r="DM33" i="1"/>
  <c r="DI33" i="1"/>
  <c r="DG33" i="1"/>
  <c r="DD33" i="1" s="1"/>
  <c r="DA33" i="1"/>
  <c r="CX33" i="1"/>
  <c r="CU33" i="1"/>
  <c r="CO33" i="1" s="1"/>
  <c r="CP33" i="1"/>
  <c r="CI33" i="1"/>
  <c r="CC33" i="1"/>
  <c r="BZ33" i="1"/>
  <c r="BW33" i="1"/>
  <c r="BV33" i="1"/>
  <c r="BU33" i="1"/>
  <c r="BK33" i="1"/>
  <c r="BH33" i="1"/>
  <c r="BG33" i="1"/>
  <c r="BD33" i="1"/>
  <c r="BB33" i="1"/>
  <c r="AZ33" i="1" s="1"/>
  <c r="AV33" i="1"/>
  <c r="AP33" i="1"/>
  <c r="AL33" i="1"/>
  <c r="AF33" i="1"/>
  <c r="AC33" i="1" s="1"/>
  <c r="AD33" i="1"/>
  <c r="AJ33" i="1" s="1"/>
  <c r="X33" i="1"/>
  <c r="U33" i="1"/>
  <c r="T33" i="1"/>
  <c r="GE17" i="1"/>
  <c r="GB17" i="1"/>
  <c r="FW17" i="1"/>
  <c r="FV17" i="1"/>
  <c r="FS17" i="1"/>
  <c r="FR17" i="1"/>
  <c r="FQ17" i="1"/>
  <c r="FO17" i="1" s="1"/>
  <c r="FP17" i="1"/>
  <c r="FJ17" i="1"/>
  <c r="FI17" i="1"/>
  <c r="FF17" i="1" s="1"/>
  <c r="FD17" i="1"/>
  <c r="FC17" i="1" s="1"/>
  <c r="EZ17" i="1"/>
  <c r="ET17" i="1"/>
  <c r="EM17" i="1"/>
  <c r="EL17" i="1" s="1"/>
  <c r="EI17" i="1"/>
  <c r="EH17" i="1"/>
  <c r="EC17" i="1" s="1"/>
  <c r="DW17" i="1"/>
  <c r="DS17" i="1"/>
  <c r="DP17" i="1"/>
  <c r="DM17" i="1"/>
  <c r="DI17" i="1"/>
  <c r="DD17" i="1"/>
  <c r="CX17" i="1"/>
  <c r="CU17" i="1"/>
  <c r="CO17" i="1" s="1"/>
  <c r="CP17" i="1"/>
  <c r="CI17" i="1"/>
  <c r="CC17" i="1"/>
  <c r="BZ17" i="1"/>
  <c r="BW17" i="1"/>
  <c r="BU17" i="1" s="1"/>
  <c r="BV17" i="1"/>
  <c r="BK17" i="1"/>
  <c r="BH17" i="1"/>
  <c r="BD17" i="1"/>
  <c r="AZ17" i="1"/>
  <c r="AV17" i="1"/>
  <c r="AT17" i="1"/>
  <c r="AL17" i="1" s="1"/>
  <c r="AP17" i="1"/>
  <c r="AJ17" i="1"/>
  <c r="AC17" i="1"/>
  <c r="X17" i="1"/>
  <c r="U17" i="1"/>
  <c r="T17" i="1"/>
  <c r="GE26" i="1"/>
  <c r="GB26" i="1"/>
  <c r="GA26" i="1"/>
  <c r="FW26" i="1"/>
  <c r="FV26" i="1"/>
  <c r="FT26" i="1"/>
  <c r="FS26" i="1" s="1"/>
  <c r="FO26" i="1"/>
  <c r="FJ26" i="1"/>
  <c r="FF26" i="1"/>
  <c r="FC26" i="1"/>
  <c r="FA26" i="1"/>
  <c r="EZ26" i="1"/>
  <c r="ET26" i="1"/>
  <c r="EL26" i="1"/>
  <c r="EI26" i="1"/>
  <c r="EC26" i="1"/>
  <c r="DW26" i="1"/>
  <c r="DS26" i="1"/>
  <c r="DQ26" i="1"/>
  <c r="DP26" i="1"/>
  <c r="DO26" i="1"/>
  <c r="DM26" i="1" s="1"/>
  <c r="DI26" i="1"/>
  <c r="DD26" i="1"/>
  <c r="DC26" i="1"/>
  <c r="CX26" i="1" s="1"/>
  <c r="CU26" i="1"/>
  <c r="CO26" i="1" s="1"/>
  <c r="CP26" i="1"/>
  <c r="CI26" i="1"/>
  <c r="CC26" i="1"/>
  <c r="BZ26" i="1"/>
  <c r="BW26" i="1"/>
  <c r="BU26" i="1" s="1"/>
  <c r="BK26" i="1"/>
  <c r="BH26" i="1"/>
  <c r="BD26" i="1"/>
  <c r="AZ26" i="1"/>
  <c r="AV26" i="1"/>
  <c r="AP26" i="1"/>
  <c r="AL26" i="1"/>
  <c r="AJ26" i="1"/>
  <c r="AC26" i="1"/>
  <c r="X26" i="1"/>
  <c r="U26" i="1"/>
  <c r="T26" i="1"/>
  <c r="GE44" i="1"/>
  <c r="GB44" i="1"/>
  <c r="FW44" i="1"/>
  <c r="FV44" i="1"/>
  <c r="FS44" i="1"/>
  <c r="FO44" i="1"/>
  <c r="FJ44" i="1"/>
  <c r="FF44" i="1"/>
  <c r="FC44" i="1"/>
  <c r="EZ44" i="1"/>
  <c r="ET44" i="1"/>
  <c r="EL44" i="1"/>
  <c r="EI44" i="1"/>
  <c r="EC44" i="1"/>
  <c r="DW44" i="1"/>
  <c r="DS44" i="1"/>
  <c r="DP44" i="1"/>
  <c r="DM44" i="1"/>
  <c r="DI44" i="1"/>
  <c r="DD44" i="1"/>
  <c r="CX44" i="1"/>
  <c r="CU44" i="1"/>
  <c r="CO44" i="1" s="1"/>
  <c r="CP44" i="1"/>
  <c r="CI44" i="1"/>
  <c r="CC44" i="1"/>
  <c r="BZ44" i="1"/>
  <c r="BW44" i="1"/>
  <c r="BK44" i="1"/>
  <c r="BH44" i="1"/>
  <c r="BD44" i="1"/>
  <c r="AZ44" i="1"/>
  <c r="AV44" i="1"/>
  <c r="AP44" i="1"/>
  <c r="AL44" i="1"/>
  <c r="AJ44" i="1"/>
  <c r="AC44" i="1"/>
  <c r="X44" i="1"/>
  <c r="V44" i="1"/>
  <c r="U44" i="1"/>
  <c r="T44" i="1"/>
  <c r="GE31" i="1"/>
  <c r="GB31" i="1"/>
  <c r="FW31" i="1"/>
  <c r="FV31" i="1"/>
  <c r="FS31" i="1"/>
  <c r="FO31" i="1"/>
  <c r="FN31" i="1"/>
  <c r="FJ31" i="1"/>
  <c r="FF31" i="1"/>
  <c r="FC31" i="1"/>
  <c r="EZ31" i="1"/>
  <c r="ET31" i="1"/>
  <c r="EM31" i="1"/>
  <c r="EL31" i="1" s="1"/>
  <c r="EI31" i="1"/>
  <c r="EH31" i="1"/>
  <c r="EC31" i="1" s="1"/>
  <c r="DW31" i="1"/>
  <c r="DS31" i="1"/>
  <c r="DQ31" i="1"/>
  <c r="DP31" i="1" s="1"/>
  <c r="DM31" i="1"/>
  <c r="DI31" i="1"/>
  <c r="DD31" i="1"/>
  <c r="CY31" i="1"/>
  <c r="CX31" i="1"/>
  <c r="CP31" i="1"/>
  <c r="CO31" i="1"/>
  <c r="CI31" i="1"/>
  <c r="CC31" i="1"/>
  <c r="BZ31" i="1"/>
  <c r="BV31" i="1"/>
  <c r="BU31" i="1"/>
  <c r="BK31" i="1"/>
  <c r="BH31" i="1"/>
  <c r="BD31" i="1"/>
  <c r="AZ31" i="1"/>
  <c r="AV31" i="1"/>
  <c r="AP31" i="1"/>
  <c r="AN31" i="1"/>
  <c r="AL31" i="1" s="1"/>
  <c r="AJ31" i="1"/>
  <c r="AC31" i="1"/>
  <c r="X31" i="1"/>
  <c r="U31" i="1"/>
  <c r="T31" i="1"/>
  <c r="GE30" i="1"/>
  <c r="GB30" i="1"/>
  <c r="GA30" i="1"/>
  <c r="FW30" i="1"/>
  <c r="FV30" i="1"/>
  <c r="FS30" i="1"/>
  <c r="FO30" i="1"/>
  <c r="FJ30" i="1"/>
  <c r="FF30" i="1"/>
  <c r="FC30" i="1"/>
  <c r="EZ30" i="1"/>
  <c r="ET30" i="1"/>
  <c r="EL30" i="1"/>
  <c r="EI30" i="1"/>
  <c r="EC30" i="1"/>
  <c r="DW30" i="1"/>
  <c r="DS30" i="1"/>
  <c r="DR30" i="1"/>
  <c r="DP30" i="1" s="1"/>
  <c r="DM30" i="1"/>
  <c r="DI30" i="1"/>
  <c r="DD30" i="1"/>
  <c r="CX30" i="1"/>
  <c r="CW30" i="1"/>
  <c r="CP30" i="1"/>
  <c r="CO30" i="1"/>
  <c r="CN30" i="1"/>
  <c r="CI30" i="1" s="1"/>
  <c r="CC30" i="1"/>
  <c r="BZ30" i="1"/>
  <c r="BV30" i="1"/>
  <c r="BU30" i="1"/>
  <c r="BK30" i="1"/>
  <c r="BH30" i="1"/>
  <c r="BG30" i="1"/>
  <c r="BD30" i="1" s="1"/>
  <c r="AZ30" i="1"/>
  <c r="AY30" i="1"/>
  <c r="AV30" i="1" s="1"/>
  <c r="AP30" i="1"/>
  <c r="AL30" i="1"/>
  <c r="AJ30" i="1"/>
  <c r="AC30" i="1"/>
  <c r="X30" i="1"/>
  <c r="U30" i="1"/>
  <c r="T30" i="1"/>
  <c r="GE29" i="1"/>
  <c r="GB29" i="1"/>
  <c r="GA29" i="1"/>
  <c r="FV29" i="1" s="1"/>
  <c r="FW29" i="1"/>
  <c r="FS29" i="1"/>
  <c r="FO29" i="1"/>
  <c r="FJ29" i="1"/>
  <c r="FG29" i="1"/>
  <c r="FF29" i="1" s="1"/>
  <c r="FC29" i="1"/>
  <c r="EZ29" i="1"/>
  <c r="ET29" i="1"/>
  <c r="EL29" i="1"/>
  <c r="EI29" i="1"/>
  <c r="EH29" i="1"/>
  <c r="EC29" i="1" s="1"/>
  <c r="DW29" i="1"/>
  <c r="DS29" i="1"/>
  <c r="DR29" i="1"/>
  <c r="DP29" i="1" s="1"/>
  <c r="DM29" i="1"/>
  <c r="DI29" i="1"/>
  <c r="DD29" i="1"/>
  <c r="CX29" i="1"/>
  <c r="CU29" i="1"/>
  <c r="CP29" i="1"/>
  <c r="CO29" i="1"/>
  <c r="CI29" i="1"/>
  <c r="CC29" i="1"/>
  <c r="BZ29" i="1"/>
  <c r="BV29" i="1"/>
  <c r="BU29" i="1"/>
  <c r="BO29" i="1"/>
  <c r="BL29" i="1"/>
  <c r="BK29" i="1" s="1"/>
  <c r="BH29" i="1"/>
  <c r="BG29" i="1"/>
  <c r="BD29" i="1"/>
  <c r="BB29" i="1"/>
  <c r="AZ29" i="1" s="1"/>
  <c r="AV29" i="1"/>
  <c r="AT29" i="1"/>
  <c r="AL29" i="1" s="1"/>
  <c r="AP29" i="1"/>
  <c r="AJ29" i="1"/>
  <c r="AC29" i="1"/>
  <c r="X29" i="1"/>
  <c r="U29" i="1"/>
  <c r="T29" i="1"/>
  <c r="GE58" i="1"/>
  <c r="GB58" i="1"/>
  <c r="GA58" i="1"/>
  <c r="FV58" i="1" s="1"/>
  <c r="FW58" i="1"/>
  <c r="FS58" i="1"/>
  <c r="FO58" i="1"/>
  <c r="FJ58" i="1"/>
  <c r="FF58" i="1"/>
  <c r="FC58" i="1"/>
  <c r="EZ58" i="1"/>
  <c r="ET58" i="1"/>
  <c r="EL58" i="1"/>
  <c r="EI58" i="1"/>
  <c r="EC58" i="1"/>
  <c r="DW58" i="1"/>
  <c r="DS58" i="1"/>
  <c r="DP58" i="1"/>
  <c r="DM58" i="1"/>
  <c r="DI58" i="1"/>
  <c r="DD58" i="1"/>
  <c r="CX58" i="1"/>
  <c r="CW58" i="1"/>
  <c r="CO58" i="1" s="1"/>
  <c r="CP58" i="1"/>
  <c r="CN58" i="1"/>
  <c r="CI58" i="1" s="1"/>
  <c r="CC58" i="1"/>
  <c r="BZ58" i="1"/>
  <c r="BV58" i="1"/>
  <c r="BU58" i="1"/>
  <c r="BK58" i="1"/>
  <c r="BH58" i="1"/>
  <c r="BG58" i="1"/>
  <c r="BD58" i="1" s="1"/>
  <c r="AZ58" i="1"/>
  <c r="AY58" i="1"/>
  <c r="AV58" i="1" s="1"/>
  <c r="AP58" i="1"/>
  <c r="AL58" i="1"/>
  <c r="AJ58" i="1"/>
  <c r="AC58" i="1"/>
  <c r="X58" i="1"/>
  <c r="U58" i="1"/>
  <c r="T58" i="1"/>
  <c r="GE57" i="1"/>
  <c r="GB57" i="1"/>
  <c r="GA57" i="1"/>
  <c r="FW57" i="1"/>
  <c r="FV57" i="1"/>
  <c r="FS57" i="1"/>
  <c r="FO57" i="1"/>
  <c r="FJ57" i="1"/>
  <c r="FG57" i="1"/>
  <c r="FF57" i="1" s="1"/>
  <c r="FC57" i="1"/>
  <c r="EZ57" i="1"/>
  <c r="ET57" i="1"/>
  <c r="EL57" i="1"/>
  <c r="EI57" i="1"/>
  <c r="EH57" i="1"/>
  <c r="EC57" i="1"/>
  <c r="DW57" i="1"/>
  <c r="DS57" i="1"/>
  <c r="DR57" i="1"/>
  <c r="DP57" i="1"/>
  <c r="DM57" i="1"/>
  <c r="DI57" i="1"/>
  <c r="DD57" i="1"/>
  <c r="CX57" i="1"/>
  <c r="CU57" i="1"/>
  <c r="CO57" i="1" s="1"/>
  <c r="CP57" i="1"/>
  <c r="CI57" i="1"/>
  <c r="CC57" i="1"/>
  <c r="BZ57" i="1"/>
  <c r="BV57" i="1"/>
  <c r="BU57" i="1"/>
  <c r="BO57" i="1"/>
  <c r="BK57" i="1" s="1"/>
  <c r="BH57" i="1"/>
  <c r="BG57" i="1"/>
  <c r="BD57" i="1" s="1"/>
  <c r="BB57" i="1"/>
  <c r="AZ57" i="1" s="1"/>
  <c r="AV57" i="1"/>
  <c r="AP57" i="1"/>
  <c r="AL57" i="1"/>
  <c r="AJ57" i="1"/>
  <c r="AC57" i="1"/>
  <c r="X57" i="1"/>
  <c r="U57" i="1"/>
  <c r="T57" i="1"/>
  <c r="GE8" i="1"/>
  <c r="GB8" i="1"/>
  <c r="GA8" i="1"/>
  <c r="FV8" i="1" s="1"/>
  <c r="FW8" i="1"/>
  <c r="FS8" i="1"/>
  <c r="FO8" i="1"/>
  <c r="FN8" i="1"/>
  <c r="FJ8" i="1" s="1"/>
  <c r="FF8" i="1"/>
  <c r="FC8" i="1"/>
  <c r="EZ8" i="1"/>
  <c r="EU8" i="1"/>
  <c r="ET8" i="1" s="1"/>
  <c r="EL8" i="1"/>
  <c r="EI8" i="1"/>
  <c r="EH8" i="1"/>
  <c r="EC8" i="1" s="1"/>
  <c r="DW8" i="1"/>
  <c r="DS8" i="1"/>
  <c r="DP8" i="1"/>
  <c r="DM8" i="1"/>
  <c r="DI8" i="1"/>
  <c r="DD8" i="1"/>
  <c r="CX8" i="1"/>
  <c r="CP8" i="1"/>
  <c r="CO8" i="1"/>
  <c r="CN8" i="1"/>
  <c r="CK8" i="1"/>
  <c r="CC8" i="1"/>
  <c r="BZ8" i="1"/>
  <c r="BV8" i="1"/>
  <c r="BU8" i="1"/>
  <c r="BK8" i="1"/>
  <c r="BH8" i="1"/>
  <c r="BD8" i="1"/>
  <c r="AZ8" i="1"/>
  <c r="AV8" i="1"/>
  <c r="AP8" i="1"/>
  <c r="AO8" i="1"/>
  <c r="AN8" i="1"/>
  <c r="AL8" i="1"/>
  <c r="AD8" i="1"/>
  <c r="AC8" i="1" s="1"/>
  <c r="X8" i="1"/>
  <c r="U8" i="1"/>
  <c r="T8" i="1"/>
  <c r="GF9" i="1"/>
  <c r="GE9" i="1" s="1"/>
  <c r="GB9" i="1"/>
  <c r="GA9" i="1"/>
  <c r="FV9" i="1" s="1"/>
  <c r="FW9" i="1"/>
  <c r="FS9" i="1"/>
  <c r="FO9" i="1"/>
  <c r="FN9" i="1"/>
  <c r="FJ9" i="1" s="1"/>
  <c r="FF9" i="1"/>
  <c r="FC9" i="1"/>
  <c r="EZ9" i="1"/>
  <c r="ET9" i="1"/>
  <c r="EL9" i="1"/>
  <c r="EI9" i="1"/>
  <c r="EH9" i="1"/>
  <c r="EC9" i="1" s="1"/>
  <c r="DW9" i="1"/>
  <c r="DS9" i="1"/>
  <c r="DP9" i="1"/>
  <c r="DM9" i="1"/>
  <c r="DI9" i="1"/>
  <c r="DD9" i="1"/>
  <c r="CX9" i="1"/>
  <c r="CP9" i="1"/>
  <c r="CO9" i="1"/>
  <c r="CN9" i="1"/>
  <c r="CK9" i="1"/>
  <c r="CI9" i="1" s="1"/>
  <c r="CC9" i="1"/>
  <c r="BZ9" i="1"/>
  <c r="BW9" i="1"/>
  <c r="BU9" i="1" s="1"/>
  <c r="BK9" i="1"/>
  <c r="BH9" i="1"/>
  <c r="BD9" i="1"/>
  <c r="BB9" i="1"/>
  <c r="AZ9" i="1" s="1"/>
  <c r="AV9" i="1"/>
  <c r="AT9" i="1"/>
  <c r="AP9" i="1"/>
  <c r="AO9" i="1"/>
  <c r="AN9" i="1"/>
  <c r="AL9" i="1"/>
  <c r="AJ9" i="1"/>
  <c r="AD9" i="1"/>
  <c r="AC9" i="1" s="1"/>
  <c r="X9" i="1"/>
  <c r="U9" i="1"/>
  <c r="T9" i="1"/>
  <c r="GE47" i="1"/>
  <c r="GB47" i="1"/>
  <c r="FW47" i="1"/>
  <c r="FV47" i="1"/>
  <c r="FS47" i="1"/>
  <c r="FO47" i="1"/>
  <c r="FJ47" i="1"/>
  <c r="FF47" i="1"/>
  <c r="FC47" i="1"/>
  <c r="FB47" i="1"/>
  <c r="EZ47" i="1"/>
  <c r="ET47" i="1"/>
  <c r="EL47" i="1"/>
  <c r="EI47" i="1"/>
  <c r="EC47" i="1"/>
  <c r="EB47" i="1"/>
  <c r="DW47" i="1" s="1"/>
  <c r="DS47" i="1"/>
  <c r="DP47" i="1"/>
  <c r="DM47" i="1"/>
  <c r="DI47" i="1"/>
  <c r="DD47" i="1"/>
  <c r="CX47" i="1"/>
  <c r="CP47" i="1"/>
  <c r="CO47" i="1"/>
  <c r="CI47" i="1"/>
  <c r="CC47" i="1"/>
  <c r="BZ47" i="1"/>
  <c r="BV47" i="1"/>
  <c r="BU47" i="1"/>
  <c r="BK47" i="1"/>
  <c r="BH47" i="1"/>
  <c r="BD47" i="1"/>
  <c r="AZ47" i="1"/>
  <c r="AV47" i="1"/>
  <c r="AP47" i="1"/>
  <c r="AL47" i="1"/>
  <c r="AJ47" i="1"/>
  <c r="AC47" i="1"/>
  <c r="X47" i="1"/>
  <c r="U47" i="1"/>
  <c r="T47" i="1"/>
  <c r="GE50" i="1"/>
  <c r="GB50" i="1"/>
  <c r="FW50" i="1"/>
  <c r="FV50" i="1"/>
  <c r="FT50" i="1"/>
  <c r="FS50" i="1"/>
  <c r="FO50" i="1"/>
  <c r="FJ50" i="1"/>
  <c r="FF50" i="1"/>
  <c r="FD50" i="1"/>
  <c r="FC50" i="1" s="1"/>
  <c r="EZ50" i="1"/>
  <c r="EU50" i="1"/>
  <c r="ET50" i="1"/>
  <c r="EL50" i="1"/>
  <c r="EI50" i="1"/>
  <c r="EC50" i="1"/>
  <c r="EA50" i="1"/>
  <c r="DW50" i="1" s="1"/>
  <c r="DS50" i="1"/>
  <c r="DR50" i="1"/>
  <c r="DP50" i="1" s="1"/>
  <c r="DO50" i="1"/>
  <c r="DN50" i="1"/>
  <c r="DM50" i="1"/>
  <c r="DI50" i="1"/>
  <c r="DD50" i="1"/>
  <c r="CZ50" i="1"/>
  <c r="CX50" i="1"/>
  <c r="CU50" i="1"/>
  <c r="CO50" i="1" s="1"/>
  <c r="CP50" i="1"/>
  <c r="CK50" i="1"/>
  <c r="CI50" i="1" s="1"/>
  <c r="CC50" i="1"/>
  <c r="BZ50" i="1"/>
  <c r="BV50" i="1"/>
  <c r="BU50" i="1"/>
  <c r="BK50" i="1"/>
  <c r="BH50" i="1"/>
  <c r="BG50" i="1"/>
  <c r="BD50" i="1" s="1"/>
  <c r="AZ50" i="1"/>
  <c r="AV50" i="1"/>
  <c r="AS50" i="1"/>
  <c r="AL50" i="1" s="1"/>
  <c r="AK50" i="1"/>
  <c r="AD50" i="1"/>
  <c r="AC50" i="1" s="1"/>
  <c r="X50" i="1"/>
  <c r="U50" i="1"/>
  <c r="T50" i="1"/>
  <c r="GE51" i="1"/>
  <c r="GB51" i="1"/>
  <c r="FW51" i="1"/>
  <c r="FV51" i="1"/>
  <c r="FS51" i="1"/>
  <c r="FO51" i="1"/>
  <c r="FJ51" i="1"/>
  <c r="FF51" i="1"/>
  <c r="FD51" i="1"/>
  <c r="FC51" i="1"/>
  <c r="EZ51" i="1"/>
  <c r="EU51" i="1"/>
  <c r="ET51" i="1" s="1"/>
  <c r="EM51" i="1"/>
  <c r="EL51" i="1" s="1"/>
  <c r="EI51" i="1"/>
  <c r="EH51" i="1"/>
  <c r="EG51" i="1"/>
  <c r="EC51" i="1" s="1"/>
  <c r="EA51" i="1"/>
  <c r="DW51" i="1" s="1"/>
  <c r="DS51" i="1"/>
  <c r="DP51" i="1"/>
  <c r="DN51" i="1"/>
  <c r="DM51" i="1" s="1"/>
  <c r="DI51" i="1"/>
  <c r="DD51" i="1"/>
  <c r="CZ51" i="1"/>
  <c r="CX51" i="1" s="1"/>
  <c r="CU51" i="1"/>
  <c r="CP51" i="1"/>
  <c r="CO51" i="1"/>
  <c r="CK51" i="1"/>
  <c r="CI51" i="1"/>
  <c r="CC51" i="1"/>
  <c r="BZ51" i="1"/>
  <c r="BV51" i="1"/>
  <c r="BU51" i="1"/>
  <c r="BK51" i="1"/>
  <c r="BH51" i="1"/>
  <c r="BG51" i="1"/>
  <c r="BD51" i="1"/>
  <c r="AZ51" i="1"/>
  <c r="AV51" i="1"/>
  <c r="AS51" i="1"/>
  <c r="AP51" i="1"/>
  <c r="AO51" i="1"/>
  <c r="AL51" i="1"/>
  <c r="AK51" i="1"/>
  <c r="AD51" i="1"/>
  <c r="AJ51" i="1" s="1"/>
  <c r="AC51" i="1"/>
  <c r="X51" i="1"/>
  <c r="U51" i="1"/>
  <c r="T51" i="1"/>
  <c r="GE13" i="1"/>
  <c r="GB13" i="1"/>
  <c r="FW13" i="1"/>
  <c r="FV13" i="1"/>
  <c r="FS13" i="1"/>
  <c r="FO13" i="1"/>
  <c r="FN13" i="1"/>
  <c r="FJ13" i="1"/>
  <c r="FF13" i="1"/>
  <c r="FC13" i="1"/>
  <c r="FB13" i="1"/>
  <c r="EZ13" i="1"/>
  <c r="ET13" i="1"/>
  <c r="EL13" i="1"/>
  <c r="EI13" i="1"/>
  <c r="EH13" i="1"/>
  <c r="EC13" i="1"/>
  <c r="EB13" i="1"/>
  <c r="DW13" i="1" s="1"/>
  <c r="DS13" i="1"/>
  <c r="DP13" i="1"/>
  <c r="DM13" i="1"/>
  <c r="DI13" i="1"/>
  <c r="DE13" i="1"/>
  <c r="DD13" i="1"/>
  <c r="CZ13" i="1"/>
  <c r="CX13" i="1" s="1"/>
  <c r="CP13" i="1"/>
  <c r="CO13" i="1"/>
  <c r="CI13" i="1"/>
  <c r="CC13" i="1"/>
  <c r="BZ13" i="1"/>
  <c r="BV13" i="1"/>
  <c r="BU13" i="1"/>
  <c r="BK13" i="1"/>
  <c r="BH13" i="1"/>
  <c r="BD13" i="1"/>
  <c r="AZ13" i="1"/>
  <c r="AV13" i="1"/>
  <c r="AP13" i="1"/>
  <c r="AL13" i="1"/>
  <c r="AK13" i="1"/>
  <c r="AJ13" i="1"/>
  <c r="AC13" i="1"/>
  <c r="X13" i="1"/>
  <c r="U13" i="1"/>
  <c r="T13" i="1"/>
  <c r="GE53" i="1"/>
  <c r="GC53" i="1"/>
  <c r="GA53" i="1"/>
  <c r="FV53" i="1" s="1"/>
  <c r="FW53" i="1"/>
  <c r="FT53" i="1"/>
  <c r="FS53" i="1" s="1"/>
  <c r="FO53" i="1"/>
  <c r="FN53" i="1"/>
  <c r="FJ53" i="1" s="1"/>
  <c r="FI53" i="1"/>
  <c r="FF53" i="1" s="1"/>
  <c r="FC53" i="1"/>
  <c r="EZ53" i="1"/>
  <c r="EU53" i="1"/>
  <c r="ET53" i="1" s="1"/>
  <c r="EL53" i="1"/>
  <c r="EI53" i="1"/>
  <c r="EC53" i="1"/>
  <c r="DW53" i="1"/>
  <c r="DS53" i="1"/>
  <c r="DQ53" i="1"/>
  <c r="DP53" i="1"/>
  <c r="DM53" i="1"/>
  <c r="DI53" i="1"/>
  <c r="DG53" i="1"/>
  <c r="DD53" i="1"/>
  <c r="DC53" i="1"/>
  <c r="DA53" i="1"/>
  <c r="CU53" i="1"/>
  <c r="CP53" i="1"/>
  <c r="CO53" i="1"/>
  <c r="CI53" i="1"/>
  <c r="CC53" i="1"/>
  <c r="BZ53" i="1"/>
  <c r="BW53" i="1"/>
  <c r="BV53" i="1" s="1"/>
  <c r="BK53" i="1"/>
  <c r="BH53" i="1"/>
  <c r="BD53" i="1"/>
  <c r="AZ53" i="1"/>
  <c r="AV53" i="1"/>
  <c r="AP53" i="1"/>
  <c r="AL53" i="1"/>
  <c r="AJ53" i="1"/>
  <c r="AC53" i="1"/>
  <c r="X53" i="1"/>
  <c r="U53" i="1"/>
  <c r="T53" i="1"/>
  <c r="GE52" i="1"/>
  <c r="GB52" i="1"/>
  <c r="GA52" i="1"/>
  <c r="FV52" i="1" s="1"/>
  <c r="FW52" i="1"/>
  <c r="FT52" i="1"/>
  <c r="FS52" i="1" s="1"/>
  <c r="FO52" i="1"/>
  <c r="FN52" i="1"/>
  <c r="FJ52" i="1"/>
  <c r="FF52" i="1"/>
  <c r="FC52" i="1"/>
  <c r="EZ52" i="1"/>
  <c r="EU52" i="1"/>
  <c r="ET52" i="1" s="1"/>
  <c r="EL52" i="1"/>
  <c r="EI52" i="1"/>
  <c r="EH52" i="1"/>
  <c r="EC52" i="1" s="1"/>
  <c r="DW52" i="1"/>
  <c r="DS52" i="1"/>
  <c r="DQ52" i="1"/>
  <c r="DP52" i="1" s="1"/>
  <c r="DO52" i="1"/>
  <c r="DM52" i="1"/>
  <c r="DL52" i="1"/>
  <c r="DI52" i="1" s="1"/>
  <c r="DD52" i="1"/>
  <c r="DA52" i="1"/>
  <c r="CX52" i="1"/>
  <c r="CP52" i="1"/>
  <c r="CO52" i="1"/>
  <c r="CI52" i="1"/>
  <c r="CC52" i="1"/>
  <c r="BZ52" i="1"/>
  <c r="BY52" i="1"/>
  <c r="BW52" i="1"/>
  <c r="BV52" i="1"/>
  <c r="BK52" i="1"/>
  <c r="BH52" i="1"/>
  <c r="BD52" i="1"/>
  <c r="AZ52" i="1"/>
  <c r="AV52" i="1"/>
  <c r="AP52" i="1"/>
  <c r="AL52" i="1"/>
  <c r="AJ52" i="1"/>
  <c r="AC52" i="1"/>
  <c r="X52" i="1"/>
  <c r="U52" i="1"/>
  <c r="T52" i="1"/>
  <c r="GE54" i="1"/>
  <c r="GC54" i="1"/>
  <c r="I52" i="4" s="1"/>
  <c r="FW54" i="1"/>
  <c r="FV54" i="1"/>
  <c r="FS54" i="1"/>
  <c r="FO54" i="1"/>
  <c r="FJ54" i="1"/>
  <c r="FF54" i="1"/>
  <c r="EZ54" i="1"/>
  <c r="ET54" i="1"/>
  <c r="EM54" i="1"/>
  <c r="EL54" i="1"/>
  <c r="EI54" i="1"/>
  <c r="EC54" i="1"/>
  <c r="DW54" i="1"/>
  <c r="DS54" i="1"/>
  <c r="DR54" i="1"/>
  <c r="DQ54" i="1"/>
  <c r="DO54" i="1"/>
  <c r="DM54" i="1"/>
  <c r="DI54" i="1"/>
  <c r="DD54" i="1"/>
  <c r="CX54" i="1"/>
  <c r="CQ54" i="1"/>
  <c r="CK54" i="1"/>
  <c r="CI54" i="1"/>
  <c r="CC54" i="1"/>
  <c r="BZ54" i="1"/>
  <c r="BX54" i="1"/>
  <c r="BW54" i="1"/>
  <c r="BU54" i="1" s="1"/>
  <c r="BK54" i="1"/>
  <c r="BH54" i="1"/>
  <c r="BD54" i="1"/>
  <c r="AZ54" i="1"/>
  <c r="AW54" i="1"/>
  <c r="AV54" i="1" s="1"/>
  <c r="AP54" i="1"/>
  <c r="AL54" i="1"/>
  <c r="AD54" i="1"/>
  <c r="AC54" i="1" s="1"/>
  <c r="X54" i="1"/>
  <c r="V54" i="1"/>
  <c r="T54" i="1" s="1"/>
  <c r="U54" i="1"/>
  <c r="GE15" i="1"/>
  <c r="GB15" i="1"/>
  <c r="GA15" i="1"/>
  <c r="FV15" i="1" s="1"/>
  <c r="FW15" i="1"/>
  <c r="FS15" i="1"/>
  <c r="FO15" i="1"/>
  <c r="FN15" i="1"/>
  <c r="FJ15" i="1" s="1"/>
  <c r="FF15" i="1"/>
  <c r="FC15" i="1"/>
  <c r="EZ15" i="1"/>
  <c r="ET15" i="1"/>
  <c r="EL15" i="1"/>
  <c r="EI15" i="1"/>
  <c r="EH15" i="1"/>
  <c r="EC15" i="1" s="1"/>
  <c r="EB15" i="1"/>
  <c r="DW15" i="1"/>
  <c r="DS15" i="1"/>
  <c r="DP15" i="1"/>
  <c r="DM15" i="1"/>
  <c r="DI15" i="1"/>
  <c r="DD15" i="1"/>
  <c r="DA15" i="1"/>
  <c r="CX15" i="1" s="1"/>
  <c r="CU15" i="1"/>
  <c r="CO15" i="1" s="1"/>
  <c r="CP15" i="1"/>
  <c r="CI15" i="1"/>
  <c r="CC15" i="1"/>
  <c r="BZ15" i="1"/>
  <c r="BV15" i="1"/>
  <c r="BU15" i="1"/>
  <c r="BK15" i="1"/>
  <c r="BH15" i="1"/>
  <c r="BD15" i="1"/>
  <c r="AZ15" i="1"/>
  <c r="AV15" i="1"/>
  <c r="AP15" i="1"/>
  <c r="AL15" i="1"/>
  <c r="AK15" i="1"/>
  <c r="AC15" i="1" s="1"/>
  <c r="AJ15" i="1"/>
  <c r="X15" i="1"/>
  <c r="U15" i="1"/>
  <c r="T15" i="1"/>
  <c r="GE14" i="1"/>
  <c r="GB14" i="1"/>
  <c r="GA14" i="1"/>
  <c r="FV14" i="1" s="1"/>
  <c r="FW14" i="1"/>
  <c r="FS14" i="1"/>
  <c r="FO14" i="1"/>
  <c r="FN14" i="1"/>
  <c r="FJ14" i="1" s="1"/>
  <c r="FF14" i="1"/>
  <c r="FC14" i="1"/>
  <c r="EZ14" i="1"/>
  <c r="ET14" i="1"/>
  <c r="EL14" i="1"/>
  <c r="EI14" i="1"/>
  <c r="EH14" i="1"/>
  <c r="EC14" i="1" s="1"/>
  <c r="EB14" i="1"/>
  <c r="DW14" i="1" s="1"/>
  <c r="DS14" i="1"/>
  <c r="DQ14" i="1"/>
  <c r="DP14" i="1" s="1"/>
  <c r="DM14" i="1"/>
  <c r="DI14" i="1"/>
  <c r="DD14" i="1"/>
  <c r="DA14" i="1"/>
  <c r="CX14" i="1" s="1"/>
  <c r="CU14" i="1"/>
  <c r="CP14" i="1"/>
  <c r="CO14" i="1"/>
  <c r="CI14" i="1"/>
  <c r="CC14" i="1"/>
  <c r="BZ14" i="1"/>
  <c r="BV14" i="1"/>
  <c r="BU14" i="1"/>
  <c r="BK14" i="1"/>
  <c r="BH14" i="1"/>
  <c r="BD14" i="1"/>
  <c r="AZ14" i="1"/>
  <c r="AV14" i="1"/>
  <c r="AP14" i="1"/>
  <c r="AL14" i="1"/>
  <c r="AJ14" i="1"/>
  <c r="AC14" i="1"/>
  <c r="X14" i="1"/>
  <c r="U14" i="1"/>
  <c r="T14" i="1"/>
  <c r="GE7" i="1"/>
  <c r="GB7" i="1"/>
  <c r="FW7" i="1"/>
  <c r="FV7" i="1"/>
  <c r="FS7" i="1"/>
  <c r="FO7" i="1"/>
  <c r="FJ7" i="1"/>
  <c r="FF7" i="1"/>
  <c r="FC7" i="1"/>
  <c r="EZ7" i="1"/>
  <c r="ET7" i="1"/>
  <c r="EL7" i="1"/>
  <c r="EI7" i="1"/>
  <c r="EH7" i="1"/>
  <c r="EC7" i="1"/>
  <c r="EA7" i="1"/>
  <c r="DW7" i="1"/>
  <c r="DS7" i="1"/>
  <c r="DP7" i="1"/>
  <c r="DM7" i="1"/>
  <c r="DL7" i="1"/>
  <c r="DI7" i="1"/>
  <c r="DD7" i="1"/>
  <c r="CX7" i="1"/>
  <c r="CP7" i="1"/>
  <c r="CO7" i="1"/>
  <c r="CI7" i="1"/>
  <c r="CC7" i="1"/>
  <c r="CA7" i="1"/>
  <c r="BZ7" i="1"/>
  <c r="BV7" i="1"/>
  <c r="BU7" i="1"/>
  <c r="BK7" i="1"/>
  <c r="BH7" i="1"/>
  <c r="BD7" i="1"/>
  <c r="AZ7" i="1"/>
  <c r="AW7" i="1"/>
  <c r="AV7" i="1"/>
  <c r="AP7" i="1"/>
  <c r="AL7" i="1"/>
  <c r="AD7" i="1"/>
  <c r="AC7" i="1"/>
  <c r="X7" i="1"/>
  <c r="U7" i="1"/>
  <c r="T7" i="1"/>
  <c r="GE6" i="1"/>
  <c r="GB6" i="1"/>
  <c r="FW6" i="1"/>
  <c r="FV6" i="1"/>
  <c r="FS6" i="1"/>
  <c r="FO6" i="1"/>
  <c r="FJ6" i="1"/>
  <c r="FF6" i="1"/>
  <c r="FC6" i="1"/>
  <c r="EZ6" i="1"/>
  <c r="ET6" i="1"/>
  <c r="EL6" i="1"/>
  <c r="EI6" i="1"/>
  <c r="EH6" i="1"/>
  <c r="EC6" i="1" s="1"/>
  <c r="EA6" i="1"/>
  <c r="DW6" i="1" s="1"/>
  <c r="DS6" i="1"/>
  <c r="DP6" i="1"/>
  <c r="DM6" i="1"/>
  <c r="DL6" i="1"/>
  <c r="DI6" i="1"/>
  <c r="DD6" i="1"/>
  <c r="CX6" i="1"/>
  <c r="CP6" i="1"/>
  <c r="CO6" i="1"/>
  <c r="CI6" i="1"/>
  <c r="CC6" i="1"/>
  <c r="CA6" i="1"/>
  <c r="BZ6" i="1"/>
  <c r="BV6" i="1"/>
  <c r="BU6" i="1"/>
  <c r="BK6" i="1"/>
  <c r="BH6" i="1"/>
  <c r="BD6" i="1"/>
  <c r="AZ6" i="1"/>
  <c r="AV6" i="1"/>
  <c r="AP6" i="1"/>
  <c r="AL6" i="1"/>
  <c r="AD6" i="1"/>
  <c r="AC6" i="1" s="1"/>
  <c r="X6" i="1"/>
  <c r="U6" i="1"/>
  <c r="T6" i="1"/>
  <c r="GJ22" i="1"/>
  <c r="GE22" i="1"/>
  <c r="GD22" i="1"/>
  <c r="GC22" i="1"/>
  <c r="GB22" i="1" s="1"/>
  <c r="FW22" i="1"/>
  <c r="FV22" i="1"/>
  <c r="FT22" i="1"/>
  <c r="FS22" i="1" s="1"/>
  <c r="FQ22" i="1"/>
  <c r="FP22" i="1"/>
  <c r="FO22" i="1" s="1"/>
  <c r="FJ22" i="1"/>
  <c r="FF22" i="1"/>
  <c r="FC22" i="1"/>
  <c r="EZ22" i="1"/>
  <c r="ET22" i="1"/>
  <c r="EL22" i="1"/>
  <c r="EI22" i="1"/>
  <c r="EC22" i="1"/>
  <c r="EB22" i="1"/>
  <c r="DW22" i="1"/>
  <c r="DS22" i="1"/>
  <c r="DQ22" i="1"/>
  <c r="DP22" i="1" s="1"/>
  <c r="DM22" i="1"/>
  <c r="DI22" i="1"/>
  <c r="DD22" i="1"/>
  <c r="DA22" i="1"/>
  <c r="CZ22" i="1"/>
  <c r="CX22" i="1" s="1"/>
  <c r="CU22" i="1"/>
  <c r="CO22" i="1" s="1"/>
  <c r="CP22" i="1"/>
  <c r="CI22" i="1"/>
  <c r="CC22" i="1"/>
  <c r="BZ22" i="1"/>
  <c r="BW22" i="1"/>
  <c r="BK22" i="1"/>
  <c r="BI22" i="1"/>
  <c r="BD22" i="1"/>
  <c r="AZ22" i="1"/>
  <c r="AV22" i="1"/>
  <c r="AP22" i="1"/>
  <c r="AJ22" i="1"/>
  <c r="AC22" i="1"/>
  <c r="X22" i="1"/>
  <c r="U22" i="1"/>
  <c r="T22" i="1"/>
  <c r="GJ21" i="1"/>
  <c r="GE21" i="1"/>
  <c r="GC21" i="1"/>
  <c r="GB21" i="1"/>
  <c r="FW21" i="1"/>
  <c r="FV21" i="1"/>
  <c r="FT21" i="1"/>
  <c r="FS21" i="1"/>
  <c r="FQ21" i="1"/>
  <c r="FP21" i="1"/>
  <c r="FL21" i="1"/>
  <c r="FJ21" i="1"/>
  <c r="FF21" i="1"/>
  <c r="FC21" i="1"/>
  <c r="EZ21" i="1"/>
  <c r="ET21" i="1"/>
  <c r="EL21" i="1"/>
  <c r="EI21" i="1"/>
  <c r="EC21" i="1"/>
  <c r="EB21" i="1"/>
  <c r="DW21" i="1" s="1"/>
  <c r="DS21" i="1"/>
  <c r="DQ21" i="1"/>
  <c r="DP21" i="1" s="1"/>
  <c r="DM21" i="1"/>
  <c r="DI21" i="1"/>
  <c r="DD21" i="1"/>
  <c r="DA21" i="1"/>
  <c r="CZ21" i="1"/>
  <c r="CX21" i="1"/>
  <c r="CP21" i="1"/>
  <c r="CO21" i="1"/>
  <c r="CI21" i="1"/>
  <c r="CC21" i="1"/>
  <c r="BZ21" i="1"/>
  <c r="BY21" i="1"/>
  <c r="BV21" i="1"/>
  <c r="BU21" i="1"/>
  <c r="BK21" i="1"/>
  <c r="BI21" i="1"/>
  <c r="BF21" i="1"/>
  <c r="BD21" i="1" s="1"/>
  <c r="BB21" i="1"/>
  <c r="AZ21" i="1" s="1"/>
  <c r="AV21" i="1"/>
  <c r="AP21" i="1"/>
  <c r="AO21" i="1"/>
  <c r="AJ21" i="1"/>
  <c r="AC21" i="1"/>
  <c r="X21" i="1"/>
  <c r="U21" i="1"/>
  <c r="T21" i="1"/>
  <c r="GF38" i="1"/>
  <c r="GE38" i="1" s="1"/>
  <c r="GB38" i="1"/>
  <c r="FW38" i="1"/>
  <c r="FV38" i="1"/>
  <c r="FS38" i="1"/>
  <c r="FO38" i="1"/>
  <c r="FJ38" i="1"/>
  <c r="FF38" i="1"/>
  <c r="FD38" i="1"/>
  <c r="FC38" i="1" s="1"/>
  <c r="EZ38" i="1"/>
  <c r="ET38" i="1"/>
  <c r="EM38" i="1"/>
  <c r="EL38" i="1" s="1"/>
  <c r="EI38" i="1"/>
  <c r="EC38" i="1"/>
  <c r="EA38" i="1"/>
  <c r="DW38" i="1" s="1"/>
  <c r="DS38" i="1"/>
  <c r="DP38" i="1"/>
  <c r="DM38" i="1"/>
  <c r="DI38" i="1"/>
  <c r="DD38" i="1"/>
  <c r="DA38" i="1"/>
  <c r="CZ38" i="1"/>
  <c r="CP38" i="1"/>
  <c r="CO38" i="1"/>
  <c r="CI38" i="1"/>
  <c r="CC38" i="1"/>
  <c r="BZ38" i="1"/>
  <c r="BV38" i="1"/>
  <c r="BU38" i="1"/>
  <c r="BK38" i="1"/>
  <c r="BH38" i="1"/>
  <c r="BD38" i="1"/>
  <c r="AZ38" i="1"/>
  <c r="AV38" i="1"/>
  <c r="AP38" i="1"/>
  <c r="AL38" i="1"/>
  <c r="AK38" i="1"/>
  <c r="AC38" i="1" s="1"/>
  <c r="AJ38" i="1"/>
  <c r="X38" i="1"/>
  <c r="V38" i="1"/>
  <c r="U38" i="1" s="1"/>
  <c r="GG39" i="1"/>
  <c r="GE39" i="1" s="1"/>
  <c r="GB39" i="1"/>
  <c r="FW39" i="1"/>
  <c r="FV39" i="1"/>
  <c r="FT39" i="1"/>
  <c r="FS39" i="1"/>
  <c r="FO39" i="1"/>
  <c r="FJ39" i="1"/>
  <c r="FF39" i="1"/>
  <c r="FD39" i="1"/>
  <c r="FC39" i="1" s="1"/>
  <c r="EZ39" i="1"/>
  <c r="ET39" i="1"/>
  <c r="EM39" i="1"/>
  <c r="EL39" i="1" s="1"/>
  <c r="EI39" i="1"/>
  <c r="EH39" i="1"/>
  <c r="EC39" i="1" s="1"/>
  <c r="EA39" i="1"/>
  <c r="DW39" i="1"/>
  <c r="DS39" i="1"/>
  <c r="DP39" i="1"/>
  <c r="DM39" i="1"/>
  <c r="DI39" i="1"/>
  <c r="DD39" i="1"/>
  <c r="CZ39" i="1"/>
  <c r="CX39" i="1" s="1"/>
  <c r="CP39" i="1"/>
  <c r="CO39" i="1"/>
  <c r="CI39" i="1"/>
  <c r="CC39" i="1"/>
  <c r="BZ39" i="1"/>
  <c r="BV39" i="1"/>
  <c r="BU39" i="1"/>
  <c r="BK39" i="1"/>
  <c r="BH39" i="1"/>
  <c r="BD39" i="1"/>
  <c r="BB39" i="1"/>
  <c r="AZ39" i="1" s="1"/>
  <c r="BA39" i="1"/>
  <c r="AV39" i="1"/>
  <c r="AP39" i="1"/>
  <c r="AL39" i="1"/>
  <c r="AK39" i="1"/>
  <c r="AC39" i="1" s="1"/>
  <c r="AJ39" i="1"/>
  <c r="X39" i="1"/>
  <c r="V39" i="1"/>
  <c r="U39" i="1" s="1"/>
  <c r="GE20" i="1"/>
  <c r="GB20" i="1"/>
  <c r="FW20" i="1"/>
  <c r="FV20" i="1"/>
  <c r="FS20" i="1"/>
  <c r="FO20" i="1"/>
  <c r="FJ20" i="1"/>
  <c r="FF20" i="1"/>
  <c r="FC20" i="1"/>
  <c r="EZ20" i="1"/>
  <c r="ET20" i="1"/>
  <c r="EM20" i="1"/>
  <c r="EL20" i="1"/>
  <c r="EI20" i="1"/>
  <c r="EC20" i="1"/>
  <c r="EB20" i="1"/>
  <c r="EA20" i="1"/>
  <c r="DW20" i="1"/>
  <c r="DS20" i="1"/>
  <c r="DQ20" i="1"/>
  <c r="DP20" i="1"/>
  <c r="DM20" i="1"/>
  <c r="DI20" i="1"/>
  <c r="DG20" i="1"/>
  <c r="DD20" i="1"/>
  <c r="DA20" i="1"/>
  <c r="CZ20" i="1"/>
  <c r="CX20" i="1" s="1"/>
  <c r="CP20" i="1"/>
  <c r="CO20" i="1"/>
  <c r="CI20" i="1"/>
  <c r="CC20" i="1"/>
  <c r="BZ20" i="1"/>
  <c r="BW20" i="1"/>
  <c r="BU20" i="1" s="1"/>
  <c r="BV20" i="1"/>
  <c r="BK20" i="1"/>
  <c r="BH20" i="1"/>
  <c r="BD20" i="1"/>
  <c r="BC20" i="1"/>
  <c r="AZ20" i="1"/>
  <c r="AV20" i="1"/>
  <c r="AT20" i="1"/>
  <c r="AP20" i="1"/>
  <c r="AN20" i="1"/>
  <c r="AJ20" i="1"/>
  <c r="AC20" i="1"/>
  <c r="X20" i="1"/>
  <c r="V20" i="1"/>
  <c r="GJ11" i="1"/>
  <c r="GF11" i="1"/>
  <c r="GE11" i="1"/>
  <c r="GC11" i="1"/>
  <c r="GB11" i="1"/>
  <c r="FW11" i="1"/>
  <c r="FV11" i="1"/>
  <c r="FT11" i="1"/>
  <c r="FS11" i="1"/>
  <c r="FQ11" i="1"/>
  <c r="FP11" i="1"/>
  <c r="FO11" i="1" s="1"/>
  <c r="FL11" i="1"/>
  <c r="FK11" i="1"/>
  <c r="FJ11" i="1"/>
  <c r="FF11" i="1"/>
  <c r="FC11" i="1"/>
  <c r="FA11" i="1"/>
  <c r="EZ11" i="1"/>
  <c r="ET11" i="1"/>
  <c r="EL11" i="1"/>
  <c r="EI11" i="1"/>
  <c r="EC11" i="1"/>
  <c r="EB11" i="1"/>
  <c r="DW11" i="1" s="1"/>
  <c r="DT11" i="1"/>
  <c r="DS11" i="1" s="1"/>
  <c r="DQ11" i="1"/>
  <c r="DP11" i="1" s="1"/>
  <c r="DM11" i="1"/>
  <c r="DI11" i="1"/>
  <c r="DD11" i="1"/>
  <c r="DA11" i="1"/>
  <c r="CZ11" i="1"/>
  <c r="CX11" i="1"/>
  <c r="CU11" i="1"/>
  <c r="CP11" i="1"/>
  <c r="CO11" i="1"/>
  <c r="CI11" i="1"/>
  <c r="CC11" i="1"/>
  <c r="BZ11" i="1"/>
  <c r="BY11" i="1"/>
  <c r="BU11" i="1" s="1"/>
  <c r="BV11" i="1"/>
  <c r="BK11" i="1"/>
  <c r="BI11" i="1"/>
  <c r="I9" i="4" s="1"/>
  <c r="BH11" i="1"/>
  <c r="BD11" i="1"/>
  <c r="BB11" i="1"/>
  <c r="AZ11" i="1" s="1"/>
  <c r="AV11" i="1"/>
  <c r="AT11" i="1"/>
  <c r="AL11" i="1" s="1"/>
  <c r="AP11" i="1"/>
  <c r="AO11" i="1"/>
  <c r="AJ11" i="1"/>
  <c r="AC11" i="1"/>
  <c r="X11" i="1"/>
  <c r="U11" i="1"/>
  <c r="T11" i="1"/>
  <c r="GJ12" i="1"/>
  <c r="GF12" i="1"/>
  <c r="GE12" i="1"/>
  <c r="GD12" i="1"/>
  <c r="GC12" i="1"/>
  <c r="GB12" i="1" s="1"/>
  <c r="FW12" i="1"/>
  <c r="FV12" i="1"/>
  <c r="FT12" i="1"/>
  <c r="FS12" i="1" s="1"/>
  <c r="FQ12" i="1"/>
  <c r="FO12" i="1" s="1"/>
  <c r="FP12" i="1"/>
  <c r="FK12" i="1"/>
  <c r="FJ12" i="1" s="1"/>
  <c r="FF12" i="1"/>
  <c r="FC12" i="1"/>
  <c r="EZ12" i="1"/>
  <c r="ET12" i="1"/>
  <c r="EL12" i="1"/>
  <c r="EI12" i="1"/>
  <c r="EH12" i="1"/>
  <c r="EC12" i="1" s="1"/>
  <c r="EB12" i="1"/>
  <c r="DW12" i="1"/>
  <c r="DS12" i="1"/>
  <c r="DR12" i="1"/>
  <c r="DQ12" i="1"/>
  <c r="DM12" i="1"/>
  <c r="DI12" i="1"/>
  <c r="DD12" i="1"/>
  <c r="DA12" i="1"/>
  <c r="CZ12" i="1"/>
  <c r="CX12" i="1"/>
  <c r="CU12" i="1"/>
  <c r="CP12" i="1"/>
  <c r="CO12" i="1"/>
  <c r="CI12" i="1"/>
  <c r="CC12" i="1"/>
  <c r="BZ12" i="1"/>
  <c r="BW12" i="1"/>
  <c r="BU12" i="1" s="1"/>
  <c r="BV12" i="1"/>
  <c r="BN12" i="1"/>
  <c r="BK12" i="1"/>
  <c r="BI12" i="1"/>
  <c r="BD12" i="1"/>
  <c r="AZ12" i="1"/>
  <c r="AV12" i="1"/>
  <c r="AT12" i="1"/>
  <c r="AL12" i="1" s="1"/>
  <c r="AP12" i="1"/>
  <c r="AO12" i="1"/>
  <c r="AJ12" i="1"/>
  <c r="AC12" i="1"/>
  <c r="X12" i="1"/>
  <c r="U12" i="1"/>
  <c r="T12" i="1"/>
  <c r="GE49" i="1"/>
  <c r="GB49" i="1"/>
  <c r="GA49" i="1"/>
  <c r="FV49" i="1" s="1"/>
  <c r="FW49" i="1"/>
  <c r="FS49" i="1"/>
  <c r="FO49" i="1"/>
  <c r="FK49" i="1"/>
  <c r="FJ49" i="1"/>
  <c r="FF49" i="1"/>
  <c r="FC49" i="1"/>
  <c r="FB49" i="1"/>
  <c r="EZ49" i="1"/>
  <c r="EY49" i="1"/>
  <c r="ET49" i="1" s="1"/>
  <c r="EM49" i="1"/>
  <c r="EL49" i="1"/>
  <c r="EI49" i="1"/>
  <c r="EH49" i="1"/>
  <c r="ED49" i="1"/>
  <c r="DW49" i="1"/>
  <c r="DS49" i="1"/>
  <c r="DP49" i="1"/>
  <c r="DO49" i="1"/>
  <c r="DM49" i="1"/>
  <c r="DI49" i="1"/>
  <c r="DG49" i="1"/>
  <c r="DE49" i="1"/>
  <c r="DD49" i="1"/>
  <c r="DB49" i="1"/>
  <c r="CX49" i="1" s="1"/>
  <c r="DA49" i="1"/>
  <c r="CP49" i="1"/>
  <c r="CO49" i="1"/>
  <c r="CI49" i="1"/>
  <c r="CC49" i="1"/>
  <c r="BZ49" i="1"/>
  <c r="BV49" i="1"/>
  <c r="BU49" i="1"/>
  <c r="BK49" i="1"/>
  <c r="BH49" i="1"/>
  <c r="BG49" i="1"/>
  <c r="BD49" i="1" s="1"/>
  <c r="AZ49" i="1"/>
  <c r="AV49" i="1"/>
  <c r="AT49" i="1"/>
  <c r="AP49" i="1"/>
  <c r="AM49" i="1"/>
  <c r="AG49" i="1"/>
  <c r="AC49" i="1" s="1"/>
  <c r="AD49" i="1"/>
  <c r="AJ49" i="1" s="1"/>
  <c r="X49" i="1"/>
  <c r="V49" i="1"/>
  <c r="U49" i="1" s="1"/>
  <c r="GE48" i="1"/>
  <c r="GB48" i="1"/>
  <c r="GA48" i="1"/>
  <c r="FV48" i="1" s="1"/>
  <c r="FW48" i="1"/>
  <c r="FS48" i="1"/>
  <c r="FO48" i="1"/>
  <c r="FK48" i="1"/>
  <c r="FJ48" i="1" s="1"/>
  <c r="FF48" i="1"/>
  <c r="FC48" i="1"/>
  <c r="FB48" i="1"/>
  <c r="EZ48" i="1" s="1"/>
  <c r="EY48" i="1"/>
  <c r="ET48" i="1"/>
  <c r="EM48" i="1"/>
  <c r="EL48" i="1" s="1"/>
  <c r="EI48" i="1"/>
  <c r="EH48" i="1"/>
  <c r="ED48" i="1"/>
  <c r="EC48" i="1" s="1"/>
  <c r="DW48" i="1"/>
  <c r="DS48" i="1"/>
  <c r="DP48" i="1"/>
  <c r="DO48" i="1"/>
  <c r="DM48" i="1" s="1"/>
  <c r="DI48" i="1"/>
  <c r="DG48" i="1"/>
  <c r="DE48" i="1"/>
  <c r="DA48" i="1"/>
  <c r="CX48" i="1"/>
  <c r="CU48" i="1"/>
  <c r="CO48" i="1" s="1"/>
  <c r="CP48" i="1"/>
  <c r="CI48" i="1"/>
  <c r="CC48" i="1"/>
  <c r="BZ48" i="1"/>
  <c r="BY48" i="1"/>
  <c r="BV48" i="1"/>
  <c r="BU48" i="1"/>
  <c r="BK48" i="1"/>
  <c r="BH48" i="1"/>
  <c r="BG48" i="1"/>
  <c r="BD48" i="1"/>
  <c r="AZ48" i="1"/>
  <c r="AV48" i="1"/>
  <c r="AT48" i="1"/>
  <c r="AP48" i="1"/>
  <c r="AM48" i="1"/>
  <c r="AG48" i="1"/>
  <c r="AD48" i="1"/>
  <c r="AJ48" i="1" s="1"/>
  <c r="X48" i="1"/>
  <c r="V48" i="1"/>
  <c r="U48" i="1" s="1"/>
  <c r="GG40" i="1"/>
  <c r="GE40" i="1"/>
  <c r="GB40" i="1"/>
  <c r="GA40" i="1"/>
  <c r="FW40" i="1"/>
  <c r="FV40" i="1"/>
  <c r="FS40" i="1"/>
  <c r="FO40" i="1"/>
  <c r="FJ40" i="1"/>
  <c r="FF40" i="1"/>
  <c r="FC40" i="1"/>
  <c r="FB40" i="1"/>
  <c r="EZ40" i="1" s="1"/>
  <c r="EY40" i="1"/>
  <c r="ET40" i="1" s="1"/>
  <c r="EL40" i="1"/>
  <c r="EI40" i="1"/>
  <c r="EH40" i="1"/>
  <c r="EC40" i="1" s="1"/>
  <c r="EB40" i="1"/>
  <c r="DW40" i="1"/>
  <c r="DS40" i="1"/>
  <c r="DR40" i="1"/>
  <c r="DP40" i="1"/>
  <c r="DM40" i="1"/>
  <c r="DI40" i="1"/>
  <c r="DD40" i="1"/>
  <c r="DA40" i="1"/>
  <c r="CY40" i="1"/>
  <c r="CX40" i="1"/>
  <c r="CW40" i="1"/>
  <c r="CP40" i="1"/>
  <c r="CO40" i="1"/>
  <c r="CN40" i="1"/>
  <c r="CI40" i="1" s="1"/>
  <c r="CC40" i="1"/>
  <c r="BZ40" i="1"/>
  <c r="BV40" i="1"/>
  <c r="BU40" i="1"/>
  <c r="BP40" i="1"/>
  <c r="BK40" i="1"/>
  <c r="BH40" i="1"/>
  <c r="BD40" i="1"/>
  <c r="AZ40" i="1"/>
  <c r="AV40" i="1"/>
  <c r="AP40" i="1"/>
  <c r="AO40" i="1"/>
  <c r="AL40" i="1" s="1"/>
  <c r="AJ40" i="1"/>
  <c r="AC40" i="1"/>
  <c r="X40" i="1"/>
  <c r="V40" i="1"/>
  <c r="U40" i="1"/>
  <c r="T40" i="1"/>
  <c r="GE41" i="1"/>
  <c r="GB41" i="1"/>
  <c r="GA41" i="1"/>
  <c r="FV41" i="1" s="1"/>
  <c r="FW41" i="1"/>
  <c r="FS41" i="1"/>
  <c r="FO41" i="1"/>
  <c r="FJ41" i="1"/>
  <c r="FF41" i="1"/>
  <c r="FC41" i="1"/>
  <c r="FB41" i="1"/>
  <c r="EZ41" i="1"/>
  <c r="ET41" i="1"/>
  <c r="EL41" i="1"/>
  <c r="EI41" i="1"/>
  <c r="EH41" i="1"/>
  <c r="EC41" i="1" s="1"/>
  <c r="EB41" i="1"/>
  <c r="DW41" i="1"/>
  <c r="DS41" i="1"/>
  <c r="DR41" i="1"/>
  <c r="DP41" i="1"/>
  <c r="DM41" i="1"/>
  <c r="DI41" i="1"/>
  <c r="DD41" i="1"/>
  <c r="DA41" i="1"/>
  <c r="CX41" i="1"/>
  <c r="CW41" i="1"/>
  <c r="CO41" i="1" s="1"/>
  <c r="CP41" i="1"/>
  <c r="CI41" i="1"/>
  <c r="CC41" i="1"/>
  <c r="BZ41" i="1"/>
  <c r="BV41" i="1"/>
  <c r="BU41" i="1"/>
  <c r="BP41" i="1"/>
  <c r="BK41" i="1" s="1"/>
  <c r="BH41" i="1"/>
  <c r="BD41" i="1"/>
  <c r="AZ41" i="1"/>
  <c r="AV41" i="1"/>
  <c r="AP41" i="1"/>
  <c r="AO41" i="1"/>
  <c r="AL41" i="1"/>
  <c r="AJ41" i="1"/>
  <c r="AC41" i="1"/>
  <c r="X41" i="1"/>
  <c r="V41" i="1"/>
  <c r="U41" i="1" s="1"/>
  <c r="GE16" i="1"/>
  <c r="GC16" i="1"/>
  <c r="I14" i="4" s="1"/>
  <c r="FW16" i="1"/>
  <c r="FV16" i="1"/>
  <c r="FT16" i="1"/>
  <c r="FS16" i="1" s="1"/>
  <c r="FQ16" i="1"/>
  <c r="FP16" i="1"/>
  <c r="FO16" i="1"/>
  <c r="FJ16" i="1"/>
  <c r="FF16" i="1"/>
  <c r="FC16" i="1"/>
  <c r="EZ16" i="1"/>
  <c r="ET16" i="1"/>
  <c r="EL16" i="1"/>
  <c r="EI16" i="1"/>
  <c r="EC16" i="1"/>
  <c r="EB16" i="1"/>
  <c r="DW16" i="1" s="1"/>
  <c r="DS16" i="1"/>
  <c r="DP16" i="1"/>
  <c r="DO16" i="1"/>
  <c r="DM16" i="1" s="1"/>
  <c r="DI16" i="1"/>
  <c r="DD16" i="1"/>
  <c r="DA16" i="1"/>
  <c r="CZ16" i="1"/>
  <c r="CX16" i="1"/>
  <c r="CP16" i="1"/>
  <c r="CO16" i="1"/>
  <c r="CK16" i="1"/>
  <c r="CI16" i="1"/>
  <c r="CC16" i="1"/>
  <c r="BZ16" i="1"/>
  <c r="BY16" i="1"/>
  <c r="BV16" i="1"/>
  <c r="BU16" i="1"/>
  <c r="BK16" i="1"/>
  <c r="BH16" i="1"/>
  <c r="BD16" i="1"/>
  <c r="BB16" i="1"/>
  <c r="AZ16" i="1" s="1"/>
  <c r="AY16" i="1"/>
  <c r="AV16" i="1" s="1"/>
  <c r="AT16" i="1"/>
  <c r="AS16" i="1"/>
  <c r="AP16" i="1"/>
  <c r="AJ16" i="1"/>
  <c r="AC16" i="1"/>
  <c r="X16" i="1"/>
  <c r="U16" i="1"/>
  <c r="T16" i="1"/>
  <c r="GE27" i="1"/>
  <c r="GB27" i="1"/>
  <c r="FW27" i="1"/>
  <c r="FV27" i="1"/>
  <c r="FS27" i="1"/>
  <c r="FO27" i="1"/>
  <c r="FJ27" i="1"/>
  <c r="FF27" i="1"/>
  <c r="FC27" i="1"/>
  <c r="FB27" i="1"/>
  <c r="EZ27" i="1"/>
  <c r="ET27" i="1"/>
  <c r="EL27" i="1"/>
  <c r="EI27" i="1"/>
  <c r="EC27" i="1"/>
  <c r="EB27" i="1"/>
  <c r="EA27" i="1"/>
  <c r="DS27" i="1"/>
  <c r="DP27" i="1"/>
  <c r="DM27" i="1"/>
  <c r="DI27" i="1"/>
  <c r="DG27" i="1"/>
  <c r="DD27" i="1"/>
  <c r="DA27" i="1"/>
  <c r="CZ27" i="1"/>
  <c r="CX27" i="1"/>
  <c r="CP27" i="1"/>
  <c r="CO27" i="1"/>
  <c r="CI27" i="1"/>
  <c r="CC27" i="1"/>
  <c r="BZ27" i="1"/>
  <c r="BW27" i="1"/>
  <c r="BV27" i="1"/>
  <c r="BU27" i="1"/>
  <c r="BK27" i="1"/>
  <c r="BH27" i="1"/>
  <c r="BD27" i="1"/>
  <c r="AZ27" i="1"/>
  <c r="AV27" i="1"/>
  <c r="AP27" i="1"/>
  <c r="AL27" i="1"/>
  <c r="AJ27" i="1"/>
  <c r="AC27" i="1"/>
  <c r="X27" i="1"/>
  <c r="V27" i="1"/>
  <c r="U27" i="1"/>
  <c r="T27" i="1"/>
  <c r="GE28" i="1"/>
  <c r="GB28" i="1"/>
  <c r="FW28" i="1"/>
  <c r="FV28" i="1"/>
  <c r="FS28" i="1"/>
  <c r="FO28" i="1"/>
  <c r="FJ28" i="1"/>
  <c r="FF28" i="1"/>
  <c r="FC28" i="1"/>
  <c r="FB28" i="1"/>
  <c r="EZ28" i="1"/>
  <c r="ET28" i="1"/>
  <c r="EL28" i="1"/>
  <c r="EI28" i="1"/>
  <c r="EC28" i="1"/>
  <c r="EB28" i="1"/>
  <c r="DW28" i="1" s="1"/>
  <c r="EA28" i="1"/>
  <c r="DS28" i="1"/>
  <c r="DP28" i="1"/>
  <c r="DM28" i="1"/>
  <c r="DI28" i="1"/>
  <c r="DG28" i="1"/>
  <c r="DD28" i="1"/>
  <c r="DC28" i="1"/>
  <c r="CX28" i="1" s="1"/>
  <c r="DA28" i="1"/>
  <c r="CP28" i="1"/>
  <c r="CO28" i="1"/>
  <c r="CI28" i="1"/>
  <c r="CC28" i="1"/>
  <c r="BZ28" i="1"/>
  <c r="BW28" i="1"/>
  <c r="BV28" i="1" s="1"/>
  <c r="BK28" i="1"/>
  <c r="BH28" i="1"/>
  <c r="BD28" i="1"/>
  <c r="BB28" i="1"/>
  <c r="AZ28" i="1"/>
  <c r="AV28" i="1"/>
  <c r="AP28" i="1"/>
  <c r="AM28" i="1"/>
  <c r="AL28" i="1"/>
  <c r="AJ28" i="1"/>
  <c r="AC28" i="1"/>
  <c r="X28" i="1"/>
  <c r="V28" i="1"/>
  <c r="U28" i="1" s="1"/>
  <c r="GE42" i="1"/>
  <c r="GB42" i="1"/>
  <c r="FW42" i="1"/>
  <c r="FV42" i="1"/>
  <c r="FS42" i="1"/>
  <c r="FO42" i="1"/>
  <c r="FN42" i="1"/>
  <c r="FJ42" i="1"/>
  <c r="FF42" i="1"/>
  <c r="FC42" i="1"/>
  <c r="EZ42" i="1"/>
  <c r="ET42" i="1"/>
  <c r="EL42" i="1"/>
  <c r="EI42" i="1"/>
  <c r="EH42" i="1"/>
  <c r="EC42" i="1"/>
  <c r="DW42" i="1"/>
  <c r="DS42" i="1"/>
  <c r="DQ42" i="1"/>
  <c r="DP42" i="1"/>
  <c r="DM42" i="1"/>
  <c r="DI42" i="1"/>
  <c r="DD42" i="1"/>
  <c r="CZ42" i="1"/>
  <c r="CX42" i="1"/>
  <c r="CT42" i="1"/>
  <c r="CP42" i="1" s="1"/>
  <c r="CN42" i="1"/>
  <c r="CI42" i="1"/>
  <c r="CG42" i="1"/>
  <c r="CC42" i="1" s="1"/>
  <c r="BZ42" i="1"/>
  <c r="BV42" i="1"/>
  <c r="BU42" i="1"/>
  <c r="BK42" i="1"/>
  <c r="BH42" i="1"/>
  <c r="BD42" i="1"/>
  <c r="BB42" i="1"/>
  <c r="AZ42" i="1" s="1"/>
  <c r="AV42" i="1"/>
  <c r="AP42" i="1"/>
  <c r="AL42" i="1"/>
  <c r="AD42" i="1"/>
  <c r="AJ42" i="1" s="1"/>
  <c r="AC42" i="1"/>
  <c r="X42" i="1"/>
  <c r="V42" i="1"/>
  <c r="U42" i="1" s="1"/>
  <c r="T42" i="1"/>
  <c r="GE43" i="1"/>
  <c r="GB43" i="1"/>
  <c r="FW43" i="1"/>
  <c r="FV43" i="1"/>
  <c r="FS43" i="1"/>
  <c r="FO43" i="1"/>
  <c r="FN43" i="1"/>
  <c r="FJ43" i="1"/>
  <c r="FF43" i="1"/>
  <c r="FC43" i="1"/>
  <c r="EZ43" i="1"/>
  <c r="ET43" i="1"/>
  <c r="EL43" i="1"/>
  <c r="EI43" i="1"/>
  <c r="EC43" i="1"/>
  <c r="DW43" i="1"/>
  <c r="DS43" i="1"/>
  <c r="DP43" i="1"/>
  <c r="DM43" i="1"/>
  <c r="DI43" i="1"/>
  <c r="DD43" i="1"/>
  <c r="CZ43" i="1"/>
  <c r="CX43" i="1" s="1"/>
  <c r="CU43" i="1"/>
  <c r="CT43" i="1"/>
  <c r="CP43" i="1"/>
  <c r="CN43" i="1"/>
  <c r="CI43" i="1" s="1"/>
  <c r="CG43" i="1"/>
  <c r="CC43" i="1"/>
  <c r="BZ43" i="1"/>
  <c r="BY43" i="1"/>
  <c r="BV43" i="1"/>
  <c r="BU43" i="1"/>
  <c r="BK43" i="1"/>
  <c r="BH43" i="1"/>
  <c r="BD43" i="1"/>
  <c r="AZ43" i="1"/>
  <c r="AV43" i="1"/>
  <c r="AP43" i="1"/>
  <c r="AL43" i="1"/>
  <c r="AD43" i="1"/>
  <c r="AC43" i="1" s="1"/>
  <c r="X43" i="1"/>
  <c r="V43" i="1"/>
  <c r="T43" i="1" s="1"/>
  <c r="U43" i="1"/>
  <c r="GE45" i="1"/>
  <c r="GB45" i="1"/>
  <c r="GA45" i="1"/>
  <c r="FV45" i="1" s="1"/>
  <c r="FW45" i="1"/>
  <c r="FS45" i="1"/>
  <c r="FO45" i="1"/>
  <c r="FN45" i="1"/>
  <c r="FJ45" i="1"/>
  <c r="FF45" i="1"/>
  <c r="FC45" i="1"/>
  <c r="EZ45" i="1"/>
  <c r="ET45" i="1"/>
  <c r="ES45" i="1"/>
  <c r="EL45" i="1"/>
  <c r="EI45" i="1"/>
  <c r="EH45" i="1"/>
  <c r="EE45" i="1"/>
  <c r="EC45" i="1"/>
  <c r="DW45" i="1"/>
  <c r="DS45" i="1"/>
  <c r="DR45" i="1"/>
  <c r="DP45" i="1"/>
  <c r="DM45" i="1"/>
  <c r="DI45" i="1"/>
  <c r="DG45" i="1"/>
  <c r="DD45" i="1"/>
  <c r="CY45" i="1"/>
  <c r="CX45" i="1"/>
  <c r="CU45" i="1"/>
  <c r="CO45" i="1" s="1"/>
  <c r="CP45" i="1"/>
  <c r="CI45" i="1"/>
  <c r="CG45" i="1"/>
  <c r="CC45" i="1"/>
  <c r="BZ45" i="1"/>
  <c r="BV45" i="1"/>
  <c r="BU45" i="1"/>
  <c r="BK45" i="1"/>
  <c r="BH45" i="1"/>
  <c r="BD45" i="1"/>
  <c r="AZ45" i="1"/>
  <c r="AY45" i="1"/>
  <c r="AV45" i="1" s="1"/>
  <c r="AT45" i="1"/>
  <c r="AS45" i="1"/>
  <c r="AP45" i="1"/>
  <c r="AO45" i="1"/>
  <c r="AD45" i="1"/>
  <c r="AC45" i="1" s="1"/>
  <c r="X45" i="1"/>
  <c r="V45" i="1"/>
  <c r="T45" i="1" s="1"/>
  <c r="U45" i="1"/>
  <c r="GE46" i="1"/>
  <c r="GB46" i="1"/>
  <c r="GA46" i="1"/>
  <c r="FV46" i="1" s="1"/>
  <c r="FW46" i="1"/>
  <c r="FS46" i="1"/>
  <c r="FO46" i="1"/>
  <c r="FN46" i="1"/>
  <c r="FJ46" i="1"/>
  <c r="FF46" i="1"/>
  <c r="FC46" i="1"/>
  <c r="FB46" i="1"/>
  <c r="EZ46" i="1"/>
  <c r="ET46" i="1"/>
  <c r="ES46" i="1"/>
  <c r="EL46" i="1" s="1"/>
  <c r="EI46" i="1"/>
  <c r="EH46" i="1"/>
  <c r="EF46" i="1"/>
  <c r="EC46" i="1" s="1"/>
  <c r="EE46" i="1"/>
  <c r="DW46" i="1"/>
  <c r="DS46" i="1"/>
  <c r="DR46" i="1"/>
  <c r="DP46" i="1" s="1"/>
  <c r="DM46" i="1"/>
  <c r="DI46" i="1"/>
  <c r="DG46" i="1"/>
  <c r="DD46" i="1" s="1"/>
  <c r="DA46" i="1"/>
  <c r="CY46" i="1"/>
  <c r="CX46" i="1" s="1"/>
  <c r="CU46" i="1"/>
  <c r="CP46" i="1"/>
  <c r="CO46" i="1"/>
  <c r="CI46" i="1"/>
  <c r="CG46" i="1"/>
  <c r="CC46" i="1" s="1"/>
  <c r="BZ46" i="1"/>
  <c r="BV46" i="1"/>
  <c r="BU46" i="1"/>
  <c r="BK46" i="1"/>
  <c r="BH46" i="1"/>
  <c r="BD46" i="1"/>
  <c r="AZ46" i="1"/>
  <c r="AY46" i="1"/>
  <c r="AV46" i="1"/>
  <c r="AT46" i="1"/>
  <c r="AS46" i="1"/>
  <c r="AP46" i="1" s="1"/>
  <c r="AO46" i="1"/>
  <c r="AD46" i="1"/>
  <c r="AJ46" i="1" s="1"/>
  <c r="AC46" i="1"/>
  <c r="X46" i="1"/>
  <c r="V46" i="1"/>
  <c r="U46" i="1"/>
  <c r="T46" i="1"/>
  <c r="H2" i="1"/>
  <c r="T20" i="1" l="1"/>
  <c r="U20" i="1"/>
  <c r="I10" i="4"/>
  <c r="BV44" i="1"/>
  <c r="BU44" i="1"/>
  <c r="AL16" i="1"/>
  <c r="T49" i="1"/>
  <c r="S49" i="1" s="1"/>
  <c r="AL20" i="1"/>
  <c r="S20" i="1" s="1"/>
  <c r="CO54" i="1"/>
  <c r="CP54" i="1"/>
  <c r="EL36" i="1"/>
  <c r="AP19" i="1"/>
  <c r="BV22" i="1"/>
  <c r="BU22" i="1"/>
  <c r="AL46" i="1"/>
  <c r="CO43" i="1"/>
  <c r="BU28" i="1"/>
  <c r="DD48" i="1"/>
  <c r="AL49" i="1"/>
  <c r="T38" i="1"/>
  <c r="S38" i="1" s="1"/>
  <c r="CX38" i="1"/>
  <c r="I19" i="4"/>
  <c r="BH21" i="1"/>
  <c r="BV54" i="1"/>
  <c r="BV9" i="1"/>
  <c r="ET32" i="1"/>
  <c r="BV35" i="1"/>
  <c r="BU35" i="1"/>
  <c r="BT35" i="1" s="1"/>
  <c r="AL45" i="1"/>
  <c r="DW27" i="1"/>
  <c r="AC48" i="1"/>
  <c r="AL48" i="1"/>
  <c r="EC49" i="1"/>
  <c r="DP12" i="1"/>
  <c r="CI8" i="1"/>
  <c r="BD34" i="1"/>
  <c r="AU34" i="1" s="1"/>
  <c r="BH22" i="1"/>
  <c r="I20" i="4"/>
  <c r="GB53" i="1"/>
  <c r="I51" i="4"/>
  <c r="AL37" i="1"/>
  <c r="T28" i="1"/>
  <c r="AJ45" i="1"/>
  <c r="AJ43" i="1"/>
  <c r="AJ50" i="1"/>
  <c r="CO42" i="1"/>
  <c r="T41" i="1"/>
  <c r="S41" i="1" s="1"/>
  <c r="T48" i="1"/>
  <c r="GB16" i="1"/>
  <c r="BH12" i="1"/>
  <c r="T39" i="1"/>
  <c r="N37" i="4" s="1"/>
  <c r="DP54" i="1"/>
  <c r="GB54" i="1"/>
  <c r="BU52" i="1"/>
  <c r="BU53" i="1"/>
  <c r="BT53" i="1" s="1"/>
  <c r="CX53" i="1"/>
  <c r="AP50" i="1"/>
  <c r="AJ8" i="1"/>
  <c r="BV26" i="1"/>
  <c r="AJ32" i="1"/>
  <c r="BV32" i="1"/>
  <c r="BU36" i="1"/>
  <c r="K17" i="4"/>
  <c r="FE154" i="1"/>
  <c r="FE158" i="1"/>
  <c r="FE166" i="1"/>
  <c r="FE174" i="1"/>
  <c r="S377" i="1"/>
  <c r="M375" i="4" s="1"/>
  <c r="CH388" i="1"/>
  <c r="S482" i="1"/>
  <c r="K49" i="4"/>
  <c r="K11" i="4"/>
  <c r="K23" i="4"/>
  <c r="K53" i="4"/>
  <c r="K54" i="4"/>
  <c r="K56" i="4"/>
  <c r="FE488" i="1"/>
  <c r="S497" i="1"/>
  <c r="AU497" i="1"/>
  <c r="R497" i="1" s="1"/>
  <c r="FE497" i="1"/>
  <c r="FE479" i="1"/>
  <c r="FE467" i="1"/>
  <c r="FE475" i="1"/>
  <c r="FE47" i="1"/>
  <c r="FE299" i="1"/>
  <c r="FE311" i="1"/>
  <c r="FE315" i="1"/>
  <c r="FE319" i="1"/>
  <c r="FE323" i="1"/>
  <c r="FE331" i="1"/>
  <c r="FE371" i="1"/>
  <c r="BT413" i="1"/>
  <c r="FE415" i="1"/>
  <c r="AU416" i="1"/>
  <c r="FE423" i="1"/>
  <c r="AU424" i="1"/>
  <c r="BT425" i="1"/>
  <c r="FE280" i="1"/>
  <c r="K425" i="4"/>
  <c r="FE13" i="1"/>
  <c r="K349" i="4"/>
  <c r="FE68" i="1"/>
  <c r="FE388" i="1"/>
  <c r="FE412" i="1"/>
  <c r="FE440" i="1"/>
  <c r="FE444" i="1"/>
  <c r="FE54" i="1"/>
  <c r="FE104" i="1"/>
  <c r="FE108" i="1"/>
  <c r="S287" i="1"/>
  <c r="M285" i="4" s="1"/>
  <c r="FE67" i="1"/>
  <c r="FE284" i="1"/>
  <c r="FE452" i="1"/>
  <c r="S51" i="1"/>
  <c r="BT33" i="1"/>
  <c r="FE141" i="1"/>
  <c r="BT171" i="1"/>
  <c r="FE209" i="1"/>
  <c r="FE221" i="1"/>
  <c r="FE225" i="1"/>
  <c r="FE229" i="1"/>
  <c r="S375" i="1"/>
  <c r="M373" i="4" s="1"/>
  <c r="BT38" i="1"/>
  <c r="S257" i="1"/>
  <c r="M255" i="4" s="1"/>
  <c r="O375" i="4"/>
  <c r="O383" i="4"/>
  <c r="BT30" i="1"/>
  <c r="BT26" i="1"/>
  <c r="K51" i="4"/>
  <c r="FE45" i="1"/>
  <c r="FE12" i="1"/>
  <c r="FE21" i="1"/>
  <c r="BT54" i="1"/>
  <c r="FE51" i="1"/>
  <c r="FE31" i="1"/>
  <c r="FE254" i="1"/>
  <c r="BT277" i="1"/>
  <c r="O285" i="4"/>
  <c r="FE326" i="1"/>
  <c r="FE346" i="1"/>
  <c r="FE350" i="1"/>
  <c r="FE354" i="1"/>
  <c r="FE374" i="1"/>
  <c r="S161" i="1"/>
  <c r="M159" i="4" s="1"/>
  <c r="AU165" i="1"/>
  <c r="S365" i="1"/>
  <c r="M363" i="4" s="1"/>
  <c r="CH368" i="1"/>
  <c r="AU387" i="1"/>
  <c r="CH387" i="1"/>
  <c r="BT388" i="1"/>
  <c r="CH402" i="1"/>
  <c r="FE410" i="1"/>
  <c r="S411" i="1"/>
  <c r="M409" i="4" s="1"/>
  <c r="S459" i="1"/>
  <c r="M457" i="4" s="1"/>
  <c r="S185" i="1"/>
  <c r="M183" i="4" s="1"/>
  <c r="FE270" i="1"/>
  <c r="S78" i="1"/>
  <c r="M76" i="4" s="1"/>
  <c r="O255" i="4"/>
  <c r="AU372" i="1"/>
  <c r="BT373" i="1"/>
  <c r="O373" i="4"/>
  <c r="O407" i="4"/>
  <c r="BT44" i="1"/>
  <c r="S129" i="1"/>
  <c r="M127" i="4" s="1"/>
  <c r="FE164" i="1"/>
  <c r="FE30" i="1"/>
  <c r="FE75" i="1"/>
  <c r="FE251" i="1"/>
  <c r="FE304" i="1"/>
  <c r="FE340" i="1"/>
  <c r="FE344" i="1"/>
  <c r="FE352" i="1"/>
  <c r="FE356" i="1"/>
  <c r="FE360" i="1"/>
  <c r="FE368" i="1"/>
  <c r="FE382" i="1"/>
  <c r="FE386" i="1"/>
  <c r="FE433" i="1"/>
  <c r="FE437" i="1"/>
  <c r="FE441" i="1"/>
  <c r="FE445" i="1"/>
  <c r="BT34" i="1"/>
  <c r="BT36" i="1"/>
  <c r="S233" i="1"/>
  <c r="M231" i="4" s="1"/>
  <c r="BT32" i="1"/>
  <c r="AU129" i="1"/>
  <c r="AU253" i="1"/>
  <c r="BT254" i="1"/>
  <c r="S495" i="1"/>
  <c r="M493" i="4" s="1"/>
  <c r="FE34" i="1"/>
  <c r="FE73" i="1"/>
  <c r="FE83" i="1"/>
  <c r="S88" i="1"/>
  <c r="M86" i="4" s="1"/>
  <c r="S103" i="1"/>
  <c r="M101" i="4" s="1"/>
  <c r="AU103" i="1"/>
  <c r="S131" i="1"/>
  <c r="M129" i="4" s="1"/>
  <c r="S139" i="1"/>
  <c r="M137" i="4" s="1"/>
  <c r="BT253" i="1"/>
  <c r="FE257" i="1"/>
  <c r="FE348" i="1"/>
  <c r="FE378" i="1"/>
  <c r="S433" i="1"/>
  <c r="M431" i="4" s="1"/>
  <c r="BT439" i="1"/>
  <c r="FE483" i="1"/>
  <c r="BT490" i="1"/>
  <c r="FE492" i="1"/>
  <c r="BT18" i="1"/>
  <c r="S145" i="1"/>
  <c r="M143" i="4" s="1"/>
  <c r="S253" i="1"/>
  <c r="M251" i="4" s="1"/>
  <c r="S307" i="1"/>
  <c r="M305" i="4" s="1"/>
  <c r="FE362" i="1"/>
  <c r="S32" i="1"/>
  <c r="FE49" i="1"/>
  <c r="FE11" i="1"/>
  <c r="FE32" i="1"/>
  <c r="S37" i="1"/>
  <c r="BT37" i="1"/>
  <c r="FE18" i="1"/>
  <c r="K52" i="4"/>
  <c r="FE56" i="1"/>
  <c r="S70" i="1"/>
  <c r="M68" i="4" s="1"/>
  <c r="FE71" i="1"/>
  <c r="FE89" i="1"/>
  <c r="FE128" i="1"/>
  <c r="O127" i="4"/>
  <c r="FE136" i="1"/>
  <c r="S147" i="1"/>
  <c r="M145" i="4" s="1"/>
  <c r="FE204" i="1"/>
  <c r="FE216" i="1"/>
  <c r="FE244" i="1"/>
  <c r="FE252" i="1"/>
  <c r="FE262" i="1"/>
  <c r="S273" i="1"/>
  <c r="M271" i="4" s="1"/>
  <c r="S277" i="1"/>
  <c r="M275" i="4" s="1"/>
  <c r="FE278" i="1"/>
  <c r="FE282" i="1"/>
  <c r="S285" i="1"/>
  <c r="M283" i="4" s="1"/>
  <c r="FE286" i="1"/>
  <c r="BT287" i="1"/>
  <c r="FE293" i="1"/>
  <c r="FE301" i="1"/>
  <c r="S329" i="1"/>
  <c r="M327" i="4" s="1"/>
  <c r="FE426" i="1"/>
  <c r="FE430" i="1"/>
  <c r="FE450" i="1"/>
  <c r="FE458" i="1"/>
  <c r="FE478" i="1"/>
  <c r="BT480" i="1"/>
  <c r="O480" i="4"/>
  <c r="AU109" i="1"/>
  <c r="AU113" i="1"/>
  <c r="CH168" i="1"/>
  <c r="AU467" i="1"/>
  <c r="FE55" i="1"/>
  <c r="CH30" i="1"/>
  <c r="CH108" i="1"/>
  <c r="AU117" i="1"/>
  <c r="CH240" i="1"/>
  <c r="CH254" i="1"/>
  <c r="CH67" i="1"/>
  <c r="CH75" i="1"/>
  <c r="CH124" i="1"/>
  <c r="AU132" i="1"/>
  <c r="AU252" i="1"/>
  <c r="AU438" i="1"/>
  <c r="CH121" i="1"/>
  <c r="AU57" i="1"/>
  <c r="S55" i="1"/>
  <c r="FE15" i="1"/>
  <c r="S57" i="1"/>
  <c r="K15" i="4"/>
  <c r="CH53" i="1"/>
  <c r="FE53" i="1"/>
  <c r="FE17" i="1"/>
  <c r="FE65" i="1"/>
  <c r="FE156" i="1"/>
  <c r="O159" i="4"/>
  <c r="AU161" i="1"/>
  <c r="FE172" i="1"/>
  <c r="FE180" i="1"/>
  <c r="AU181" i="1"/>
  <c r="AU185" i="1"/>
  <c r="O187" i="4"/>
  <c r="AU189" i="1"/>
  <c r="FE192" i="1"/>
  <c r="S201" i="1"/>
  <c r="M199" i="4" s="1"/>
  <c r="CH204" i="1"/>
  <c r="FE223" i="1"/>
  <c r="FE39" i="1"/>
  <c r="N9" i="4"/>
  <c r="FE19" i="1"/>
  <c r="S62" i="1"/>
  <c r="M60" i="4" s="1"/>
  <c r="FE62" i="1"/>
  <c r="S80" i="1"/>
  <c r="M78" i="4" s="1"/>
  <c r="FE80" i="1"/>
  <c r="S84" i="1"/>
  <c r="M82" i="4" s="1"/>
  <c r="CH84" i="1"/>
  <c r="FE84" i="1"/>
  <c r="AU85" i="1"/>
  <c r="FE91" i="1"/>
  <c r="CH93" i="1"/>
  <c r="FE99" i="1"/>
  <c r="S119" i="1"/>
  <c r="M117" i="4" s="1"/>
  <c r="AU145" i="1"/>
  <c r="FE250" i="1"/>
  <c r="S251" i="1"/>
  <c r="M249" i="4" s="1"/>
  <c r="FE268" i="1"/>
  <c r="S361" i="1"/>
  <c r="M359" i="4" s="1"/>
  <c r="S399" i="1"/>
  <c r="M397" i="4" s="1"/>
  <c r="S467" i="1"/>
  <c r="M465" i="4" s="1"/>
  <c r="S485" i="1"/>
  <c r="M483" i="4" s="1"/>
  <c r="AU495" i="1"/>
  <c r="FE69" i="1"/>
  <c r="BT74" i="1"/>
  <c r="FE81" i="1"/>
  <c r="S117" i="1"/>
  <c r="M115" i="4" s="1"/>
  <c r="AU121" i="1"/>
  <c r="BT121" i="1"/>
  <c r="AU123" i="1"/>
  <c r="CH123" i="1"/>
  <c r="BT124" i="1"/>
  <c r="S127" i="1"/>
  <c r="M125" i="4" s="1"/>
  <c r="AU133" i="1"/>
  <c r="FE140" i="1"/>
  <c r="S141" i="1"/>
  <c r="M139" i="4" s="1"/>
  <c r="FE144" i="1"/>
  <c r="O143" i="4"/>
  <c r="CH146" i="1"/>
  <c r="O145" i="4"/>
  <c r="CH152" i="1"/>
  <c r="S157" i="1"/>
  <c r="M155" i="4" s="1"/>
  <c r="CH165" i="1"/>
  <c r="O181" i="4"/>
  <c r="AU183" i="1"/>
  <c r="CH221" i="1"/>
  <c r="CH225" i="1"/>
  <c r="AU230" i="1"/>
  <c r="O231" i="4"/>
  <c r="CH250" i="1"/>
  <c r="S261" i="1"/>
  <c r="M259" i="4" s="1"/>
  <c r="CH264" i="1"/>
  <c r="CH270" i="1"/>
  <c r="CH272" i="1"/>
  <c r="O271" i="4"/>
  <c r="FE290" i="1"/>
  <c r="CH298" i="1"/>
  <c r="S299" i="1"/>
  <c r="M297" i="4" s="1"/>
  <c r="BT315" i="1"/>
  <c r="CH320" i="1"/>
  <c r="FE330" i="1"/>
  <c r="AU332" i="1"/>
  <c r="BT346" i="1"/>
  <c r="CH346" i="1"/>
  <c r="O363" i="4"/>
  <c r="FE396" i="1"/>
  <c r="S449" i="1"/>
  <c r="M447" i="4" s="1"/>
  <c r="S454" i="1"/>
  <c r="M452" i="4" s="1"/>
  <c r="AU455" i="1"/>
  <c r="BT456" i="1"/>
  <c r="FE457" i="1"/>
  <c r="S458" i="1"/>
  <c r="M456" i="4" s="1"/>
  <c r="BT458" i="1"/>
  <c r="AU462" i="1"/>
  <c r="BT463" i="1"/>
  <c r="AU482" i="1"/>
  <c r="S483" i="1"/>
  <c r="M481" i="4" s="1"/>
  <c r="O485" i="4"/>
  <c r="AU487" i="1"/>
  <c r="O495" i="4"/>
  <c r="AU16" i="1"/>
  <c r="AU49" i="1"/>
  <c r="BT49" i="1"/>
  <c r="N15" i="4"/>
  <c r="BT12" i="1"/>
  <c r="FE38" i="1"/>
  <c r="S14" i="1"/>
  <c r="K25" i="4"/>
  <c r="BT17" i="1"/>
  <c r="AU37" i="1"/>
  <c r="BT19" i="1"/>
  <c r="S24" i="1"/>
  <c r="FE24" i="1"/>
  <c r="CH59" i="1"/>
  <c r="FE60" i="1"/>
  <c r="AU61" i="1"/>
  <c r="FE97" i="1"/>
  <c r="S102" i="1"/>
  <c r="M100" i="4" s="1"/>
  <c r="FE106" i="1"/>
  <c r="FE114" i="1"/>
  <c r="FE124" i="1"/>
  <c r="S163" i="1"/>
  <c r="M161" i="4" s="1"/>
  <c r="S183" i="1"/>
  <c r="M181" i="4" s="1"/>
  <c r="S213" i="1"/>
  <c r="M211" i="4" s="1"/>
  <c r="AU213" i="1"/>
  <c r="CH213" i="1"/>
  <c r="CH214" i="1"/>
  <c r="FE214" i="1"/>
  <c r="O213" i="4"/>
  <c r="AU215" i="1"/>
  <c r="FE218" i="1"/>
  <c r="O217" i="4"/>
  <c r="AU219" i="1"/>
  <c r="FE240" i="1"/>
  <c r="FE273" i="1"/>
  <c r="FE292" i="1"/>
  <c r="FE296" i="1"/>
  <c r="O305" i="4"/>
  <c r="FE318" i="1"/>
  <c r="O327" i="4"/>
  <c r="FE336" i="1"/>
  <c r="FE343" i="1"/>
  <c r="AU344" i="1"/>
  <c r="FE365" i="1"/>
  <c r="S389" i="1"/>
  <c r="M387" i="4" s="1"/>
  <c r="CH392" i="1"/>
  <c r="S413" i="1"/>
  <c r="M411" i="4" s="1"/>
  <c r="FE414" i="1"/>
  <c r="CH426" i="1"/>
  <c r="S429" i="1"/>
  <c r="M427" i="4" s="1"/>
  <c r="FE429" i="1"/>
  <c r="O431" i="4"/>
  <c r="FE436" i="1"/>
  <c r="CH440" i="1"/>
  <c r="S443" i="1"/>
  <c r="M441" i="4" s="1"/>
  <c r="FE443" i="1"/>
  <c r="AU444" i="1"/>
  <c r="S447" i="1"/>
  <c r="M445" i="4" s="1"/>
  <c r="BT449" i="1"/>
  <c r="FE451" i="1"/>
  <c r="FE462" i="1"/>
  <c r="FE470" i="1"/>
  <c r="AU471" i="1"/>
  <c r="S477" i="1"/>
  <c r="M475" i="4" s="1"/>
  <c r="BT478" i="1"/>
  <c r="BT493" i="1"/>
  <c r="O493" i="4"/>
  <c r="S43" i="1"/>
  <c r="FE43" i="1"/>
  <c r="BT28" i="1"/>
  <c r="S27" i="1"/>
  <c r="S40" i="1"/>
  <c r="FE40" i="1"/>
  <c r="FE48" i="1"/>
  <c r="AU39" i="1"/>
  <c r="BT6" i="1"/>
  <c r="FE14" i="1"/>
  <c r="BT52" i="1"/>
  <c r="FE52" i="1"/>
  <c r="BT8" i="1"/>
  <c r="CH57" i="1"/>
  <c r="K37" i="4"/>
  <c r="S30" i="1"/>
  <c r="CH34" i="1"/>
  <c r="FE25" i="1"/>
  <c r="S64" i="1"/>
  <c r="M62" i="4" s="1"/>
  <c r="CH65" i="1"/>
  <c r="BT66" i="1"/>
  <c r="FE70" i="1"/>
  <c r="AU71" i="1"/>
  <c r="FE78" i="1"/>
  <c r="CH83" i="1"/>
  <c r="FE88" i="1"/>
  <c r="CH91" i="1"/>
  <c r="FE92" i="1"/>
  <c r="AU93" i="1"/>
  <c r="CH99" i="1"/>
  <c r="FE101" i="1"/>
  <c r="BT103" i="1"/>
  <c r="CH105" i="1"/>
  <c r="S113" i="1"/>
  <c r="M111" i="4" s="1"/>
  <c r="FE116" i="1"/>
  <c r="O115" i="4"/>
  <c r="O117" i="4"/>
  <c r="FE121" i="1"/>
  <c r="BT123" i="1"/>
  <c r="O125" i="4"/>
  <c r="S135" i="1"/>
  <c r="M133" i="4" s="1"/>
  <c r="CH136" i="1"/>
  <c r="O137" i="4"/>
  <c r="CH149" i="1"/>
  <c r="S237" i="1"/>
  <c r="M235" i="4" s="1"/>
  <c r="FE237" i="1"/>
  <c r="AU238" i="1"/>
  <c r="S241" i="1"/>
  <c r="M239" i="4" s="1"/>
  <c r="FE241" i="1"/>
  <c r="AU242" i="1"/>
  <c r="BT243" i="1"/>
  <c r="FE245" i="1"/>
  <c r="FE248" i="1"/>
  <c r="FE269" i="1"/>
  <c r="S283" i="1"/>
  <c r="M281" i="4" s="1"/>
  <c r="O35" i="4"/>
  <c r="S29" i="1"/>
  <c r="BT29" i="1"/>
  <c r="AU63" i="1"/>
  <c r="BT64" i="1"/>
  <c r="S96" i="1"/>
  <c r="M94" i="4" s="1"/>
  <c r="CH97" i="1"/>
  <c r="N96" i="4"/>
  <c r="BT135" i="1"/>
  <c r="O135" i="4"/>
  <c r="BT165" i="1"/>
  <c r="AU167" i="1"/>
  <c r="CH167" i="1"/>
  <c r="BT168" i="1"/>
  <c r="CH173" i="1"/>
  <c r="CH176" i="1"/>
  <c r="S193" i="1"/>
  <c r="M191" i="4" s="1"/>
  <c r="AU193" i="1"/>
  <c r="CH194" i="1"/>
  <c r="O193" i="4"/>
  <c r="AU195" i="1"/>
  <c r="O197" i="4"/>
  <c r="AU199" i="1"/>
  <c r="CH208" i="1"/>
  <c r="O211" i="4"/>
  <c r="BT223" i="1"/>
  <c r="CH223" i="1"/>
  <c r="CH236" i="1"/>
  <c r="S28" i="1"/>
  <c r="O8" i="4"/>
  <c r="S6" i="1"/>
  <c r="CH54" i="1"/>
  <c r="BT24" i="1"/>
  <c r="FE20" i="1"/>
  <c r="FE7" i="1"/>
  <c r="CH15" i="1"/>
  <c r="AU47" i="1"/>
  <c r="CH26" i="1"/>
  <c r="FE10" i="1"/>
  <c r="FE36" i="1"/>
  <c r="FE59" i="1"/>
  <c r="CH61" i="1"/>
  <c r="FE63" i="1"/>
  <c r="S72" i="1"/>
  <c r="M70" i="4" s="1"/>
  <c r="FE72" i="1"/>
  <c r="S74" i="1"/>
  <c r="M72" i="4" s="1"/>
  <c r="AU74" i="1"/>
  <c r="CH74" i="1"/>
  <c r="N73" i="4"/>
  <c r="BT75" i="1"/>
  <c r="CH79" i="1"/>
  <c r="S86" i="1"/>
  <c r="M84" i="4" s="1"/>
  <c r="FE87" i="1"/>
  <c r="BT88" i="1"/>
  <c r="S94" i="1"/>
  <c r="M92" i="4" s="1"/>
  <c r="FE94" i="1"/>
  <c r="AU95" i="1"/>
  <c r="S100" i="1"/>
  <c r="M98" i="4" s="1"/>
  <c r="FE100" i="1"/>
  <c r="S133" i="1"/>
  <c r="M131" i="4" s="1"/>
  <c r="FE134" i="1"/>
  <c r="S143" i="1"/>
  <c r="M141" i="4" s="1"/>
  <c r="FE149" i="1"/>
  <c r="S153" i="1"/>
  <c r="M151" i="4" s="1"/>
  <c r="CH157" i="1"/>
  <c r="FE157" i="1"/>
  <c r="FE160" i="1"/>
  <c r="CH162" i="1"/>
  <c r="O161" i="4"/>
  <c r="FE165" i="1"/>
  <c r="S171" i="1"/>
  <c r="M169" i="4" s="1"/>
  <c r="CH172" i="1"/>
  <c r="AU176" i="1"/>
  <c r="S179" i="1"/>
  <c r="M177" i="4" s="1"/>
  <c r="AU180" i="1"/>
  <c r="CH181" i="1"/>
  <c r="CH182" i="1"/>
  <c r="AU187" i="1"/>
  <c r="BT187" i="1"/>
  <c r="AU192" i="1"/>
  <c r="S217" i="1"/>
  <c r="M215" i="4" s="1"/>
  <c r="CH217" i="1"/>
  <c r="FE217" i="1"/>
  <c r="BT219" i="1"/>
  <c r="AU221" i="1"/>
  <c r="BT221" i="1"/>
  <c r="CH227" i="1"/>
  <c r="CH230" i="1"/>
  <c r="CH234" i="1"/>
  <c r="S239" i="1"/>
  <c r="M237" i="4" s="1"/>
  <c r="S247" i="1"/>
  <c r="M245" i="4" s="1"/>
  <c r="FE247" i="1"/>
  <c r="O249" i="4"/>
  <c r="CH253" i="1"/>
  <c r="FE256" i="1"/>
  <c r="BT257" i="1"/>
  <c r="FE259" i="1"/>
  <c r="AU260" i="1"/>
  <c r="S263" i="1"/>
  <c r="M261" i="4" s="1"/>
  <c r="FE288" i="1"/>
  <c r="S291" i="1"/>
  <c r="M289" i="4" s="1"/>
  <c r="CH294" i="1"/>
  <c r="CH304" i="1"/>
  <c r="CH306" i="1"/>
  <c r="CH322" i="1"/>
  <c r="S325" i="1"/>
  <c r="M323" i="4" s="1"/>
  <c r="CH326" i="1"/>
  <c r="FE328" i="1"/>
  <c r="S339" i="1"/>
  <c r="M337" i="4" s="1"/>
  <c r="BT340" i="1"/>
  <c r="CH340" i="1"/>
  <c r="BT343" i="1"/>
  <c r="CH362" i="1"/>
  <c r="BT368" i="1"/>
  <c r="S371" i="1"/>
  <c r="M369" i="4" s="1"/>
  <c r="S381" i="1"/>
  <c r="M379" i="4" s="1"/>
  <c r="S391" i="1"/>
  <c r="M389" i="4" s="1"/>
  <c r="CH412" i="1"/>
  <c r="CH422" i="1"/>
  <c r="S423" i="1"/>
  <c r="M421" i="4" s="1"/>
  <c r="S437" i="1"/>
  <c r="M435" i="4" s="1"/>
  <c r="S455" i="1"/>
  <c r="M453" i="4" s="1"/>
  <c r="BT475" i="1"/>
  <c r="FE481" i="1"/>
  <c r="BT489" i="1"/>
  <c r="S499" i="1"/>
  <c r="M497" i="4" s="1"/>
  <c r="BT499" i="1"/>
  <c r="FE260" i="1"/>
  <c r="O259" i="4"/>
  <c r="S267" i="1"/>
  <c r="M265" i="4" s="1"/>
  <c r="CH268" i="1"/>
  <c r="AU274" i="1"/>
  <c r="O275" i="4"/>
  <c r="CH282" i="1"/>
  <c r="CH290" i="1"/>
  <c r="AU294" i="1"/>
  <c r="S301" i="1"/>
  <c r="M299" i="4" s="1"/>
  <c r="BT303" i="1"/>
  <c r="S311" i="1"/>
  <c r="M309" i="4" s="1"/>
  <c r="S315" i="1"/>
  <c r="M313" i="4" s="1"/>
  <c r="CH318" i="1"/>
  <c r="S319" i="1"/>
  <c r="M317" i="4" s="1"/>
  <c r="FE322" i="1"/>
  <c r="S323" i="1"/>
  <c r="M321" i="4" s="1"/>
  <c r="AU324" i="1"/>
  <c r="CH336" i="1"/>
  <c r="BT339" i="1"/>
  <c r="CH348" i="1"/>
  <c r="O347" i="4"/>
  <c r="CH352" i="1"/>
  <c r="O351" i="4"/>
  <c r="AU353" i="1"/>
  <c r="CH356" i="1"/>
  <c r="O355" i="4"/>
  <c r="CH360" i="1"/>
  <c r="BT361" i="1"/>
  <c r="O387" i="4"/>
  <c r="S395" i="1"/>
  <c r="M393" i="4" s="1"/>
  <c r="CH396" i="1"/>
  <c r="O397" i="4"/>
  <c r="AU401" i="1"/>
  <c r="CH401" i="1"/>
  <c r="BT402" i="1"/>
  <c r="CH418" i="1"/>
  <c r="CH436" i="1"/>
  <c r="AU446" i="1"/>
  <c r="O447" i="4"/>
  <c r="BT469" i="1"/>
  <c r="BT472" i="1"/>
  <c r="AU475" i="1"/>
  <c r="BT479" i="1"/>
  <c r="S487" i="1"/>
  <c r="M485" i="4" s="1"/>
  <c r="FE489" i="1"/>
  <c r="FE491" i="1"/>
  <c r="BT492" i="1"/>
  <c r="AU493" i="1"/>
  <c r="BT496" i="1"/>
  <c r="BT498" i="1"/>
  <c r="FE148" i="1"/>
  <c r="AU153" i="1"/>
  <c r="CH156" i="1"/>
  <c r="S169" i="1"/>
  <c r="M167" i="4" s="1"/>
  <c r="CH169" i="1"/>
  <c r="FE170" i="1"/>
  <c r="S177" i="1"/>
  <c r="M175" i="4" s="1"/>
  <c r="FE177" i="1"/>
  <c r="FE196" i="1"/>
  <c r="FE208" i="1"/>
  <c r="AU209" i="1"/>
  <c r="AU216" i="1"/>
  <c r="FE230" i="1"/>
  <c r="FE233" i="1"/>
  <c r="FE236" i="1"/>
  <c r="O235" i="4"/>
  <c r="S243" i="1"/>
  <c r="M241" i="4" s="1"/>
  <c r="CH244" i="1"/>
  <c r="FE246" i="1"/>
  <c r="O245" i="4"/>
  <c r="FE258" i="1"/>
  <c r="FE261" i="1"/>
  <c r="AU262" i="1"/>
  <c r="FE264" i="1"/>
  <c r="S265" i="1"/>
  <c r="M263" i="4" s="1"/>
  <c r="FE265" i="1"/>
  <c r="AU266" i="1"/>
  <c r="BT267" i="1"/>
  <c r="FE271" i="1"/>
  <c r="FE277" i="1"/>
  <c r="CH280" i="1"/>
  <c r="FE281" i="1"/>
  <c r="AU282" i="1"/>
  <c r="CH288" i="1"/>
  <c r="BT289" i="1"/>
  <c r="FE298" i="1"/>
  <c r="S305" i="1"/>
  <c r="M303" i="4" s="1"/>
  <c r="FE305" i="1"/>
  <c r="FE308" i="1"/>
  <c r="CH310" i="1"/>
  <c r="FE312" i="1"/>
  <c r="FE316" i="1"/>
  <c r="S327" i="1"/>
  <c r="M325" i="4" s="1"/>
  <c r="FE327" i="1"/>
  <c r="S333" i="1"/>
  <c r="M331" i="4" s="1"/>
  <c r="CH334" i="1"/>
  <c r="FE334" i="1"/>
  <c r="FE338" i="1"/>
  <c r="O359" i="4"/>
  <c r="S379" i="1"/>
  <c r="M377" i="4" s="1"/>
  <c r="FE379" i="1"/>
  <c r="AU380" i="1"/>
  <c r="FE389" i="1"/>
  <c r="FE392" i="1"/>
  <c r="S393" i="1"/>
  <c r="M391" i="4" s="1"/>
  <c r="FE393" i="1"/>
  <c r="AU394" i="1"/>
  <c r="FE406" i="1"/>
  <c r="FE416" i="1"/>
  <c r="S425" i="1"/>
  <c r="M423" i="4" s="1"/>
  <c r="CH428" i="1"/>
  <c r="CH432" i="1"/>
  <c r="BT433" i="1"/>
  <c r="BT464" i="1"/>
  <c r="BT470" i="1"/>
  <c r="CH470" i="1"/>
  <c r="BT471" i="1"/>
  <c r="O472" i="4"/>
  <c r="AU474" i="1"/>
  <c r="FE476" i="1"/>
  <c r="AU483" i="1"/>
  <c r="O483" i="4"/>
  <c r="FE487" i="1"/>
  <c r="BT488" i="1"/>
  <c r="BT491" i="1"/>
  <c r="CH39" i="1"/>
  <c r="K21" i="4"/>
  <c r="FE22" i="1"/>
  <c r="BT15" i="1"/>
  <c r="CH50" i="1"/>
  <c r="S60" i="1"/>
  <c r="M58" i="4" s="1"/>
  <c r="AU82" i="1"/>
  <c r="CH87" i="1"/>
  <c r="S92" i="1"/>
  <c r="M90" i="4" s="1"/>
  <c r="CH308" i="1"/>
  <c r="AU41" i="1"/>
  <c r="CH22" i="1"/>
  <c r="AU54" i="1"/>
  <c r="AU8" i="1"/>
  <c r="K36" i="4"/>
  <c r="FE58" i="1"/>
  <c r="AU32" i="1"/>
  <c r="R32" i="1" s="1"/>
  <c r="Q32" i="1" s="1"/>
  <c r="CH73" i="1"/>
  <c r="FE77" i="1"/>
  <c r="S109" i="1"/>
  <c r="S121" i="1"/>
  <c r="M119" i="4" s="1"/>
  <c r="CH125" i="1"/>
  <c r="AU197" i="1"/>
  <c r="CH16" i="1"/>
  <c r="O11" i="4"/>
  <c r="K12" i="4"/>
  <c r="BT11" i="1"/>
  <c r="CH20" i="1"/>
  <c r="S15" i="1"/>
  <c r="CH13" i="1"/>
  <c r="BT9" i="1"/>
  <c r="BT58" i="1"/>
  <c r="CH17" i="1"/>
  <c r="AU33" i="1"/>
  <c r="AU23" i="1"/>
  <c r="N57" i="4"/>
  <c r="BT59" i="1"/>
  <c r="CH63" i="1"/>
  <c r="S68" i="1"/>
  <c r="M66" i="4" s="1"/>
  <c r="AU69" i="1"/>
  <c r="CH77" i="1"/>
  <c r="AU79" i="1"/>
  <c r="AU90" i="1"/>
  <c r="N89" i="4"/>
  <c r="CH95" i="1"/>
  <c r="CH116" i="1"/>
  <c r="S165" i="1"/>
  <c r="M163" i="4" s="1"/>
  <c r="S175" i="1"/>
  <c r="M173" i="4" s="1"/>
  <c r="S209" i="1"/>
  <c r="M207" i="4" s="1"/>
  <c r="FE212" i="1"/>
  <c r="K9" i="4"/>
  <c r="CH41" i="1"/>
  <c r="CH69" i="1"/>
  <c r="S82" i="1"/>
  <c r="N81" i="4"/>
  <c r="BT83" i="1"/>
  <c r="CH126" i="1"/>
  <c r="CH198" i="1"/>
  <c r="AU217" i="1"/>
  <c r="O5" i="4"/>
  <c r="BT43" i="1"/>
  <c r="S42" i="1"/>
  <c r="BT27" i="1"/>
  <c r="K10" i="4"/>
  <c r="AU40" i="1"/>
  <c r="BT22" i="1"/>
  <c r="BT14" i="1"/>
  <c r="AU52" i="1"/>
  <c r="AU13" i="1"/>
  <c r="CH51" i="1"/>
  <c r="CH44" i="1"/>
  <c r="O42" i="4"/>
  <c r="FE33" i="1"/>
  <c r="AU35" i="1"/>
  <c r="S18" i="1"/>
  <c r="S23" i="1"/>
  <c r="CH23" i="1"/>
  <c r="BT72" i="1"/>
  <c r="CH81" i="1"/>
  <c r="BT82" i="1"/>
  <c r="FE85" i="1"/>
  <c r="S90" i="1"/>
  <c r="M88" i="4" s="1"/>
  <c r="CH90" i="1"/>
  <c r="BT91" i="1"/>
  <c r="CH113" i="1"/>
  <c r="FE46" i="1"/>
  <c r="FE42" i="1"/>
  <c r="K8" i="4"/>
  <c r="FE28" i="1"/>
  <c r="CH27" i="1"/>
  <c r="BT16" i="1"/>
  <c r="FE41" i="1"/>
  <c r="S11" i="1"/>
  <c r="AU11" i="1"/>
  <c r="O17" i="4"/>
  <c r="AU38" i="1"/>
  <c r="BT21" i="1"/>
  <c r="FO21" i="1"/>
  <c r="AU6" i="1"/>
  <c r="K24" i="4"/>
  <c r="CH47" i="1"/>
  <c r="FE57" i="1"/>
  <c r="S31" i="1"/>
  <c r="N40" i="4"/>
  <c r="N42" i="4"/>
  <c r="K43" i="4"/>
  <c r="N45" i="4"/>
  <c r="FE37" i="1"/>
  <c r="AU18" i="1"/>
  <c r="BT23" i="1"/>
  <c r="FE61" i="1"/>
  <c r="FE64" i="1"/>
  <c r="S66" i="1"/>
  <c r="M64" i="4" s="1"/>
  <c r="AU66" i="1"/>
  <c r="CH66" i="1"/>
  <c r="N65" i="4"/>
  <c r="BT67" i="1"/>
  <c r="CH71" i="1"/>
  <c r="S76" i="1"/>
  <c r="M74" i="4" s="1"/>
  <c r="CH76" i="1"/>
  <c r="FE76" i="1"/>
  <c r="AU77" i="1"/>
  <c r="FE79" i="1"/>
  <c r="BT80" i="1"/>
  <c r="CH85" i="1"/>
  <c r="FE86" i="1"/>
  <c r="AU87" i="1"/>
  <c r="CH89" i="1"/>
  <c r="BT90" i="1"/>
  <c r="FE93" i="1"/>
  <c r="FE96" i="1"/>
  <c r="S98" i="1"/>
  <c r="M96" i="4" s="1"/>
  <c r="AU98" i="1"/>
  <c r="CH98" i="1"/>
  <c r="N97" i="4"/>
  <c r="BT99" i="1"/>
  <c r="CH103" i="1"/>
  <c r="CH104" i="1"/>
  <c r="S111" i="1"/>
  <c r="M109" i="4" s="1"/>
  <c r="AU112" i="1"/>
  <c r="FE120" i="1"/>
  <c r="CH133" i="1"/>
  <c r="AU149" i="1"/>
  <c r="BT149" i="1"/>
  <c r="AU151" i="1"/>
  <c r="CH151" i="1"/>
  <c r="BT152" i="1"/>
  <c r="S155" i="1"/>
  <c r="M153" i="4" s="1"/>
  <c r="CH160" i="1"/>
  <c r="AU169" i="1"/>
  <c r="AU177" i="1"/>
  <c r="S187" i="1"/>
  <c r="CH205" i="1"/>
  <c r="FE206" i="1"/>
  <c r="FE220" i="1"/>
  <c r="CH222" i="1"/>
  <c r="CH228" i="1"/>
  <c r="BT229" i="1"/>
  <c r="FE232" i="1"/>
  <c r="S235" i="1"/>
  <c r="M233" i="4" s="1"/>
  <c r="AU235" i="1"/>
  <c r="CH235" i="1"/>
  <c r="BT236" i="1"/>
  <c r="CH239" i="1"/>
  <c r="BT240" i="1"/>
  <c r="CH246" i="1"/>
  <c r="S249" i="1"/>
  <c r="AU249" i="1"/>
  <c r="CH249" i="1"/>
  <c r="BT250" i="1"/>
  <c r="CH256" i="1"/>
  <c r="S259" i="1"/>
  <c r="M257" i="4" s="1"/>
  <c r="CH263" i="1"/>
  <c r="BT264" i="1"/>
  <c r="FE276" i="1"/>
  <c r="S281" i="1"/>
  <c r="M279" i="4" s="1"/>
  <c r="CH286" i="1"/>
  <c r="S293" i="1"/>
  <c r="M291" i="4" s="1"/>
  <c r="O297" i="4"/>
  <c r="CH302" i="1"/>
  <c r="FE302" i="1"/>
  <c r="S309" i="1"/>
  <c r="M307" i="4" s="1"/>
  <c r="FE309" i="1"/>
  <c r="AU310" i="1"/>
  <c r="CH312" i="1"/>
  <c r="FE314" i="1"/>
  <c r="O313" i="4"/>
  <c r="O317" i="4"/>
  <c r="S321" i="1"/>
  <c r="M319" i="4" s="1"/>
  <c r="AU321" i="1"/>
  <c r="CH321" i="1"/>
  <c r="BT322" i="1"/>
  <c r="FE324" i="1"/>
  <c r="BT325" i="1"/>
  <c r="CH328" i="1"/>
  <c r="FE329" i="1"/>
  <c r="S331" i="1"/>
  <c r="M329" i="4" s="1"/>
  <c r="S337" i="1"/>
  <c r="M335" i="4" s="1"/>
  <c r="FE337" i="1"/>
  <c r="AU338" i="1"/>
  <c r="CH339" i="1"/>
  <c r="FE342" i="1"/>
  <c r="CH344" i="1"/>
  <c r="CH345" i="1"/>
  <c r="FE349" i="1"/>
  <c r="FE353" i="1"/>
  <c r="FE357" i="1"/>
  <c r="AU358" i="1"/>
  <c r="CH364" i="1"/>
  <c r="S451" i="1"/>
  <c r="M449" i="4" s="1"/>
  <c r="FE95" i="1"/>
  <c r="BT96" i="1"/>
  <c r="CH101" i="1"/>
  <c r="FE102" i="1"/>
  <c r="AU105" i="1"/>
  <c r="BT105" i="1"/>
  <c r="AU107" i="1"/>
  <c r="CH107" i="1"/>
  <c r="BT108" i="1"/>
  <c r="FE112" i="1"/>
  <c r="O111" i="4"/>
  <c r="S115" i="1"/>
  <c r="M113" i="4" s="1"/>
  <c r="AU116" i="1"/>
  <c r="CH120" i="1"/>
  <c r="FE122" i="1"/>
  <c r="AU125" i="1"/>
  <c r="AU128" i="1"/>
  <c r="FE132" i="1"/>
  <c r="O131" i="4"/>
  <c r="O133" i="4"/>
  <c r="CH140" i="1"/>
  <c r="CH141" i="1"/>
  <c r="CH142" i="1"/>
  <c r="O141" i="4"/>
  <c r="S149" i="1"/>
  <c r="M147" i="4" s="1"/>
  <c r="CH153" i="1"/>
  <c r="BT155" i="1"/>
  <c r="S159" i="1"/>
  <c r="M157" i="4" s="1"/>
  <c r="AU160" i="1"/>
  <c r="CH164" i="1"/>
  <c r="FE168" i="1"/>
  <c r="O167" i="4"/>
  <c r="O169" i="4"/>
  <c r="AU173" i="1"/>
  <c r="BT173" i="1"/>
  <c r="CH185" i="1"/>
  <c r="FE188" i="1"/>
  <c r="S189" i="1"/>
  <c r="M187" i="4" s="1"/>
  <c r="CH196" i="1"/>
  <c r="AU201" i="1"/>
  <c r="CH202" i="1"/>
  <c r="O201" i="4"/>
  <c r="AU203" i="1"/>
  <c r="AU205" i="1"/>
  <c r="BT205" i="1"/>
  <c r="CH207" i="1"/>
  <c r="BT208" i="1"/>
  <c r="CH212" i="1"/>
  <c r="S221" i="1"/>
  <c r="M219" i="4" s="1"/>
  <c r="CH226" i="1"/>
  <c r="BT227" i="1"/>
  <c r="CH232" i="1"/>
  <c r="AU234" i="1"/>
  <c r="BT235" i="1"/>
  <c r="BT239" i="1"/>
  <c r="FE242" i="1"/>
  <c r="O241" i="4"/>
  <c r="S245" i="1"/>
  <c r="M243" i="4" s="1"/>
  <c r="AU246" i="1"/>
  <c r="CH248" i="1"/>
  <c r="BT249" i="1"/>
  <c r="BT263" i="1"/>
  <c r="FE266" i="1"/>
  <c r="O265" i="4"/>
  <c r="S269" i="1"/>
  <c r="AU270" i="1"/>
  <c r="S271" i="1"/>
  <c r="M269" i="4" s="1"/>
  <c r="AU272" i="1"/>
  <c r="CH276" i="1"/>
  <c r="S279" i="1"/>
  <c r="M277" i="4" s="1"/>
  <c r="AU279" i="1"/>
  <c r="CH279" i="1"/>
  <c r="BT280" i="1"/>
  <c r="CH284" i="1"/>
  <c r="O283" i="4"/>
  <c r="O289" i="4"/>
  <c r="O293" i="4"/>
  <c r="S297" i="1"/>
  <c r="M295" i="4" s="1"/>
  <c r="AU297" i="1"/>
  <c r="CH297" i="1"/>
  <c r="BT298" i="1"/>
  <c r="AU300" i="1"/>
  <c r="AU306" i="1"/>
  <c r="CH307" i="1"/>
  <c r="BT308" i="1"/>
  <c r="BT311" i="1"/>
  <c r="CH314" i="1"/>
  <c r="S317" i="1"/>
  <c r="M315" i="4" s="1"/>
  <c r="AU317" i="1"/>
  <c r="CH317" i="1"/>
  <c r="BT318" i="1"/>
  <c r="AU320" i="1"/>
  <c r="BT321" i="1"/>
  <c r="CH324" i="1"/>
  <c r="O323" i="4"/>
  <c r="AU328" i="1"/>
  <c r="CH330" i="1"/>
  <c r="O331" i="4"/>
  <c r="S335" i="1"/>
  <c r="M333" i="4" s="1"/>
  <c r="AU335" i="1"/>
  <c r="CH335" i="1"/>
  <c r="BT336" i="1"/>
  <c r="CH350" i="1"/>
  <c r="O349" i="4"/>
  <c r="CH354" i="1"/>
  <c r="O353" i="4"/>
  <c r="AU355" i="1"/>
  <c r="CH358" i="1"/>
  <c r="FE366" i="1"/>
  <c r="S369" i="1"/>
  <c r="M367" i="4" s="1"/>
  <c r="FE369" i="1"/>
  <c r="AU370" i="1"/>
  <c r="S373" i="1"/>
  <c r="M371" i="4" s="1"/>
  <c r="CH378" i="1"/>
  <c r="O379" i="4"/>
  <c r="S417" i="1"/>
  <c r="AU417" i="1"/>
  <c r="CH417" i="1"/>
  <c r="BT418" i="1"/>
  <c r="AU101" i="1"/>
  <c r="S105" i="1"/>
  <c r="M103" i="4" s="1"/>
  <c r="FE105" i="1"/>
  <c r="BT107" i="1"/>
  <c r="CH109" i="1"/>
  <c r="CH110" i="1"/>
  <c r="CH117" i="1"/>
  <c r="FE118" i="1"/>
  <c r="BT119" i="1"/>
  <c r="S125" i="1"/>
  <c r="M123" i="4" s="1"/>
  <c r="CH129" i="1"/>
  <c r="S130" i="1"/>
  <c r="M128" i="4" s="1"/>
  <c r="FE130" i="1"/>
  <c r="CH132" i="1"/>
  <c r="AU137" i="1"/>
  <c r="FE138" i="1"/>
  <c r="BT139" i="1"/>
  <c r="AU141" i="1"/>
  <c r="AU144" i="1"/>
  <c r="CH148" i="1"/>
  <c r="FE150" i="1"/>
  <c r="FE152" i="1"/>
  <c r="O151" i="4"/>
  <c r="O153" i="4"/>
  <c r="AU157" i="1"/>
  <c r="BT157" i="1"/>
  <c r="K166" i="4"/>
  <c r="S173" i="1"/>
  <c r="M171" i="4" s="1"/>
  <c r="FE173" i="1"/>
  <c r="FE176" i="1"/>
  <c r="O175" i="4"/>
  <c r="CH178" i="1"/>
  <c r="O177" i="4"/>
  <c r="FE186" i="1"/>
  <c r="CH188" i="1"/>
  <c r="CH189" i="1"/>
  <c r="CH190" i="1"/>
  <c r="FE190" i="1"/>
  <c r="O189" i="4"/>
  <c r="AU191" i="1"/>
  <c r="O195" i="4"/>
  <c r="FE200" i="1"/>
  <c r="S205" i="1"/>
  <c r="M203" i="4" s="1"/>
  <c r="FE205" i="1"/>
  <c r="BT207" i="1"/>
  <c r="CH209" i="1"/>
  <c r="S211" i="1"/>
  <c r="M209" i="4" s="1"/>
  <c r="AU212" i="1"/>
  <c r="CH216" i="1"/>
  <c r="CH220" i="1"/>
  <c r="CH224" i="1"/>
  <c r="BT225" i="1"/>
  <c r="FE227" i="1"/>
  <c r="BT231" i="1"/>
  <c r="FE231" i="1"/>
  <c r="AU232" i="1"/>
  <c r="FE234" i="1"/>
  <c r="CH238" i="1"/>
  <c r="O237" i="4"/>
  <c r="CH242" i="1"/>
  <c r="FE243" i="1"/>
  <c r="BT247" i="1"/>
  <c r="CH252" i="1"/>
  <c r="S255" i="1"/>
  <c r="M253" i="4" s="1"/>
  <c r="FE255" i="1"/>
  <c r="AU256" i="1"/>
  <c r="CH258" i="1"/>
  <c r="CH262" i="1"/>
  <c r="O261" i="4"/>
  <c r="CH266" i="1"/>
  <c r="FE267" i="1"/>
  <c r="BT270" i="1"/>
  <c r="FE274" i="1"/>
  <c r="S275" i="1"/>
  <c r="M273" i="4" s="1"/>
  <c r="FE275" i="1"/>
  <c r="AU276" i="1"/>
  <c r="CH278" i="1"/>
  <c r="BT279" i="1"/>
  <c r="O281" i="4"/>
  <c r="CH287" i="1"/>
  <c r="BT288" i="1"/>
  <c r="AU289" i="1"/>
  <c r="CH289" i="1"/>
  <c r="BT290" i="1"/>
  <c r="FE291" i="1"/>
  <c r="FE294" i="1"/>
  <c r="S295" i="1"/>
  <c r="M293" i="4" s="1"/>
  <c r="FE295" i="1"/>
  <c r="BT297" i="1"/>
  <c r="O299" i="4"/>
  <c r="S303" i="1"/>
  <c r="M301" i="4" s="1"/>
  <c r="AU303" i="1"/>
  <c r="CH303" i="1"/>
  <c r="BT304" i="1"/>
  <c r="FE306" i="1"/>
  <c r="BT307" i="1"/>
  <c r="FE310" i="1"/>
  <c r="O309" i="4"/>
  <c r="S313" i="1"/>
  <c r="M311" i="4" s="1"/>
  <c r="FE313" i="1"/>
  <c r="AU314" i="1"/>
  <c r="CH316" i="1"/>
  <c r="BT317" i="1"/>
  <c r="FE320" i="1"/>
  <c r="FE325" i="1"/>
  <c r="BT329" i="1"/>
  <c r="CH332" i="1"/>
  <c r="FE333" i="1"/>
  <c r="AU334" i="1"/>
  <c r="BT335" i="1"/>
  <c r="CH338" i="1"/>
  <c r="O337" i="4"/>
  <c r="CH342" i="1"/>
  <c r="S359" i="1"/>
  <c r="M357" i="4" s="1"/>
  <c r="FE359" i="1"/>
  <c r="AU360" i="1"/>
  <c r="CH361" i="1"/>
  <c r="BT362" i="1"/>
  <c r="BT365" i="1"/>
  <c r="S367" i="1"/>
  <c r="FE367" i="1"/>
  <c r="AU368" i="1"/>
  <c r="CH374" i="1"/>
  <c r="BT377" i="1"/>
  <c r="CH380" i="1"/>
  <c r="CH398" i="1"/>
  <c r="FE398" i="1"/>
  <c r="K400" i="4"/>
  <c r="CH404" i="1"/>
  <c r="FE404" i="1"/>
  <c r="S415" i="1"/>
  <c r="M413" i="4" s="1"/>
  <c r="FE432" i="1"/>
  <c r="S435" i="1"/>
  <c r="AU435" i="1"/>
  <c r="CH435" i="1"/>
  <c r="BT436" i="1"/>
  <c r="FE460" i="1"/>
  <c r="BT461" i="1"/>
  <c r="BT483" i="1"/>
  <c r="CH483" i="1"/>
  <c r="BT485" i="1"/>
  <c r="CH384" i="1"/>
  <c r="AU391" i="1"/>
  <c r="CH391" i="1"/>
  <c r="BT392" i="1"/>
  <c r="BT410" i="1"/>
  <c r="CH410" i="1"/>
  <c r="CH416" i="1"/>
  <c r="S421" i="1"/>
  <c r="M419" i="4" s="1"/>
  <c r="AU421" i="1"/>
  <c r="CH421" i="1"/>
  <c r="BT422" i="1"/>
  <c r="CH438" i="1"/>
  <c r="AU442" i="1"/>
  <c r="S445" i="1"/>
  <c r="M443" i="4" s="1"/>
  <c r="CH448" i="1"/>
  <c r="AU456" i="1"/>
  <c r="BT462" i="1"/>
  <c r="BT465" i="1"/>
  <c r="AU466" i="1"/>
  <c r="BT486" i="1"/>
  <c r="S490" i="1"/>
  <c r="M488" i="4" s="1"/>
  <c r="S492" i="1"/>
  <c r="M490" i="4" s="1"/>
  <c r="S493" i="1"/>
  <c r="M491" i="4" s="1"/>
  <c r="FE499" i="1"/>
  <c r="AU331" i="1"/>
  <c r="O335" i="4"/>
  <c r="S341" i="1"/>
  <c r="M339" i="4" s="1"/>
  <c r="BT341" i="1"/>
  <c r="FE341" i="1"/>
  <c r="AU342" i="1"/>
  <c r="CH347" i="1"/>
  <c r="BT348" i="1"/>
  <c r="FE351" i="1"/>
  <c r="FE355" i="1"/>
  <c r="O357" i="4"/>
  <c r="AU359" i="1"/>
  <c r="S363" i="1"/>
  <c r="M361" i="4" s="1"/>
  <c r="FE363" i="1"/>
  <c r="AU364" i="1"/>
  <c r="CH366" i="1"/>
  <c r="CH370" i="1"/>
  <c r="O369" i="4"/>
  <c r="AU373" i="1"/>
  <c r="CH373" i="1"/>
  <c r="BT374" i="1"/>
  <c r="FE375" i="1"/>
  <c r="AU376" i="1"/>
  <c r="CH377" i="1"/>
  <c r="BT378" i="1"/>
  <c r="S383" i="1"/>
  <c r="M381" i="4" s="1"/>
  <c r="FE383" i="1"/>
  <c r="AU384" i="1"/>
  <c r="S387" i="1"/>
  <c r="M385" i="4" s="1"/>
  <c r="AU390" i="1"/>
  <c r="BT391" i="1"/>
  <c r="O393" i="4"/>
  <c r="FE400" i="1"/>
  <c r="S403" i="1"/>
  <c r="M401" i="4" s="1"/>
  <c r="FE403" i="1"/>
  <c r="AU404" i="1"/>
  <c r="BT405" i="1"/>
  <c r="S407" i="1"/>
  <c r="M405" i="4" s="1"/>
  <c r="FE407" i="1"/>
  <c r="AU408" i="1"/>
  <c r="BT409" i="1"/>
  <c r="FE422" i="1"/>
  <c r="CH425" i="1"/>
  <c r="BT426" i="1"/>
  <c r="AU427" i="1"/>
  <c r="CH427" i="1"/>
  <c r="BT428" i="1"/>
  <c r="FE434" i="1"/>
  <c r="O435" i="4"/>
  <c r="S439" i="1"/>
  <c r="M437" i="4" s="1"/>
  <c r="AU439" i="1"/>
  <c r="CH439" i="1"/>
  <c r="BT440" i="1"/>
  <c r="AU441" i="1"/>
  <c r="FE442" i="1"/>
  <c r="S453" i="1"/>
  <c r="M451" i="4" s="1"/>
  <c r="AU454" i="1"/>
  <c r="FE459" i="1"/>
  <c r="S463" i="1"/>
  <c r="M461" i="4" s="1"/>
  <c r="S466" i="1"/>
  <c r="BT468" i="1"/>
  <c r="S475" i="1"/>
  <c r="M473" i="4" s="1"/>
  <c r="CH475" i="1"/>
  <c r="S478" i="1"/>
  <c r="M476" i="4" s="1"/>
  <c r="AU480" i="1"/>
  <c r="S385" i="1"/>
  <c r="M383" i="4" s="1"/>
  <c r="BT387" i="1"/>
  <c r="AU397" i="1"/>
  <c r="CH397" i="1"/>
  <c r="BT398" i="1"/>
  <c r="CH400" i="1"/>
  <c r="FE402" i="1"/>
  <c r="AU405" i="1"/>
  <c r="BT406" i="1"/>
  <c r="CH406" i="1"/>
  <c r="AU411" i="1"/>
  <c r="CH411" i="1"/>
  <c r="BT412" i="1"/>
  <c r="AU413" i="1"/>
  <c r="BT414" i="1"/>
  <c r="CH414" i="1"/>
  <c r="FE418" i="1"/>
  <c r="S419" i="1"/>
  <c r="M417" i="4" s="1"/>
  <c r="FE419" i="1"/>
  <c r="AU420" i="1"/>
  <c r="BT421" i="1"/>
  <c r="O423" i="4"/>
  <c r="FE428" i="1"/>
  <c r="O427" i="4"/>
  <c r="AU431" i="1"/>
  <c r="CH431" i="1"/>
  <c r="BT432" i="1"/>
  <c r="CH434" i="1"/>
  <c r="BT435" i="1"/>
  <c r="FE438" i="1"/>
  <c r="CH442" i="1"/>
  <c r="CH444" i="1"/>
  <c r="FE446" i="1"/>
  <c r="O445" i="4"/>
  <c r="CH452" i="1"/>
  <c r="FE454" i="1"/>
  <c r="BT455" i="1"/>
  <c r="BT459" i="1"/>
  <c r="CH459" i="1"/>
  <c r="S461" i="1"/>
  <c r="M459" i="4" s="1"/>
  <c r="S462" i="1"/>
  <c r="M460" i="4" s="1"/>
  <c r="FE463" i="1"/>
  <c r="FE465" i="1"/>
  <c r="O464" i="4"/>
  <c r="FE468" i="1"/>
  <c r="AU469" i="1"/>
  <c r="S471" i="1"/>
  <c r="M469" i="4" s="1"/>
  <c r="FE473" i="1"/>
  <c r="S474" i="1"/>
  <c r="M472" i="4" s="1"/>
  <c r="BT474" i="1"/>
  <c r="FE474" i="1"/>
  <c r="AU485" i="1"/>
  <c r="FE485" i="1"/>
  <c r="AU486" i="1"/>
  <c r="BT487" i="1"/>
  <c r="S489" i="1"/>
  <c r="M487" i="4" s="1"/>
  <c r="AU491" i="1"/>
  <c r="BT495" i="1"/>
  <c r="CH495" i="1"/>
  <c r="CH446" i="1"/>
  <c r="FE447" i="1"/>
  <c r="AU448" i="1"/>
  <c r="CH450" i="1"/>
  <c r="BT451" i="1"/>
  <c r="BT454" i="1"/>
  <c r="O456" i="4"/>
  <c r="AU458" i="1"/>
  <c r="AU459" i="1"/>
  <c r="AU464" i="1"/>
  <c r="BT467" i="1"/>
  <c r="CH467" i="1"/>
  <c r="AU472" i="1"/>
  <c r="BT477" i="1"/>
  <c r="AU478" i="1"/>
  <c r="S479" i="1"/>
  <c r="M477" i="4" s="1"/>
  <c r="BT481" i="1"/>
  <c r="BT484" i="1"/>
  <c r="FE484" i="1"/>
  <c r="FE486" i="1"/>
  <c r="AU488" i="1"/>
  <c r="S491" i="1"/>
  <c r="M489" i="4" s="1"/>
  <c r="FE496" i="1"/>
  <c r="AU498" i="1"/>
  <c r="FE498" i="1"/>
  <c r="O497" i="4"/>
  <c r="AU499" i="1"/>
  <c r="CH25" i="1"/>
  <c r="AU10" i="1"/>
  <c r="AU19" i="1"/>
  <c r="CH56" i="1"/>
  <c r="AU56" i="1"/>
  <c r="CH35" i="1"/>
  <c r="CH10" i="1"/>
  <c r="CH180" i="1"/>
  <c r="CH184" i="1"/>
  <c r="FE184" i="1"/>
  <c r="S191" i="1"/>
  <c r="M189" i="4" s="1"/>
  <c r="CH193" i="1"/>
  <c r="FE193" i="1"/>
  <c r="BT195" i="1"/>
  <c r="CH201" i="1"/>
  <c r="FE201" i="1"/>
  <c r="BT203" i="1"/>
  <c r="K92" i="4"/>
  <c r="CH46" i="1"/>
  <c r="AU28" i="1"/>
  <c r="N26" i="4"/>
  <c r="K30" i="4"/>
  <c r="K31" i="4"/>
  <c r="K32" i="4"/>
  <c r="AU9" i="1"/>
  <c r="FE9" i="1"/>
  <c r="CH31" i="1"/>
  <c r="AU44" i="1"/>
  <c r="O47" i="4"/>
  <c r="AU36" i="1"/>
  <c r="CH60" i="1"/>
  <c r="BT61" i="1"/>
  <c r="AU68" i="1"/>
  <c r="N67" i="4"/>
  <c r="AU76" i="1"/>
  <c r="N75" i="4"/>
  <c r="BT77" i="1"/>
  <c r="CH78" i="1"/>
  <c r="AU84" i="1"/>
  <c r="N83" i="4"/>
  <c r="BT85" i="1"/>
  <c r="AU92" i="1"/>
  <c r="CH92" i="1"/>
  <c r="N91" i="4"/>
  <c r="BT93" i="1"/>
  <c r="AU100" i="1"/>
  <c r="CH100" i="1"/>
  <c r="N99" i="4"/>
  <c r="BT101" i="1"/>
  <c r="BT109" i="1"/>
  <c r="CH138" i="1"/>
  <c r="CH177" i="1"/>
  <c r="S46" i="1"/>
  <c r="O4" i="4"/>
  <c r="AU46" i="1"/>
  <c r="AU45" i="1"/>
  <c r="CH45" i="1"/>
  <c r="AU43" i="1"/>
  <c r="K6" i="4"/>
  <c r="K7" i="4"/>
  <c r="CH42" i="1"/>
  <c r="CH28" i="1"/>
  <c r="FE27" i="1"/>
  <c r="BT41" i="1"/>
  <c r="O13" i="4"/>
  <c r="AU48" i="1"/>
  <c r="CH49" i="1"/>
  <c r="BT39" i="1"/>
  <c r="AU21" i="1"/>
  <c r="AL21" i="1" s="1"/>
  <c r="S21" i="1" s="1"/>
  <c r="CH21" i="1"/>
  <c r="O22" i="4"/>
  <c r="FE6" i="1"/>
  <c r="CH7" i="1"/>
  <c r="CH14" i="1"/>
  <c r="S52" i="1"/>
  <c r="AU53" i="1"/>
  <c r="S13" i="1"/>
  <c r="M29" i="4" s="1"/>
  <c r="BT13" i="1"/>
  <c r="BT51" i="1"/>
  <c r="N31" i="4"/>
  <c r="BT50" i="1"/>
  <c r="N32" i="4"/>
  <c r="BT47" i="1"/>
  <c r="CH9" i="1"/>
  <c r="S8" i="1"/>
  <c r="FE8" i="1"/>
  <c r="S58" i="1"/>
  <c r="AU58" i="1"/>
  <c r="CH58" i="1"/>
  <c r="FE29" i="1"/>
  <c r="S44" i="1"/>
  <c r="FE44" i="1"/>
  <c r="AU26" i="1"/>
  <c r="N46" i="4"/>
  <c r="BT10" i="1"/>
  <c r="N47" i="4"/>
  <c r="CH36" i="1"/>
  <c r="AU55" i="1"/>
  <c r="CH55" i="1"/>
  <c r="N53" i="4"/>
  <c r="BT56" i="1"/>
  <c r="AU25" i="1"/>
  <c r="K55" i="4"/>
  <c r="BT60" i="1"/>
  <c r="AU62" i="1"/>
  <c r="CH62" i="1"/>
  <c r="N61" i="4"/>
  <c r="BT63" i="1"/>
  <c r="AU65" i="1"/>
  <c r="K63" i="4"/>
  <c r="BT68" i="1"/>
  <c r="AU70" i="1"/>
  <c r="CH70" i="1"/>
  <c r="N69" i="4"/>
  <c r="BT71" i="1"/>
  <c r="AU73" i="1"/>
  <c r="K71" i="4"/>
  <c r="BT76" i="1"/>
  <c r="AU78" i="1"/>
  <c r="N77" i="4"/>
  <c r="BT79" i="1"/>
  <c r="CH80" i="1"/>
  <c r="AU81" i="1"/>
  <c r="K79" i="4"/>
  <c r="BT84" i="1"/>
  <c r="AU86" i="1"/>
  <c r="CH86" i="1"/>
  <c r="N85" i="4"/>
  <c r="BT87" i="1"/>
  <c r="AU89" i="1"/>
  <c r="K87" i="4"/>
  <c r="BT92" i="1"/>
  <c r="AU94" i="1"/>
  <c r="CH94" i="1"/>
  <c r="N93" i="4"/>
  <c r="BT95" i="1"/>
  <c r="AU97" i="1"/>
  <c r="K95" i="4"/>
  <c r="BT100" i="1"/>
  <c r="AU102" i="1"/>
  <c r="CH102" i="1"/>
  <c r="O103" i="4"/>
  <c r="CH112" i="1"/>
  <c r="BT113" i="1"/>
  <c r="AU115" i="1"/>
  <c r="CH115" i="1"/>
  <c r="BT116" i="1"/>
  <c r="CH118" i="1"/>
  <c r="O119" i="4"/>
  <c r="CH128" i="1"/>
  <c r="BT129" i="1"/>
  <c r="AU131" i="1"/>
  <c r="CH131" i="1"/>
  <c r="BT132" i="1"/>
  <c r="CH134" i="1"/>
  <c r="BT141" i="1"/>
  <c r="CH144" i="1"/>
  <c r="CH154" i="1"/>
  <c r="AU159" i="1"/>
  <c r="CH159" i="1"/>
  <c r="BT160" i="1"/>
  <c r="CH170" i="1"/>
  <c r="AU175" i="1"/>
  <c r="CH175" i="1"/>
  <c r="BT176" i="1"/>
  <c r="O183" i="4"/>
  <c r="S409" i="1"/>
  <c r="M407" i="4" s="1"/>
  <c r="CH43" i="1"/>
  <c r="AU42" i="1"/>
  <c r="CH40" i="1"/>
  <c r="CH48" i="1"/>
  <c r="CH11" i="1"/>
  <c r="N17" i="4"/>
  <c r="BT20" i="1"/>
  <c r="O26" i="4"/>
  <c r="AU51" i="1"/>
  <c r="AU50" i="1"/>
  <c r="FE50" i="1"/>
  <c r="BT57" i="1"/>
  <c r="AU31" i="1"/>
  <c r="O43" i="4"/>
  <c r="CH33" i="1"/>
  <c r="O46" i="4"/>
  <c r="FE35" i="1"/>
  <c r="CH37" i="1"/>
  <c r="CH18" i="1"/>
  <c r="AU60" i="1"/>
  <c r="N59" i="4"/>
  <c r="CH68" i="1"/>
  <c r="BT69" i="1"/>
  <c r="BT125" i="1"/>
  <c r="K175" i="4"/>
  <c r="K4" i="4"/>
  <c r="BT46" i="1"/>
  <c r="N5" i="4"/>
  <c r="BT45" i="1"/>
  <c r="BT42" i="1"/>
  <c r="AU27" i="1"/>
  <c r="N10" i="4"/>
  <c r="FE16" i="1"/>
  <c r="BT40" i="1"/>
  <c r="K13" i="4"/>
  <c r="BT48" i="1"/>
  <c r="AU12" i="1"/>
  <c r="CH12" i="1"/>
  <c r="AU20" i="1"/>
  <c r="K19" i="4"/>
  <c r="CH38" i="1"/>
  <c r="N21" i="4"/>
  <c r="AU22" i="1"/>
  <c r="AL22" i="1" s="1"/>
  <c r="O38" i="4" s="1"/>
  <c r="N22" i="4"/>
  <c r="K22" i="4"/>
  <c r="CH6" i="1"/>
  <c r="S7" i="1"/>
  <c r="AU7" i="1"/>
  <c r="BT7" i="1"/>
  <c r="AU14" i="1"/>
  <c r="AU15" i="1"/>
  <c r="N27" i="4"/>
  <c r="K27" i="4"/>
  <c r="CH52" i="1"/>
  <c r="S53" i="1"/>
  <c r="CH8" i="1"/>
  <c r="AU29" i="1"/>
  <c r="CH29" i="1"/>
  <c r="AU30" i="1"/>
  <c r="K38" i="4"/>
  <c r="BT31" i="1"/>
  <c r="S26" i="1"/>
  <c r="FE26" i="1"/>
  <c r="AU17" i="1"/>
  <c r="CH32" i="1"/>
  <c r="S34" i="1"/>
  <c r="O45" i="4"/>
  <c r="S36" i="1"/>
  <c r="S19" i="1"/>
  <c r="K50" i="4"/>
  <c r="CH19" i="1"/>
  <c r="BT55" i="1"/>
  <c r="AU24" i="1"/>
  <c r="CH24" i="1"/>
  <c r="N55" i="4"/>
  <c r="BT25" i="1"/>
  <c r="FE23" i="1"/>
  <c r="AU59" i="1"/>
  <c r="K57" i="4"/>
  <c r="BT62" i="1"/>
  <c r="AU64" i="1"/>
  <c r="CH64" i="1"/>
  <c r="N63" i="4"/>
  <c r="BT65" i="1"/>
  <c r="FE66" i="1"/>
  <c r="AU67" i="1"/>
  <c r="K65" i="4"/>
  <c r="BT70" i="1"/>
  <c r="AU72" i="1"/>
  <c r="CH72" i="1"/>
  <c r="N71" i="4"/>
  <c r="BT73" i="1"/>
  <c r="FE74" i="1"/>
  <c r="AU75" i="1"/>
  <c r="K73" i="4"/>
  <c r="BT78" i="1"/>
  <c r="AU80" i="1"/>
  <c r="N79" i="4"/>
  <c r="BT81" i="1"/>
  <c r="CH82" i="1"/>
  <c r="FE82" i="1"/>
  <c r="AU83" i="1"/>
  <c r="K81" i="4"/>
  <c r="BT86" i="1"/>
  <c r="AU88" i="1"/>
  <c r="CH88" i="1"/>
  <c r="N87" i="4"/>
  <c r="BT89" i="1"/>
  <c r="FE90" i="1"/>
  <c r="AU91" i="1"/>
  <c r="K89" i="4"/>
  <c r="BT94" i="1"/>
  <c r="AU96" i="1"/>
  <c r="CH96" i="1"/>
  <c r="N95" i="4"/>
  <c r="BT97" i="1"/>
  <c r="FE98" i="1"/>
  <c r="AU99" i="1"/>
  <c r="K97" i="4"/>
  <c r="BT102" i="1"/>
  <c r="AU104" i="1"/>
  <c r="K102" i="4"/>
  <c r="S107" i="1"/>
  <c r="M105" i="4" s="1"/>
  <c r="AU108" i="1"/>
  <c r="K106" i="4"/>
  <c r="O107" i="4"/>
  <c r="FE110" i="1"/>
  <c r="BT111" i="1"/>
  <c r="FE113" i="1"/>
  <c r="BT115" i="1"/>
  <c r="BT117" i="1"/>
  <c r="AU120" i="1"/>
  <c r="K118" i="4"/>
  <c r="S123" i="1"/>
  <c r="M121" i="4" s="1"/>
  <c r="AU124" i="1"/>
  <c r="K122" i="4"/>
  <c r="O123" i="4"/>
  <c r="FE126" i="1"/>
  <c r="BT127" i="1"/>
  <c r="FE129" i="1"/>
  <c r="BT131" i="1"/>
  <c r="BT133" i="1"/>
  <c r="AU136" i="1"/>
  <c r="K134" i="4"/>
  <c r="CH137" i="1"/>
  <c r="FE137" i="1"/>
  <c r="AU139" i="1"/>
  <c r="CH139" i="1"/>
  <c r="BT140" i="1"/>
  <c r="AU143" i="1"/>
  <c r="CH143" i="1"/>
  <c r="CH145" i="1"/>
  <c r="FE146" i="1"/>
  <c r="BT147" i="1"/>
  <c r="S151" i="1"/>
  <c r="M149" i="4" s="1"/>
  <c r="AU152" i="1"/>
  <c r="CH161" i="1"/>
  <c r="FE162" i="1"/>
  <c r="BT163" i="1"/>
  <c r="S167" i="1"/>
  <c r="M165" i="4" s="1"/>
  <c r="AU168" i="1"/>
  <c r="S181" i="1"/>
  <c r="M179" i="4" s="1"/>
  <c r="BT181" i="1"/>
  <c r="CH187" i="1"/>
  <c r="BT188" i="1"/>
  <c r="CH192" i="1"/>
  <c r="O191" i="4"/>
  <c r="CH197" i="1"/>
  <c r="FE197" i="1"/>
  <c r="BT199" i="1"/>
  <c r="O199" i="4"/>
  <c r="CH260" i="1"/>
  <c r="BT209" i="1"/>
  <c r="CH211" i="1"/>
  <c r="BT212" i="1"/>
  <c r="S215" i="1"/>
  <c r="M213" i="4" s="1"/>
  <c r="O215" i="4"/>
  <c r="CH218" i="1"/>
  <c r="CH229" i="1"/>
  <c r="BT230" i="1"/>
  <c r="CH231" i="1"/>
  <c r="BT232" i="1"/>
  <c r="AU241" i="1"/>
  <c r="CH241" i="1"/>
  <c r="BT242" i="1"/>
  <c r="AU245" i="1"/>
  <c r="CH245" i="1"/>
  <c r="BT246" i="1"/>
  <c r="AU255" i="1"/>
  <c r="AU259" i="1"/>
  <c r="BT260" i="1"/>
  <c r="AU265" i="1"/>
  <c r="CH265" i="1"/>
  <c r="S266" i="1"/>
  <c r="M264" i="4" s="1"/>
  <c r="BT266" i="1"/>
  <c r="AU269" i="1"/>
  <c r="CH269" i="1"/>
  <c r="AU271" i="1"/>
  <c r="AU281" i="1"/>
  <c r="CH281" i="1"/>
  <c r="BT282" i="1"/>
  <c r="AU293" i="1"/>
  <c r="CH293" i="1"/>
  <c r="BT294" i="1"/>
  <c r="BT144" i="1"/>
  <c r="BT145" i="1"/>
  <c r="AU148" i="1"/>
  <c r="K146" i="4"/>
  <c r="O147" i="4"/>
  <c r="BT151" i="1"/>
  <c r="BT153" i="1"/>
  <c r="AU156" i="1"/>
  <c r="K154" i="4"/>
  <c r="O155" i="4"/>
  <c r="BT159" i="1"/>
  <c r="BT161" i="1"/>
  <c r="AU164" i="1"/>
  <c r="K162" i="4"/>
  <c r="O163" i="4"/>
  <c r="BT167" i="1"/>
  <c r="BT169" i="1"/>
  <c r="AU172" i="1"/>
  <c r="K170" i="4"/>
  <c r="O171" i="4"/>
  <c r="BT175" i="1"/>
  <c r="BT177" i="1"/>
  <c r="AU179" i="1"/>
  <c r="CH179" i="1"/>
  <c r="BT180" i="1"/>
  <c r="BT183" i="1"/>
  <c r="CH186" i="1"/>
  <c r="O185" i="4"/>
  <c r="BT189" i="1"/>
  <c r="CH191" i="1"/>
  <c r="BT192" i="1"/>
  <c r="S195" i="1"/>
  <c r="AU196" i="1"/>
  <c r="K194" i="4"/>
  <c r="S199" i="1"/>
  <c r="AU200" i="1"/>
  <c r="CH200" i="1"/>
  <c r="S203" i="1"/>
  <c r="AU204" i="1"/>
  <c r="K202" i="4"/>
  <c r="O203" i="4"/>
  <c r="CH206" i="1"/>
  <c r="O205" i="4"/>
  <c r="AU207" i="1"/>
  <c r="BT211" i="1"/>
  <c r="BT213" i="1"/>
  <c r="CH215" i="1"/>
  <c r="BT216" i="1"/>
  <c r="S219" i="1"/>
  <c r="M217" i="4" s="1"/>
  <c r="AU220" i="1"/>
  <c r="K218" i="4"/>
  <c r="O219" i="4"/>
  <c r="BT222" i="1"/>
  <c r="BT224" i="1"/>
  <c r="BT226" i="1"/>
  <c r="BT228" i="1"/>
  <c r="O229" i="4"/>
  <c r="AU233" i="1"/>
  <c r="CH233" i="1"/>
  <c r="BT234" i="1"/>
  <c r="O233" i="4"/>
  <c r="AU237" i="1"/>
  <c r="CH237" i="1"/>
  <c r="BT238" i="1"/>
  <c r="BT241" i="1"/>
  <c r="AU244" i="1"/>
  <c r="K242" i="4"/>
  <c r="BT245" i="1"/>
  <c r="AU247" i="1"/>
  <c r="AU248" i="1"/>
  <c r="K246" i="4"/>
  <c r="O247" i="4"/>
  <c r="AU251" i="1"/>
  <c r="CH251" i="1"/>
  <c r="BT252" i="1"/>
  <c r="O251" i="4"/>
  <c r="CH255" i="1"/>
  <c r="BT256" i="1"/>
  <c r="AU258" i="1"/>
  <c r="K256" i="4"/>
  <c r="BT259" i="1"/>
  <c r="AU261" i="1"/>
  <c r="CH261" i="1"/>
  <c r="BT262" i="1"/>
  <c r="BT265" i="1"/>
  <c r="AU268" i="1"/>
  <c r="K266" i="4"/>
  <c r="BT269" i="1"/>
  <c r="CH271" i="1"/>
  <c r="BT272" i="1"/>
  <c r="CH274" i="1"/>
  <c r="AU275" i="1"/>
  <c r="CH275" i="1"/>
  <c r="BT276" i="1"/>
  <c r="O277" i="4"/>
  <c r="AU283" i="1"/>
  <c r="CH283" i="1"/>
  <c r="BT284" i="1"/>
  <c r="FE285" i="1"/>
  <c r="AU286" i="1"/>
  <c r="CH292" i="1"/>
  <c r="CH296" i="1"/>
  <c r="FE300" i="1"/>
  <c r="K299" i="4"/>
  <c r="FE332" i="1"/>
  <c r="BT104" i="1"/>
  <c r="K103" i="4"/>
  <c r="CH106" i="1"/>
  <c r="FE109" i="1"/>
  <c r="AU111" i="1"/>
  <c r="CH111" i="1"/>
  <c r="BT112" i="1"/>
  <c r="K111" i="4"/>
  <c r="CH114" i="1"/>
  <c r="FE117" i="1"/>
  <c r="AU119" i="1"/>
  <c r="CH119" i="1"/>
  <c r="BT120" i="1"/>
  <c r="K119" i="4"/>
  <c r="CH122" i="1"/>
  <c r="O121" i="4"/>
  <c r="FE125" i="1"/>
  <c r="AU127" i="1"/>
  <c r="CH127" i="1"/>
  <c r="BT128" i="1"/>
  <c r="K127" i="4"/>
  <c r="CH130" i="1"/>
  <c r="O129" i="4"/>
  <c r="FE133" i="1"/>
  <c r="AU135" i="1"/>
  <c r="CH135" i="1"/>
  <c r="BT136" i="1"/>
  <c r="BT137" i="1"/>
  <c r="AU140" i="1"/>
  <c r="K138" i="4"/>
  <c r="O139" i="4"/>
  <c r="FE142" i="1"/>
  <c r="BT143" i="1"/>
  <c r="FE145" i="1"/>
  <c r="AU147" i="1"/>
  <c r="CH147" i="1"/>
  <c r="BT148" i="1"/>
  <c r="K147" i="4"/>
  <c r="CH150" i="1"/>
  <c r="O149" i="4"/>
  <c r="FE153" i="1"/>
  <c r="AU155" i="1"/>
  <c r="CH155" i="1"/>
  <c r="BT156" i="1"/>
  <c r="K155" i="4"/>
  <c r="CH158" i="1"/>
  <c r="O157" i="4"/>
  <c r="FE161" i="1"/>
  <c r="AU163" i="1"/>
  <c r="CH163" i="1"/>
  <c r="BT164" i="1"/>
  <c r="K163" i="4"/>
  <c r="CH166" i="1"/>
  <c r="O165" i="4"/>
  <c r="FE169" i="1"/>
  <c r="AU171" i="1"/>
  <c r="CH171" i="1"/>
  <c r="BT172" i="1"/>
  <c r="K171" i="4"/>
  <c r="CH174" i="1"/>
  <c r="O173" i="4"/>
  <c r="FE178" i="1"/>
  <c r="BT179" i="1"/>
  <c r="O179" i="4"/>
  <c r="FE182" i="1"/>
  <c r="CH183" i="1"/>
  <c r="BT184" i="1"/>
  <c r="BT185" i="1"/>
  <c r="FE189" i="1"/>
  <c r="BT191" i="1"/>
  <c r="BT193" i="1"/>
  <c r="CH195" i="1"/>
  <c r="BT196" i="1"/>
  <c r="BT197" i="1"/>
  <c r="CH199" i="1"/>
  <c r="BT200" i="1"/>
  <c r="BT201" i="1"/>
  <c r="CH203" i="1"/>
  <c r="BT204" i="1"/>
  <c r="K203" i="4"/>
  <c r="S207" i="1"/>
  <c r="M205" i="4" s="1"/>
  <c r="AU208" i="1"/>
  <c r="K206" i="4"/>
  <c r="O207" i="4"/>
  <c r="CH210" i="1"/>
  <c r="FE210" i="1"/>
  <c r="O209" i="4"/>
  <c r="AU211" i="1"/>
  <c r="FE213" i="1"/>
  <c r="BT215" i="1"/>
  <c r="BT217" i="1"/>
  <c r="CH219" i="1"/>
  <c r="BT220" i="1"/>
  <c r="K219" i="4"/>
  <c r="FE222" i="1"/>
  <c r="O221" i="4"/>
  <c r="K221" i="4"/>
  <c r="FE224" i="1"/>
  <c r="O223" i="4"/>
  <c r="K223" i="4"/>
  <c r="FE226" i="1"/>
  <c r="O225" i="4"/>
  <c r="K225" i="4"/>
  <c r="FE228" i="1"/>
  <c r="O227" i="4"/>
  <c r="S231" i="1"/>
  <c r="M229" i="4" s="1"/>
  <c r="BT233" i="1"/>
  <c r="FE235" i="1"/>
  <c r="AU236" i="1"/>
  <c r="K234" i="4"/>
  <c r="BT237" i="1"/>
  <c r="AU239" i="1"/>
  <c r="FE239" i="1"/>
  <c r="AU240" i="1"/>
  <c r="K238" i="4"/>
  <c r="O239" i="4"/>
  <c r="AU243" i="1"/>
  <c r="CH243" i="1"/>
  <c r="BT244" i="1"/>
  <c r="O243" i="4"/>
  <c r="CH247" i="1"/>
  <c r="BT248" i="1"/>
  <c r="FE249" i="1"/>
  <c r="AU250" i="1"/>
  <c r="K248" i="4"/>
  <c r="BT251" i="1"/>
  <c r="FE253" i="1"/>
  <c r="AU254" i="1"/>
  <c r="K252" i="4"/>
  <c r="O253" i="4"/>
  <c r="K253" i="4"/>
  <c r="BT255" i="1"/>
  <c r="AU257" i="1"/>
  <c r="CH257" i="1"/>
  <c r="BT258" i="1"/>
  <c r="O257" i="4"/>
  <c r="BT261" i="1"/>
  <c r="AU263" i="1"/>
  <c r="FE263" i="1"/>
  <c r="AU264" i="1"/>
  <c r="K262" i="4"/>
  <c r="O263" i="4"/>
  <c r="AU267" i="1"/>
  <c r="CH267" i="1"/>
  <c r="BT268" i="1"/>
  <c r="O267" i="4"/>
  <c r="FE272" i="1"/>
  <c r="BT273" i="1"/>
  <c r="BT275" i="1"/>
  <c r="AU278" i="1"/>
  <c r="K276" i="4"/>
  <c r="FE279" i="1"/>
  <c r="AU280" i="1"/>
  <c r="K278" i="4"/>
  <c r="O279" i="4"/>
  <c r="BT283" i="1"/>
  <c r="AU285" i="1"/>
  <c r="CH285" i="1"/>
  <c r="BT286" i="1"/>
  <c r="S289" i="1"/>
  <c r="M287" i="4" s="1"/>
  <c r="FE289" i="1"/>
  <c r="AU290" i="1"/>
  <c r="K288" i="4"/>
  <c r="BT291" i="1"/>
  <c r="K293" i="4"/>
  <c r="BT295" i="1"/>
  <c r="CH300" i="1"/>
  <c r="O303" i="4"/>
  <c r="FE364" i="1"/>
  <c r="AU309" i="1"/>
  <c r="CH309" i="1"/>
  <c r="BT310" i="1"/>
  <c r="AU313" i="1"/>
  <c r="CH313" i="1"/>
  <c r="BT314" i="1"/>
  <c r="AU323" i="1"/>
  <c r="AU327" i="1"/>
  <c r="CH327" i="1"/>
  <c r="BT328" i="1"/>
  <c r="CH331" i="1"/>
  <c r="BT332" i="1"/>
  <c r="CH341" i="1"/>
  <c r="BT342" i="1"/>
  <c r="CH343" i="1"/>
  <c r="BT344" i="1"/>
  <c r="S351" i="1"/>
  <c r="M349" i="4" s="1"/>
  <c r="S357" i="1"/>
  <c r="M355" i="4" s="1"/>
  <c r="BT357" i="1"/>
  <c r="AU363" i="1"/>
  <c r="CH363" i="1"/>
  <c r="BT364" i="1"/>
  <c r="AU367" i="1"/>
  <c r="CH367" i="1"/>
  <c r="AU369" i="1"/>
  <c r="AU379" i="1"/>
  <c r="CH379" i="1"/>
  <c r="BT380" i="1"/>
  <c r="AU383" i="1"/>
  <c r="CH383" i="1"/>
  <c r="BT384" i="1"/>
  <c r="AU393" i="1"/>
  <c r="AU292" i="1"/>
  <c r="K290" i="4"/>
  <c r="BT293" i="1"/>
  <c r="AU295" i="1"/>
  <c r="AU296" i="1"/>
  <c r="K294" i="4"/>
  <c r="O295" i="4"/>
  <c r="AU299" i="1"/>
  <c r="CH299" i="1"/>
  <c r="BT300" i="1"/>
  <c r="BT301" i="1"/>
  <c r="AU302" i="1"/>
  <c r="O301" i="4"/>
  <c r="AU305" i="1"/>
  <c r="CH305" i="1"/>
  <c r="BT306" i="1"/>
  <c r="BT309" i="1"/>
  <c r="AU312" i="1"/>
  <c r="K310" i="4"/>
  <c r="BT313" i="1"/>
  <c r="AU315" i="1"/>
  <c r="AU316" i="1"/>
  <c r="K314" i="4"/>
  <c r="O315" i="4"/>
  <c r="AU319" i="1"/>
  <c r="CH319" i="1"/>
  <c r="BT320" i="1"/>
  <c r="O319" i="4"/>
  <c r="CH323" i="1"/>
  <c r="BT324" i="1"/>
  <c r="AU326" i="1"/>
  <c r="K324" i="4"/>
  <c r="BT327" i="1"/>
  <c r="AU330" i="1"/>
  <c r="K328" i="4"/>
  <c r="O329" i="4"/>
  <c r="BT331" i="1"/>
  <c r="AU333" i="1"/>
  <c r="CH333" i="1"/>
  <c r="BT334" i="1"/>
  <c r="O333" i="4"/>
  <c r="AU337" i="1"/>
  <c r="CH337" i="1"/>
  <c r="BT338" i="1"/>
  <c r="O341" i="4"/>
  <c r="O343" i="4"/>
  <c r="AU345" i="1"/>
  <c r="O345" i="4"/>
  <c r="AU347" i="1"/>
  <c r="S349" i="1"/>
  <c r="M347" i="4" s="1"/>
  <c r="BT349" i="1"/>
  <c r="AU350" i="1"/>
  <c r="BT351" i="1"/>
  <c r="AU352" i="1"/>
  <c r="S353" i="1"/>
  <c r="AU354" i="1"/>
  <c r="S355" i="1"/>
  <c r="AU356" i="1"/>
  <c r="CH357" i="1"/>
  <c r="BT358" i="1"/>
  <c r="CH359" i="1"/>
  <c r="BT360" i="1"/>
  <c r="BT363" i="1"/>
  <c r="AU366" i="1"/>
  <c r="K364" i="4"/>
  <c r="BT367" i="1"/>
  <c r="CH369" i="1"/>
  <c r="BT370" i="1"/>
  <c r="CH372" i="1"/>
  <c r="FE372" i="1"/>
  <c r="CH376" i="1"/>
  <c r="FE376" i="1"/>
  <c r="FE380" i="1"/>
  <c r="CH382" i="1"/>
  <c r="FE384" i="1"/>
  <c r="CH386" i="1"/>
  <c r="CH390" i="1"/>
  <c r="FE390" i="1"/>
  <c r="CH394" i="1"/>
  <c r="FE394" i="1"/>
  <c r="BT395" i="1"/>
  <c r="BT399" i="1"/>
  <c r="O401" i="4"/>
  <c r="S405" i="1"/>
  <c r="K268" i="4"/>
  <c r="O269" i="4"/>
  <c r="K269" i="4"/>
  <c r="BT271" i="1"/>
  <c r="AU273" i="1"/>
  <c r="CH273" i="1"/>
  <c r="BT274" i="1"/>
  <c r="O273" i="4"/>
  <c r="AU277" i="1"/>
  <c r="CH277" i="1"/>
  <c r="BT278" i="1"/>
  <c r="BT281" i="1"/>
  <c r="FE283" i="1"/>
  <c r="AU284" i="1"/>
  <c r="K282" i="4"/>
  <c r="BT285" i="1"/>
  <c r="AU287" i="1"/>
  <c r="FE287" i="1"/>
  <c r="AU288" i="1"/>
  <c r="K286" i="4"/>
  <c r="O287" i="4"/>
  <c r="AU291" i="1"/>
  <c r="CH291" i="1"/>
  <c r="BT292" i="1"/>
  <c r="O291" i="4"/>
  <c r="CH295" i="1"/>
  <c r="BT296" i="1"/>
  <c r="FE297" i="1"/>
  <c r="AU298" i="1"/>
  <c r="K296" i="4"/>
  <c r="BT299" i="1"/>
  <c r="CH301" i="1"/>
  <c r="BT302" i="1"/>
  <c r="FE303" i="1"/>
  <c r="AU304" i="1"/>
  <c r="K302" i="4"/>
  <c r="BT305" i="1"/>
  <c r="AU307" i="1"/>
  <c r="FE307" i="1"/>
  <c r="AU308" i="1"/>
  <c r="K306" i="4"/>
  <c r="O307" i="4"/>
  <c r="AU311" i="1"/>
  <c r="CH311" i="1"/>
  <c r="BT312" i="1"/>
  <c r="O311" i="4"/>
  <c r="CH315" i="1"/>
  <c r="BT316" i="1"/>
  <c r="FE317" i="1"/>
  <c r="AU318" i="1"/>
  <c r="K316" i="4"/>
  <c r="BT319" i="1"/>
  <c r="FE321" i="1"/>
  <c r="AU322" i="1"/>
  <c r="K320" i="4"/>
  <c r="O321" i="4"/>
  <c r="K321" i="4"/>
  <c r="BT323" i="1"/>
  <c r="AU325" i="1"/>
  <c r="CH325" i="1"/>
  <c r="BT326" i="1"/>
  <c r="O325" i="4"/>
  <c r="AU329" i="1"/>
  <c r="CH329" i="1"/>
  <c r="BT330" i="1"/>
  <c r="BT333" i="1"/>
  <c r="FE335" i="1"/>
  <c r="AU336" i="1"/>
  <c r="K334" i="4"/>
  <c r="BT337" i="1"/>
  <c r="AU339" i="1"/>
  <c r="FE339" i="1"/>
  <c r="AU340" i="1"/>
  <c r="K338" i="4"/>
  <c r="O339" i="4"/>
  <c r="S343" i="1"/>
  <c r="M341" i="4" s="1"/>
  <c r="S345" i="1"/>
  <c r="M343" i="4" s="1"/>
  <c r="FE345" i="1"/>
  <c r="AU346" i="1"/>
  <c r="K344" i="4"/>
  <c r="S347" i="1"/>
  <c r="FE347" i="1"/>
  <c r="AU348" i="1"/>
  <c r="K346" i="4"/>
  <c r="CH349" i="1"/>
  <c r="BT350" i="1"/>
  <c r="CH351" i="1"/>
  <c r="BT352" i="1"/>
  <c r="CH353" i="1"/>
  <c r="BT354" i="1"/>
  <c r="CH355" i="1"/>
  <c r="BT356" i="1"/>
  <c r="FE358" i="1"/>
  <c r="BT359" i="1"/>
  <c r="AU361" i="1"/>
  <c r="FE361" i="1"/>
  <c r="AU362" i="1"/>
  <c r="K360" i="4"/>
  <c r="O361" i="4"/>
  <c r="AU365" i="1"/>
  <c r="CH365" i="1"/>
  <c r="BT366" i="1"/>
  <c r="O365" i="4"/>
  <c r="FE370" i="1"/>
  <c r="BT381" i="1"/>
  <c r="K383" i="4"/>
  <c r="BT385" i="1"/>
  <c r="S397" i="1"/>
  <c r="FE397" i="1"/>
  <c r="AU398" i="1"/>
  <c r="S401" i="1"/>
  <c r="M399" i="4" s="1"/>
  <c r="FE401" i="1"/>
  <c r="AU402" i="1"/>
  <c r="CH405" i="1"/>
  <c r="CH408" i="1"/>
  <c r="FE408" i="1"/>
  <c r="K366" i="4"/>
  <c r="O367" i="4"/>
  <c r="K367" i="4"/>
  <c r="BT369" i="1"/>
  <c r="AU371" i="1"/>
  <c r="CH371" i="1"/>
  <c r="BT372" i="1"/>
  <c r="O371" i="4"/>
  <c r="AU375" i="1"/>
  <c r="CH375" i="1"/>
  <c r="BT376" i="1"/>
  <c r="BT379" i="1"/>
  <c r="FE381" i="1"/>
  <c r="AU382" i="1"/>
  <c r="K380" i="4"/>
  <c r="BT383" i="1"/>
  <c r="AU385" i="1"/>
  <c r="FE385" i="1"/>
  <c r="AU386" i="1"/>
  <c r="K384" i="4"/>
  <c r="O385" i="4"/>
  <c r="AU389" i="1"/>
  <c r="CH389" i="1"/>
  <c r="BT390" i="1"/>
  <c r="O389" i="4"/>
  <c r="CH393" i="1"/>
  <c r="BT394" i="1"/>
  <c r="FE395" i="1"/>
  <c r="AU396" i="1"/>
  <c r="K394" i="4"/>
  <c r="BT397" i="1"/>
  <c r="FE399" i="1"/>
  <c r="AU400" i="1"/>
  <c r="K398" i="4"/>
  <c r="O399" i="4"/>
  <c r="K399" i="4"/>
  <c r="BT401" i="1"/>
  <c r="AU403" i="1"/>
  <c r="CH403" i="1"/>
  <c r="BT404" i="1"/>
  <c r="O403" i="4"/>
  <c r="AU407" i="1"/>
  <c r="CH407" i="1"/>
  <c r="BT408" i="1"/>
  <c r="BT411" i="1"/>
  <c r="FE413" i="1"/>
  <c r="AU414" i="1"/>
  <c r="K412" i="4"/>
  <c r="BT415" i="1"/>
  <c r="BT417" i="1"/>
  <c r="AU419" i="1"/>
  <c r="CH419" i="1"/>
  <c r="FE420" i="1"/>
  <c r="FE424" i="1"/>
  <c r="CH430" i="1"/>
  <c r="BT371" i="1"/>
  <c r="FE373" i="1"/>
  <c r="AU374" i="1"/>
  <c r="K372" i="4"/>
  <c r="BT375" i="1"/>
  <c r="AU377" i="1"/>
  <c r="R377" i="1" s="1"/>
  <c r="F375" i="4" s="1"/>
  <c r="FE377" i="1"/>
  <c r="AU378" i="1"/>
  <c r="K376" i="4"/>
  <c r="O377" i="4"/>
  <c r="AU381" i="1"/>
  <c r="CH381" i="1"/>
  <c r="BT382" i="1"/>
  <c r="O381" i="4"/>
  <c r="CH385" i="1"/>
  <c r="BT386" i="1"/>
  <c r="FE387" i="1"/>
  <c r="AU388" i="1"/>
  <c r="K386" i="4"/>
  <c r="BT389" i="1"/>
  <c r="FE391" i="1"/>
  <c r="AU392" i="1"/>
  <c r="K390" i="4"/>
  <c r="O391" i="4"/>
  <c r="K391" i="4"/>
  <c r="BT393" i="1"/>
  <c r="AU395" i="1"/>
  <c r="CH395" i="1"/>
  <c r="BT396" i="1"/>
  <c r="O395" i="4"/>
  <c r="AU399" i="1"/>
  <c r="CH399" i="1"/>
  <c r="BT400" i="1"/>
  <c r="BT403" i="1"/>
  <c r="FE405" i="1"/>
  <c r="AU406" i="1"/>
  <c r="K404" i="4"/>
  <c r="BT407" i="1"/>
  <c r="AU409" i="1"/>
  <c r="FE409" i="1"/>
  <c r="AU410" i="1"/>
  <c r="K408" i="4"/>
  <c r="O409" i="4"/>
  <c r="CH413" i="1"/>
  <c r="O413" i="4"/>
  <c r="O415" i="4"/>
  <c r="CH420" i="1"/>
  <c r="CH424" i="1"/>
  <c r="BT429" i="1"/>
  <c r="O405" i="4"/>
  <c r="CH409" i="1"/>
  <c r="FE411" i="1"/>
  <c r="AU412" i="1"/>
  <c r="K414" i="4"/>
  <c r="FE417" i="1"/>
  <c r="AU418" i="1"/>
  <c r="O417" i="4"/>
  <c r="O421" i="4"/>
  <c r="S427" i="1"/>
  <c r="M425" i="4" s="1"/>
  <c r="FE427" i="1"/>
  <c r="AU428" i="1"/>
  <c r="S431" i="1"/>
  <c r="FE431" i="1"/>
  <c r="AU432" i="1"/>
  <c r="CH441" i="1"/>
  <c r="BT442" i="1"/>
  <c r="AU445" i="1"/>
  <c r="CH445" i="1"/>
  <c r="BT446" i="1"/>
  <c r="S456" i="1"/>
  <c r="M454" i="4" s="1"/>
  <c r="S472" i="1"/>
  <c r="S498" i="1"/>
  <c r="M496" i="4" s="1"/>
  <c r="BT420" i="1"/>
  <c r="O419" i="4"/>
  <c r="AU423" i="1"/>
  <c r="CH423" i="1"/>
  <c r="BT424" i="1"/>
  <c r="BT427" i="1"/>
  <c r="AU430" i="1"/>
  <c r="K428" i="4"/>
  <c r="BT431" i="1"/>
  <c r="AU433" i="1"/>
  <c r="AU434" i="1"/>
  <c r="K432" i="4"/>
  <c r="O433" i="4"/>
  <c r="AU437" i="1"/>
  <c r="CH437" i="1"/>
  <c r="BT438" i="1"/>
  <c r="O437" i="4"/>
  <c r="BT443" i="1"/>
  <c r="BT445" i="1"/>
  <c r="AU447" i="1"/>
  <c r="CH447" i="1"/>
  <c r="BT448" i="1"/>
  <c r="CH451" i="1"/>
  <c r="AU452" i="1"/>
  <c r="K450" i="4"/>
  <c r="BT453" i="1"/>
  <c r="CH454" i="1"/>
  <c r="BT457" i="1"/>
  <c r="BT460" i="1"/>
  <c r="CH462" i="1"/>
  <c r="S469" i="1"/>
  <c r="M467" i="4" s="1"/>
  <c r="AU470" i="1"/>
  <c r="BT473" i="1"/>
  <c r="BT476" i="1"/>
  <c r="CH478" i="1"/>
  <c r="S488" i="1"/>
  <c r="M486" i="4" s="1"/>
  <c r="CH488" i="1"/>
  <c r="CH493" i="1"/>
  <c r="O411" i="4"/>
  <c r="AU415" i="1"/>
  <c r="CH415" i="1"/>
  <c r="BT416" i="1"/>
  <c r="BT419" i="1"/>
  <c r="FE421" i="1"/>
  <c r="AU422" i="1"/>
  <c r="K420" i="4"/>
  <c r="BT423" i="1"/>
  <c r="AU425" i="1"/>
  <c r="FE425" i="1"/>
  <c r="AU426" i="1"/>
  <c r="K424" i="4"/>
  <c r="O425" i="4"/>
  <c r="AU429" i="1"/>
  <c r="CH429" i="1"/>
  <c r="BT430" i="1"/>
  <c r="O429" i="4"/>
  <c r="CH433" i="1"/>
  <c r="BT434" i="1"/>
  <c r="FE435" i="1"/>
  <c r="AU436" i="1"/>
  <c r="K434" i="4"/>
  <c r="BT437" i="1"/>
  <c r="FE439" i="1"/>
  <c r="AU440" i="1"/>
  <c r="K438" i="4"/>
  <c r="S441" i="1"/>
  <c r="M439" i="4" s="1"/>
  <c r="O441" i="4"/>
  <c r="FE448" i="1"/>
  <c r="CH449" i="1"/>
  <c r="BT450" i="1"/>
  <c r="AU451" i="1"/>
  <c r="BT452" i="1"/>
  <c r="O451" i="4"/>
  <c r="FE455" i="1"/>
  <c r="AU461" i="1"/>
  <c r="AU463" i="1"/>
  <c r="S464" i="1"/>
  <c r="M462" i="4" s="1"/>
  <c r="BT466" i="1"/>
  <c r="FE466" i="1"/>
  <c r="S470" i="1"/>
  <c r="M468" i="4" s="1"/>
  <c r="FE471" i="1"/>
  <c r="AU477" i="1"/>
  <c r="AU479" i="1"/>
  <c r="S480" i="1"/>
  <c r="M478" i="4" s="1"/>
  <c r="BT482" i="1"/>
  <c r="FE482" i="1"/>
  <c r="CH485" i="1"/>
  <c r="AU489" i="1"/>
  <c r="CH490" i="1"/>
  <c r="CH492" i="1"/>
  <c r="BT494" i="1"/>
  <c r="FE494" i="1"/>
  <c r="FE495" i="1"/>
  <c r="AU496" i="1"/>
  <c r="BT497" i="1"/>
  <c r="O439" i="4"/>
  <c r="K439" i="4"/>
  <c r="BT441" i="1"/>
  <c r="AU443" i="1"/>
  <c r="CH443" i="1"/>
  <c r="BT444" i="1"/>
  <c r="O443" i="4"/>
  <c r="BT447" i="1"/>
  <c r="AU449" i="1"/>
  <c r="FE449" i="1"/>
  <c r="AU450" i="1"/>
  <c r="K448" i="4"/>
  <c r="O449" i="4"/>
  <c r="AU453" i="1"/>
  <c r="FE453" i="1"/>
  <c r="O452" i="4"/>
  <c r="CH455" i="1"/>
  <c r="FE456" i="1"/>
  <c r="AU457" i="1"/>
  <c r="AU460" i="1"/>
  <c r="FE461" i="1"/>
  <c r="O460" i="4"/>
  <c r="CH463" i="1"/>
  <c r="FE464" i="1"/>
  <c r="AU465" i="1"/>
  <c r="AU468" i="1"/>
  <c r="FE469" i="1"/>
  <c r="O468" i="4"/>
  <c r="CH471" i="1"/>
  <c r="FE472" i="1"/>
  <c r="AU473" i="1"/>
  <c r="AU476" i="1"/>
  <c r="FE477" i="1"/>
  <c r="O476" i="4"/>
  <c r="CH479" i="1"/>
  <c r="FE480" i="1"/>
  <c r="AU481" i="1"/>
  <c r="AU484" i="1"/>
  <c r="S486" i="1"/>
  <c r="M484" i="4" s="1"/>
  <c r="CH486" i="1"/>
  <c r="O491" i="4"/>
  <c r="FE493" i="1"/>
  <c r="AU494" i="1"/>
  <c r="S496" i="1"/>
  <c r="M494" i="4" s="1"/>
  <c r="CH496" i="1"/>
  <c r="CH498" i="1"/>
  <c r="S457" i="1"/>
  <c r="M455" i="4" s="1"/>
  <c r="CH458" i="1"/>
  <c r="S460" i="1"/>
  <c r="S465" i="1"/>
  <c r="M463" i="4" s="1"/>
  <c r="CH466" i="1"/>
  <c r="S468" i="1"/>
  <c r="M466" i="4" s="1"/>
  <c r="S473" i="1"/>
  <c r="M471" i="4" s="1"/>
  <c r="CH474" i="1"/>
  <c r="S476" i="1"/>
  <c r="M474" i="4" s="1"/>
  <c r="S481" i="1"/>
  <c r="M479" i="4" s="1"/>
  <c r="CH482" i="1"/>
  <c r="S484" i="1"/>
  <c r="R484" i="1" s="1"/>
  <c r="CH487" i="1"/>
  <c r="O487" i="4"/>
  <c r="AU490" i="1"/>
  <c r="O489" i="4"/>
  <c r="AU492" i="1"/>
  <c r="S494" i="1"/>
  <c r="M492" i="4" s="1"/>
  <c r="CH494" i="1"/>
  <c r="M13" i="4"/>
  <c r="S17" i="1"/>
  <c r="S33" i="1"/>
  <c r="N124" i="4"/>
  <c r="S126" i="1"/>
  <c r="S137" i="1"/>
  <c r="N140" i="4"/>
  <c r="S142" i="1"/>
  <c r="S146" i="1"/>
  <c r="N144" i="4"/>
  <c r="N148" i="4"/>
  <c r="S150" i="1"/>
  <c r="N152" i="4"/>
  <c r="S154" i="1"/>
  <c r="N160" i="4"/>
  <c r="S162" i="1"/>
  <c r="N168" i="4"/>
  <c r="S170" i="1"/>
  <c r="N176" i="4"/>
  <c r="S178" i="1"/>
  <c r="N180" i="4"/>
  <c r="S182" i="1"/>
  <c r="N184" i="4"/>
  <c r="S186" i="1"/>
  <c r="N188" i="4"/>
  <c r="S190" i="1"/>
  <c r="N192" i="4"/>
  <c r="S194" i="1"/>
  <c r="S197" i="1"/>
  <c r="N196" i="4"/>
  <c r="S198" i="1"/>
  <c r="N200" i="4"/>
  <c r="S202" i="1"/>
  <c r="N204" i="4"/>
  <c r="S206" i="1"/>
  <c r="N234" i="4"/>
  <c r="S236" i="1"/>
  <c r="N250" i="4"/>
  <c r="S252" i="1"/>
  <c r="N7" i="4"/>
  <c r="N8" i="4"/>
  <c r="N20" i="4"/>
  <c r="O24" i="4"/>
  <c r="K33" i="4"/>
  <c r="K34" i="4"/>
  <c r="O37" i="4"/>
  <c r="O39" i="4"/>
  <c r="N43" i="4"/>
  <c r="N49" i="4"/>
  <c r="O49" i="4"/>
  <c r="O52" i="4"/>
  <c r="O54" i="4"/>
  <c r="O56" i="4"/>
  <c r="O58" i="4"/>
  <c r="O60" i="4"/>
  <c r="O62" i="4"/>
  <c r="O64" i="4"/>
  <c r="O66" i="4"/>
  <c r="O68" i="4"/>
  <c r="O70" i="4"/>
  <c r="O72" i="4"/>
  <c r="O74" i="4"/>
  <c r="O76" i="4"/>
  <c r="O78" i="4"/>
  <c r="O80" i="4"/>
  <c r="O82" i="4"/>
  <c r="O84" i="4"/>
  <c r="O86" i="4"/>
  <c r="O88" i="4"/>
  <c r="O90" i="4"/>
  <c r="O92" i="4"/>
  <c r="O94" i="4"/>
  <c r="O96" i="4"/>
  <c r="BT98" i="1"/>
  <c r="O98" i="4"/>
  <c r="O100" i="4"/>
  <c r="N103" i="4"/>
  <c r="N107" i="4"/>
  <c r="N111" i="4"/>
  <c r="N115" i="4"/>
  <c r="N119" i="4"/>
  <c r="N123" i="4"/>
  <c r="N127" i="4"/>
  <c r="N131" i="4"/>
  <c r="N135" i="4"/>
  <c r="N139" i="4"/>
  <c r="N143" i="4"/>
  <c r="N147" i="4"/>
  <c r="N151" i="4"/>
  <c r="N155" i="4"/>
  <c r="N159" i="4"/>
  <c r="N163" i="4"/>
  <c r="N167" i="4"/>
  <c r="N171" i="4"/>
  <c r="N175" i="4"/>
  <c r="N179" i="4"/>
  <c r="FE181" i="1"/>
  <c r="AU184" i="1"/>
  <c r="N183" i="4"/>
  <c r="FE185" i="1"/>
  <c r="AU188" i="1"/>
  <c r="N187" i="4"/>
  <c r="N191" i="4"/>
  <c r="N195" i="4"/>
  <c r="N199" i="4"/>
  <c r="N203" i="4"/>
  <c r="N207" i="4"/>
  <c r="N211" i="4"/>
  <c r="N215" i="4"/>
  <c r="N219" i="4"/>
  <c r="N228" i="4"/>
  <c r="S230" i="1"/>
  <c r="N232" i="4"/>
  <c r="S234" i="1"/>
  <c r="N240" i="4"/>
  <c r="S242" i="1"/>
  <c r="N248" i="4"/>
  <c r="S250" i="1"/>
  <c r="N256" i="4"/>
  <c r="S258" i="1"/>
  <c r="N272" i="4"/>
  <c r="S274" i="1"/>
  <c r="N280" i="4"/>
  <c r="S282" i="1"/>
  <c r="N288" i="4"/>
  <c r="S290" i="1"/>
  <c r="N296" i="4"/>
  <c r="S298" i="1"/>
  <c r="N308" i="4"/>
  <c r="S310" i="1"/>
  <c r="N316" i="4"/>
  <c r="S318" i="1"/>
  <c r="N324" i="4"/>
  <c r="S326" i="1"/>
  <c r="N332" i="4"/>
  <c r="S334" i="1"/>
  <c r="N340" i="4"/>
  <c r="S342" i="1"/>
  <c r="N348" i="4"/>
  <c r="S350" i="1"/>
  <c r="N356" i="4"/>
  <c r="S358" i="1"/>
  <c r="N362" i="4"/>
  <c r="S364" i="1"/>
  <c r="N370" i="4"/>
  <c r="S372" i="1"/>
  <c r="N378" i="4"/>
  <c r="S380" i="1"/>
  <c r="N386" i="4"/>
  <c r="S388" i="1"/>
  <c r="N394" i="4"/>
  <c r="S396" i="1"/>
  <c r="N402" i="4"/>
  <c r="S404" i="1"/>
  <c r="N410" i="4"/>
  <c r="S412" i="1"/>
  <c r="N418" i="4"/>
  <c r="S420" i="1"/>
  <c r="N426" i="4"/>
  <c r="S428" i="1"/>
  <c r="N434" i="4"/>
  <c r="S436" i="1"/>
  <c r="N442" i="4"/>
  <c r="S444" i="1"/>
  <c r="N450" i="4"/>
  <c r="S452" i="1"/>
  <c r="N14" i="4"/>
  <c r="N128" i="4"/>
  <c r="N108" i="4"/>
  <c r="S110" i="1"/>
  <c r="S114" i="1"/>
  <c r="N112" i="4"/>
  <c r="N116" i="4"/>
  <c r="S118" i="1"/>
  <c r="S138" i="1"/>
  <c r="N136" i="4"/>
  <c r="N208" i="4"/>
  <c r="S210" i="1"/>
  <c r="N212" i="4"/>
  <c r="S214" i="1"/>
  <c r="N266" i="4"/>
  <c r="S268" i="1"/>
  <c r="N282" i="4"/>
  <c r="S284" i="1"/>
  <c r="N302" i="4"/>
  <c r="S304" i="1"/>
  <c r="N326" i="4"/>
  <c r="S328" i="1"/>
  <c r="N346" i="4"/>
  <c r="S348" i="1"/>
  <c r="N364" i="4"/>
  <c r="S366" i="1"/>
  <c r="N372" i="4"/>
  <c r="S374" i="1"/>
  <c r="N404" i="4"/>
  <c r="S406" i="1"/>
  <c r="N420" i="4"/>
  <c r="S422" i="1"/>
  <c r="N428" i="4"/>
  <c r="S430" i="1"/>
  <c r="N436" i="4"/>
  <c r="S438" i="1"/>
  <c r="N444" i="4"/>
  <c r="S446" i="1"/>
  <c r="O7" i="4"/>
  <c r="O9" i="4"/>
  <c r="O16" i="4"/>
  <c r="K20" i="4"/>
  <c r="O29" i="4"/>
  <c r="O34" i="4"/>
  <c r="N35" i="4"/>
  <c r="K5" i="4"/>
  <c r="N6" i="4"/>
  <c r="O6" i="4"/>
  <c r="S16" i="1"/>
  <c r="M14" i="4" s="1"/>
  <c r="O10" i="4"/>
  <c r="K14" i="4"/>
  <c r="N16" i="4"/>
  <c r="K16" i="4"/>
  <c r="N18" i="4"/>
  <c r="K18" i="4"/>
  <c r="O23" i="4"/>
  <c r="N24" i="4"/>
  <c r="O25" i="4"/>
  <c r="K26" i="4"/>
  <c r="O28" i="4"/>
  <c r="N29" i="4"/>
  <c r="O30" i="4"/>
  <c r="N34" i="4"/>
  <c r="O36" i="4"/>
  <c r="N38" i="4"/>
  <c r="K42" i="4"/>
  <c r="O44" i="4"/>
  <c r="K44" i="4"/>
  <c r="K45" i="4"/>
  <c r="O48" i="4"/>
  <c r="K48" i="4"/>
  <c r="O50" i="4"/>
  <c r="O51" i="4"/>
  <c r="N52" i="4"/>
  <c r="N54" i="4"/>
  <c r="N56" i="4"/>
  <c r="N58" i="4"/>
  <c r="N60" i="4"/>
  <c r="N62" i="4"/>
  <c r="N64" i="4"/>
  <c r="N66" i="4"/>
  <c r="N68" i="4"/>
  <c r="N70" i="4"/>
  <c r="N72" i="4"/>
  <c r="N74" i="4"/>
  <c r="K74" i="4"/>
  <c r="N76" i="4"/>
  <c r="K76" i="4"/>
  <c r="N78" i="4"/>
  <c r="K78" i="4"/>
  <c r="N80" i="4"/>
  <c r="K80" i="4"/>
  <c r="N82" i="4"/>
  <c r="K82" i="4"/>
  <c r="N84" i="4"/>
  <c r="N86" i="4"/>
  <c r="N88" i="4"/>
  <c r="N90" i="4"/>
  <c r="N92" i="4"/>
  <c r="N94" i="4"/>
  <c r="N98" i="4"/>
  <c r="N100" i="4"/>
  <c r="O101" i="4"/>
  <c r="N102" i="4"/>
  <c r="S104" i="1"/>
  <c r="BT106" i="1"/>
  <c r="O105" i="4"/>
  <c r="N106" i="4"/>
  <c r="S108" i="1"/>
  <c r="BT110" i="1"/>
  <c r="O109" i="4"/>
  <c r="N110" i="4"/>
  <c r="S112" i="1"/>
  <c r="BT114" i="1"/>
  <c r="O113" i="4"/>
  <c r="N114" i="4"/>
  <c r="S116" i="1"/>
  <c r="BT118" i="1"/>
  <c r="N118" i="4"/>
  <c r="S120" i="1"/>
  <c r="BT122" i="1"/>
  <c r="N122" i="4"/>
  <c r="S124" i="1"/>
  <c r="BT126" i="1"/>
  <c r="N126" i="4"/>
  <c r="S128" i="1"/>
  <c r="BT130" i="1"/>
  <c r="N130" i="4"/>
  <c r="S132" i="1"/>
  <c r="BT134" i="1"/>
  <c r="N134" i="4"/>
  <c r="S136" i="1"/>
  <c r="BT138" i="1"/>
  <c r="N138" i="4"/>
  <c r="S140" i="1"/>
  <c r="BT142" i="1"/>
  <c r="N142" i="4"/>
  <c r="S144" i="1"/>
  <c r="BT146" i="1"/>
  <c r="N146" i="4"/>
  <c r="S148" i="1"/>
  <c r="BT150" i="1"/>
  <c r="N150" i="4"/>
  <c r="S152" i="1"/>
  <c r="BT154" i="1"/>
  <c r="N154" i="4"/>
  <c r="S156" i="1"/>
  <c r="BT158" i="1"/>
  <c r="N158" i="4"/>
  <c r="S160" i="1"/>
  <c r="BT162" i="1"/>
  <c r="N162" i="4"/>
  <c r="S164" i="1"/>
  <c r="BT166" i="1"/>
  <c r="N166" i="4"/>
  <c r="S168" i="1"/>
  <c r="BT170" i="1"/>
  <c r="N170" i="4"/>
  <c r="S172" i="1"/>
  <c r="BT174" i="1"/>
  <c r="N174" i="4"/>
  <c r="S176" i="1"/>
  <c r="BT178" i="1"/>
  <c r="N178" i="4"/>
  <c r="S180" i="1"/>
  <c r="BT182" i="1"/>
  <c r="N182" i="4"/>
  <c r="S184" i="1"/>
  <c r="BT186" i="1"/>
  <c r="N186" i="4"/>
  <c r="S188" i="1"/>
  <c r="BT190" i="1"/>
  <c r="N190" i="4"/>
  <c r="S192" i="1"/>
  <c r="BT194" i="1"/>
  <c r="N194" i="4"/>
  <c r="S196" i="1"/>
  <c r="BT198" i="1"/>
  <c r="N198" i="4"/>
  <c r="S200" i="1"/>
  <c r="BT202" i="1"/>
  <c r="N202" i="4"/>
  <c r="S204" i="1"/>
  <c r="BT206" i="1"/>
  <c r="N206" i="4"/>
  <c r="S208" i="1"/>
  <c r="BT210" i="1"/>
  <c r="N210" i="4"/>
  <c r="S212" i="1"/>
  <c r="BT214" i="1"/>
  <c r="N214" i="4"/>
  <c r="S216" i="1"/>
  <c r="BT218" i="1"/>
  <c r="N218" i="4"/>
  <c r="S220" i="1"/>
  <c r="AU222" i="1"/>
  <c r="AU223" i="1"/>
  <c r="AU224" i="1"/>
  <c r="AU225" i="1"/>
  <c r="AU226" i="1"/>
  <c r="AU227" i="1"/>
  <c r="AU228" i="1"/>
  <c r="AU229" i="1"/>
  <c r="N230" i="4"/>
  <c r="S232" i="1"/>
  <c r="N238" i="4"/>
  <c r="S240" i="1"/>
  <c r="N246" i="4"/>
  <c r="S248" i="1"/>
  <c r="N254" i="4"/>
  <c r="S256" i="1"/>
  <c r="N262" i="4"/>
  <c r="S264" i="1"/>
  <c r="N270" i="4"/>
  <c r="S272" i="1"/>
  <c r="N278" i="4"/>
  <c r="S280" i="1"/>
  <c r="N286" i="4"/>
  <c r="S288" i="1"/>
  <c r="N294" i="4"/>
  <c r="S296" i="1"/>
  <c r="N300" i="4"/>
  <c r="S302" i="1"/>
  <c r="N306" i="4"/>
  <c r="S308" i="1"/>
  <c r="N314" i="4"/>
  <c r="S316" i="1"/>
  <c r="N322" i="4"/>
  <c r="S324" i="1"/>
  <c r="N330" i="4"/>
  <c r="S332" i="1"/>
  <c r="N338" i="4"/>
  <c r="S340" i="1"/>
  <c r="AU341" i="1"/>
  <c r="N342" i="4"/>
  <c r="S344" i="1"/>
  <c r="BT345" i="1"/>
  <c r="AU349" i="1"/>
  <c r="N350" i="4"/>
  <c r="S352" i="1"/>
  <c r="BT353" i="1"/>
  <c r="AU357" i="1"/>
  <c r="N360" i="4"/>
  <c r="S362" i="1"/>
  <c r="N368" i="4"/>
  <c r="S370" i="1"/>
  <c r="N376" i="4"/>
  <c r="S378" i="1"/>
  <c r="N384" i="4"/>
  <c r="S386" i="1"/>
  <c r="N392" i="4"/>
  <c r="S394" i="1"/>
  <c r="N400" i="4"/>
  <c r="S402" i="1"/>
  <c r="N408" i="4"/>
  <c r="S410" i="1"/>
  <c r="N416" i="4"/>
  <c r="S418" i="1"/>
  <c r="N424" i="4"/>
  <c r="S426" i="1"/>
  <c r="N432" i="4"/>
  <c r="S434" i="1"/>
  <c r="N440" i="4"/>
  <c r="S442" i="1"/>
  <c r="N448" i="4"/>
  <c r="S450" i="1"/>
  <c r="O453" i="4"/>
  <c r="O457" i="4"/>
  <c r="O461" i="4"/>
  <c r="O465" i="4"/>
  <c r="O469" i="4"/>
  <c r="O473" i="4"/>
  <c r="O477" i="4"/>
  <c r="O481" i="4"/>
  <c r="O27" i="4"/>
  <c r="N264" i="4"/>
  <c r="S10" i="1"/>
  <c r="S35" i="1"/>
  <c r="S106" i="1"/>
  <c r="N104" i="4"/>
  <c r="N120" i="4"/>
  <c r="S122" i="1"/>
  <c r="N132" i="4"/>
  <c r="S134" i="1"/>
  <c r="N156" i="4"/>
  <c r="S158" i="1"/>
  <c r="N164" i="4"/>
  <c r="S166" i="1"/>
  <c r="N172" i="4"/>
  <c r="S174" i="1"/>
  <c r="N216" i="4"/>
  <c r="S218" i="1"/>
  <c r="N242" i="4"/>
  <c r="S244" i="1"/>
  <c r="CH259" i="1"/>
  <c r="N258" i="4"/>
  <c r="S260" i="1"/>
  <c r="N274" i="4"/>
  <c r="S276" i="1"/>
  <c r="N290" i="4"/>
  <c r="S292" i="1"/>
  <c r="N298" i="4"/>
  <c r="S300" i="1"/>
  <c r="N310" i="4"/>
  <c r="S312" i="1"/>
  <c r="N318" i="4"/>
  <c r="S320" i="1"/>
  <c r="N334" i="4"/>
  <c r="S336" i="1"/>
  <c r="N354" i="4"/>
  <c r="S356" i="1"/>
  <c r="N380" i="4"/>
  <c r="S382" i="1"/>
  <c r="N388" i="4"/>
  <c r="S390" i="1"/>
  <c r="N396" i="4"/>
  <c r="S398" i="1"/>
  <c r="N412" i="4"/>
  <c r="S414" i="1"/>
  <c r="N30" i="4"/>
  <c r="N4" i="4"/>
  <c r="S45" i="1"/>
  <c r="N11" i="4"/>
  <c r="N12" i="4"/>
  <c r="O12" i="4"/>
  <c r="N13" i="4"/>
  <c r="S12" i="1"/>
  <c r="O15" i="4"/>
  <c r="N19" i="4"/>
  <c r="N23" i="4"/>
  <c r="N25" i="4"/>
  <c r="S54" i="1"/>
  <c r="N28" i="4"/>
  <c r="K28" i="4"/>
  <c r="K29" i="4"/>
  <c r="S50" i="1"/>
  <c r="O31" i="4"/>
  <c r="S47" i="1"/>
  <c r="O32" i="4"/>
  <c r="S9" i="1"/>
  <c r="O33" i="4"/>
  <c r="K35" i="4"/>
  <c r="N36" i="4"/>
  <c r="K39" i="4"/>
  <c r="K40" i="4"/>
  <c r="N41" i="4"/>
  <c r="K41" i="4"/>
  <c r="N44" i="4"/>
  <c r="K46" i="4"/>
  <c r="K47" i="4"/>
  <c r="N48" i="4"/>
  <c r="N50" i="4"/>
  <c r="S56" i="1"/>
  <c r="O53" i="4"/>
  <c r="S25" i="1"/>
  <c r="O55" i="4"/>
  <c r="S59" i="1"/>
  <c r="O57" i="4"/>
  <c r="S61" i="1"/>
  <c r="O59" i="4"/>
  <c r="S63" i="1"/>
  <c r="O61" i="4"/>
  <c r="S65" i="1"/>
  <c r="O63" i="4"/>
  <c r="S67" i="1"/>
  <c r="O65" i="4"/>
  <c r="S69" i="1"/>
  <c r="O67" i="4"/>
  <c r="S71" i="1"/>
  <c r="O69" i="4"/>
  <c r="S73" i="1"/>
  <c r="O71" i="4"/>
  <c r="S75" i="1"/>
  <c r="O73" i="4"/>
  <c r="S77" i="1"/>
  <c r="O75" i="4"/>
  <c r="S79" i="1"/>
  <c r="O77" i="4"/>
  <c r="S81" i="1"/>
  <c r="O79" i="4"/>
  <c r="S83" i="1"/>
  <c r="O81" i="4"/>
  <c r="S85" i="1"/>
  <c r="O83" i="4"/>
  <c r="S87" i="1"/>
  <c r="O85" i="4"/>
  <c r="S89" i="1"/>
  <c r="O87" i="4"/>
  <c r="S91" i="1"/>
  <c r="O89" i="4"/>
  <c r="S93" i="1"/>
  <c r="O91" i="4"/>
  <c r="S95" i="1"/>
  <c r="O93" i="4"/>
  <c r="S97" i="1"/>
  <c r="O95" i="4"/>
  <c r="S99" i="1"/>
  <c r="O97" i="4"/>
  <c r="S101" i="1"/>
  <c r="O99" i="4"/>
  <c r="N101" i="4"/>
  <c r="FE103" i="1"/>
  <c r="AU106" i="1"/>
  <c r="N105" i="4"/>
  <c r="FE107" i="1"/>
  <c r="AU110" i="1"/>
  <c r="N109" i="4"/>
  <c r="FE111" i="1"/>
  <c r="AU114" i="1"/>
  <c r="N113" i="4"/>
  <c r="FE115" i="1"/>
  <c r="AU118" i="1"/>
  <c r="N117" i="4"/>
  <c r="FE119" i="1"/>
  <c r="AU122" i="1"/>
  <c r="N121" i="4"/>
  <c r="FE123" i="1"/>
  <c r="AU126" i="1"/>
  <c r="N125" i="4"/>
  <c r="FE127" i="1"/>
  <c r="AU130" i="1"/>
  <c r="N129" i="4"/>
  <c r="FE131" i="1"/>
  <c r="AU134" i="1"/>
  <c r="N133" i="4"/>
  <c r="FE135" i="1"/>
  <c r="AU138" i="1"/>
  <c r="N137" i="4"/>
  <c r="FE139" i="1"/>
  <c r="AU142" i="1"/>
  <c r="N141" i="4"/>
  <c r="FE143" i="1"/>
  <c r="AU146" i="1"/>
  <c r="N145" i="4"/>
  <c r="FE147" i="1"/>
  <c r="AU150" i="1"/>
  <c r="N149" i="4"/>
  <c r="FE151" i="1"/>
  <c r="AU154" i="1"/>
  <c r="N153" i="4"/>
  <c r="FE155" i="1"/>
  <c r="AU158" i="1"/>
  <c r="N157" i="4"/>
  <c r="FE159" i="1"/>
  <c r="AU162" i="1"/>
  <c r="N161" i="4"/>
  <c r="FE163" i="1"/>
  <c r="AU166" i="1"/>
  <c r="N165" i="4"/>
  <c r="FE167" i="1"/>
  <c r="AU170" i="1"/>
  <c r="N169" i="4"/>
  <c r="FE171" i="1"/>
  <c r="AU174" i="1"/>
  <c r="N173" i="4"/>
  <c r="FE175" i="1"/>
  <c r="AU178" i="1"/>
  <c r="N177" i="4"/>
  <c r="FE179" i="1"/>
  <c r="AU182" i="1"/>
  <c r="N181" i="4"/>
  <c r="FE183" i="1"/>
  <c r="AU186" i="1"/>
  <c r="N185" i="4"/>
  <c r="FE187" i="1"/>
  <c r="AU190" i="1"/>
  <c r="N189" i="4"/>
  <c r="FE191" i="1"/>
  <c r="AU194" i="1"/>
  <c r="N193" i="4"/>
  <c r="FE195" i="1"/>
  <c r="AU198" i="1"/>
  <c r="N197" i="4"/>
  <c r="FE199" i="1"/>
  <c r="AU202" i="1"/>
  <c r="N201" i="4"/>
  <c r="FE203" i="1"/>
  <c r="AU206" i="1"/>
  <c r="N205" i="4"/>
  <c r="FE207" i="1"/>
  <c r="AU210" i="1"/>
  <c r="N209" i="4"/>
  <c r="FE211" i="1"/>
  <c r="AU214" i="1"/>
  <c r="N213" i="4"/>
  <c r="FE215" i="1"/>
  <c r="AU218" i="1"/>
  <c r="N217" i="4"/>
  <c r="FE219" i="1"/>
  <c r="N220" i="4"/>
  <c r="S222" i="1"/>
  <c r="N221" i="4"/>
  <c r="S223" i="1"/>
  <c r="N222" i="4"/>
  <c r="S224" i="1"/>
  <c r="N223" i="4"/>
  <c r="S225" i="1"/>
  <c r="N224" i="4"/>
  <c r="S226" i="1"/>
  <c r="N225" i="4"/>
  <c r="S227" i="1"/>
  <c r="N226" i="4"/>
  <c r="S228" i="1"/>
  <c r="N227" i="4"/>
  <c r="S229" i="1"/>
  <c r="AU231" i="1"/>
  <c r="N236" i="4"/>
  <c r="S238" i="1"/>
  <c r="N244" i="4"/>
  <c r="S246" i="1"/>
  <c r="N252" i="4"/>
  <c r="S254" i="1"/>
  <c r="N260" i="4"/>
  <c r="S262" i="1"/>
  <c r="N268" i="4"/>
  <c r="S270" i="1"/>
  <c r="N276" i="4"/>
  <c r="S278" i="1"/>
  <c r="N284" i="4"/>
  <c r="S286" i="1"/>
  <c r="N292" i="4"/>
  <c r="S294" i="1"/>
  <c r="AU301" i="1"/>
  <c r="N304" i="4"/>
  <c r="S306" i="1"/>
  <c r="N312" i="4"/>
  <c r="S314" i="1"/>
  <c r="N320" i="4"/>
  <c r="S322" i="1"/>
  <c r="N328" i="4"/>
  <c r="S330" i="1"/>
  <c r="N336" i="4"/>
  <c r="S338" i="1"/>
  <c r="AU343" i="1"/>
  <c r="N344" i="4"/>
  <c r="S346" i="1"/>
  <c r="BT347" i="1"/>
  <c r="AU351" i="1"/>
  <c r="N352" i="4"/>
  <c r="S354" i="1"/>
  <c r="BT355" i="1"/>
  <c r="N358" i="4"/>
  <c r="S360" i="1"/>
  <c r="N366" i="4"/>
  <c r="S368" i="1"/>
  <c r="N374" i="4"/>
  <c r="S376" i="1"/>
  <c r="N382" i="4"/>
  <c r="S384" i="1"/>
  <c r="N390" i="4"/>
  <c r="S392" i="1"/>
  <c r="N398" i="4"/>
  <c r="S400" i="1"/>
  <c r="N406" i="4"/>
  <c r="S408" i="1"/>
  <c r="N414" i="4"/>
  <c r="S416" i="1"/>
  <c r="N422" i="4"/>
  <c r="S424" i="1"/>
  <c r="N430" i="4"/>
  <c r="S432" i="1"/>
  <c r="N438" i="4"/>
  <c r="S440" i="1"/>
  <c r="N446" i="4"/>
  <c r="S448" i="1"/>
  <c r="M480" i="4"/>
  <c r="N229" i="4"/>
  <c r="N231" i="4"/>
  <c r="N233" i="4"/>
  <c r="N235" i="4"/>
  <c r="N237" i="4"/>
  <c r="N239" i="4"/>
  <c r="N241" i="4"/>
  <c r="N243" i="4"/>
  <c r="N245" i="4"/>
  <c r="N247" i="4"/>
  <c r="N249" i="4"/>
  <c r="N251" i="4"/>
  <c r="N253" i="4"/>
  <c r="N255" i="4"/>
  <c r="N257" i="4"/>
  <c r="N259" i="4"/>
  <c r="N261" i="4"/>
  <c r="N263" i="4"/>
  <c r="N265" i="4"/>
  <c r="N267" i="4"/>
  <c r="N269" i="4"/>
  <c r="N271" i="4"/>
  <c r="N273" i="4"/>
  <c r="N275" i="4"/>
  <c r="N277" i="4"/>
  <c r="N279" i="4"/>
  <c r="N281" i="4"/>
  <c r="N283" i="4"/>
  <c r="N285" i="4"/>
  <c r="N287" i="4"/>
  <c r="N289" i="4"/>
  <c r="N291" i="4"/>
  <c r="N293" i="4"/>
  <c r="N295" i="4"/>
  <c r="N297" i="4"/>
  <c r="N299" i="4"/>
  <c r="N301" i="4"/>
  <c r="N303" i="4"/>
  <c r="N305" i="4"/>
  <c r="N307" i="4"/>
  <c r="N309" i="4"/>
  <c r="N311" i="4"/>
  <c r="N313" i="4"/>
  <c r="N315" i="4"/>
  <c r="N317" i="4"/>
  <c r="N319" i="4"/>
  <c r="N321" i="4"/>
  <c r="N323" i="4"/>
  <c r="N325" i="4"/>
  <c r="N327" i="4"/>
  <c r="N329" i="4"/>
  <c r="N331" i="4"/>
  <c r="N333" i="4"/>
  <c r="N335" i="4"/>
  <c r="N337" i="4"/>
  <c r="N339" i="4"/>
  <c r="N341" i="4"/>
  <c r="N343" i="4"/>
  <c r="N345" i="4"/>
  <c r="N347" i="4"/>
  <c r="N349" i="4"/>
  <c r="N351" i="4"/>
  <c r="N353" i="4"/>
  <c r="N355" i="4"/>
  <c r="N357" i="4"/>
  <c r="N359" i="4"/>
  <c r="N361" i="4"/>
  <c r="N363" i="4"/>
  <c r="N365" i="4"/>
  <c r="N367" i="4"/>
  <c r="N369" i="4"/>
  <c r="N371" i="4"/>
  <c r="N373" i="4"/>
  <c r="N375" i="4"/>
  <c r="N377" i="4"/>
  <c r="N379" i="4"/>
  <c r="N381" i="4"/>
  <c r="N383" i="4"/>
  <c r="N385" i="4"/>
  <c r="N387" i="4"/>
  <c r="N389" i="4"/>
  <c r="N391" i="4"/>
  <c r="N393" i="4"/>
  <c r="N395" i="4"/>
  <c r="N397" i="4"/>
  <c r="N399" i="4"/>
  <c r="N401" i="4"/>
  <c r="N403" i="4"/>
  <c r="N405" i="4"/>
  <c r="N407" i="4"/>
  <c r="N409" i="4"/>
  <c r="N411" i="4"/>
  <c r="N413" i="4"/>
  <c r="N415" i="4"/>
  <c r="N417" i="4"/>
  <c r="N419" i="4"/>
  <c r="N421" i="4"/>
  <c r="N423" i="4"/>
  <c r="N425" i="4"/>
  <c r="N427" i="4"/>
  <c r="N429" i="4"/>
  <c r="N431" i="4"/>
  <c r="N433" i="4"/>
  <c r="N435" i="4"/>
  <c r="N437" i="4"/>
  <c r="N439" i="4"/>
  <c r="N441" i="4"/>
  <c r="N443" i="4"/>
  <c r="N445" i="4"/>
  <c r="N447" i="4"/>
  <c r="N449" i="4"/>
  <c r="K449" i="4"/>
  <c r="N451" i="4"/>
  <c r="CH453" i="1"/>
  <c r="O455" i="4"/>
  <c r="CH457" i="1"/>
  <c r="O459" i="4"/>
  <c r="CH461" i="1"/>
  <c r="O463" i="4"/>
  <c r="CH465" i="1"/>
  <c r="O467" i="4"/>
  <c r="CH469" i="1"/>
  <c r="O471" i="4"/>
  <c r="CH473" i="1"/>
  <c r="O475" i="4"/>
  <c r="CH477" i="1"/>
  <c r="O479" i="4"/>
  <c r="CH481" i="1"/>
  <c r="CH489" i="1"/>
  <c r="CH497" i="1"/>
  <c r="O102" i="4"/>
  <c r="O104" i="4"/>
  <c r="O106" i="4"/>
  <c r="O108" i="4"/>
  <c r="O110" i="4"/>
  <c r="O112" i="4"/>
  <c r="O114" i="4"/>
  <c r="O116" i="4"/>
  <c r="O118" i="4"/>
  <c r="O120" i="4"/>
  <c r="O122" i="4"/>
  <c r="O124" i="4"/>
  <c r="O126" i="4"/>
  <c r="O128" i="4"/>
  <c r="O130" i="4"/>
  <c r="O132" i="4"/>
  <c r="O134" i="4"/>
  <c r="O136" i="4"/>
  <c r="O138" i="4"/>
  <c r="O140" i="4"/>
  <c r="O142" i="4"/>
  <c r="O144" i="4"/>
  <c r="O146" i="4"/>
  <c r="O148" i="4"/>
  <c r="O150" i="4"/>
  <c r="O152" i="4"/>
  <c r="O154" i="4"/>
  <c r="O156" i="4"/>
  <c r="O158" i="4"/>
  <c r="O160" i="4"/>
  <c r="O162" i="4"/>
  <c r="O164" i="4"/>
  <c r="O166" i="4"/>
  <c r="O168" i="4"/>
  <c r="O170" i="4"/>
  <c r="O172" i="4"/>
  <c r="O174" i="4"/>
  <c r="O176" i="4"/>
  <c r="O178" i="4"/>
  <c r="O180" i="4"/>
  <c r="O182" i="4"/>
  <c r="O184" i="4"/>
  <c r="O186" i="4"/>
  <c r="O188" i="4"/>
  <c r="O190" i="4"/>
  <c r="O192" i="4"/>
  <c r="O194" i="4"/>
  <c r="O196" i="4"/>
  <c r="O198" i="4"/>
  <c r="O200" i="4"/>
  <c r="O202" i="4"/>
  <c r="O204" i="4"/>
  <c r="O206" i="4"/>
  <c r="O208" i="4"/>
  <c r="O210" i="4"/>
  <c r="O212" i="4"/>
  <c r="O214" i="4"/>
  <c r="O216" i="4"/>
  <c r="O218" i="4"/>
  <c r="O220" i="4"/>
  <c r="O222" i="4"/>
  <c r="O224" i="4"/>
  <c r="O226" i="4"/>
  <c r="O228" i="4"/>
  <c r="O230" i="4"/>
  <c r="O232" i="4"/>
  <c r="O234" i="4"/>
  <c r="O236" i="4"/>
  <c r="O238" i="4"/>
  <c r="O240" i="4"/>
  <c r="O242" i="4"/>
  <c r="O244" i="4"/>
  <c r="O246" i="4"/>
  <c r="O248" i="4"/>
  <c r="O250" i="4"/>
  <c r="O252" i="4"/>
  <c r="O254" i="4"/>
  <c r="O256" i="4"/>
  <c r="O258" i="4"/>
  <c r="O260" i="4"/>
  <c r="O262" i="4"/>
  <c r="O264" i="4"/>
  <c r="O266" i="4"/>
  <c r="O268" i="4"/>
  <c r="O270" i="4"/>
  <c r="O272" i="4"/>
  <c r="O274" i="4"/>
  <c r="O276" i="4"/>
  <c r="O278" i="4"/>
  <c r="O280" i="4"/>
  <c r="O282" i="4"/>
  <c r="O284" i="4"/>
  <c r="O286" i="4"/>
  <c r="O288" i="4"/>
  <c r="O290" i="4"/>
  <c r="O292" i="4"/>
  <c r="O294" i="4"/>
  <c r="O296" i="4"/>
  <c r="O298" i="4"/>
  <c r="O300" i="4"/>
  <c r="O302" i="4"/>
  <c r="O304" i="4"/>
  <c r="O306" i="4"/>
  <c r="O308" i="4"/>
  <c r="O310" i="4"/>
  <c r="O312" i="4"/>
  <c r="O314" i="4"/>
  <c r="O316" i="4"/>
  <c r="O318" i="4"/>
  <c r="O320" i="4"/>
  <c r="O322" i="4"/>
  <c r="O324" i="4"/>
  <c r="O326" i="4"/>
  <c r="O328" i="4"/>
  <c r="O330" i="4"/>
  <c r="O332" i="4"/>
  <c r="O334" i="4"/>
  <c r="O336" i="4"/>
  <c r="O338" i="4"/>
  <c r="O340" i="4"/>
  <c r="O342" i="4"/>
  <c r="O344" i="4"/>
  <c r="O346" i="4"/>
  <c r="O348" i="4"/>
  <c r="O350" i="4"/>
  <c r="O352" i="4"/>
  <c r="O354" i="4"/>
  <c r="O356" i="4"/>
  <c r="O358" i="4"/>
  <c r="O360" i="4"/>
  <c r="O362" i="4"/>
  <c r="O364" i="4"/>
  <c r="O366" i="4"/>
  <c r="O368" i="4"/>
  <c r="O370" i="4"/>
  <c r="O372" i="4"/>
  <c r="O374" i="4"/>
  <c r="O376" i="4"/>
  <c r="O378" i="4"/>
  <c r="O380" i="4"/>
  <c r="O382" i="4"/>
  <c r="O384" i="4"/>
  <c r="O386" i="4"/>
  <c r="O388" i="4"/>
  <c r="O390" i="4"/>
  <c r="O392" i="4"/>
  <c r="O394" i="4"/>
  <c r="O396" i="4"/>
  <c r="O398" i="4"/>
  <c r="O400" i="4"/>
  <c r="O402" i="4"/>
  <c r="O404" i="4"/>
  <c r="O406" i="4"/>
  <c r="O408" i="4"/>
  <c r="O410" i="4"/>
  <c r="O412" i="4"/>
  <c r="O414" i="4"/>
  <c r="O416" i="4"/>
  <c r="O418" i="4"/>
  <c r="O420" i="4"/>
  <c r="O422" i="4"/>
  <c r="O424" i="4"/>
  <c r="O426" i="4"/>
  <c r="O428" i="4"/>
  <c r="O430" i="4"/>
  <c r="O432" i="4"/>
  <c r="O434" i="4"/>
  <c r="O436" i="4"/>
  <c r="O438" i="4"/>
  <c r="O440" i="4"/>
  <c r="O442" i="4"/>
  <c r="O444" i="4"/>
  <c r="O446" i="4"/>
  <c r="O448" i="4"/>
  <c r="O450" i="4"/>
  <c r="O454" i="4"/>
  <c r="CH456" i="1"/>
  <c r="O458" i="4"/>
  <c r="CH460" i="1"/>
  <c r="O462" i="4"/>
  <c r="CH464" i="1"/>
  <c r="O466" i="4"/>
  <c r="CH468" i="1"/>
  <c r="O470" i="4"/>
  <c r="CH472" i="1"/>
  <c r="O474" i="4"/>
  <c r="CH476" i="1"/>
  <c r="O478" i="4"/>
  <c r="CH480" i="1"/>
  <c r="O482" i="4"/>
  <c r="CH484" i="1"/>
  <c r="CH491" i="1"/>
  <c r="M495" i="4"/>
  <c r="CH499" i="1"/>
  <c r="N453" i="4"/>
  <c r="K453" i="4"/>
  <c r="N455" i="4"/>
  <c r="K455" i="4"/>
  <c r="N457" i="4"/>
  <c r="K457" i="4"/>
  <c r="N459" i="4"/>
  <c r="K459" i="4"/>
  <c r="N461" i="4"/>
  <c r="K461" i="4"/>
  <c r="N463" i="4"/>
  <c r="K463" i="4"/>
  <c r="N465" i="4"/>
  <c r="K465" i="4"/>
  <c r="N467" i="4"/>
  <c r="K467" i="4"/>
  <c r="N469" i="4"/>
  <c r="K469" i="4"/>
  <c r="N471" i="4"/>
  <c r="K471" i="4"/>
  <c r="N473" i="4"/>
  <c r="K473" i="4"/>
  <c r="N475" i="4"/>
  <c r="K475" i="4"/>
  <c r="N477" i="4"/>
  <c r="K477" i="4"/>
  <c r="N479" i="4"/>
  <c r="K479" i="4"/>
  <c r="N481" i="4"/>
  <c r="K481" i="4"/>
  <c r="N483" i="4"/>
  <c r="K483" i="4"/>
  <c r="N485" i="4"/>
  <c r="K485" i="4"/>
  <c r="N487" i="4"/>
  <c r="K487" i="4"/>
  <c r="N489" i="4"/>
  <c r="K489" i="4"/>
  <c r="N491" i="4"/>
  <c r="K491" i="4"/>
  <c r="N493" i="4"/>
  <c r="K493" i="4"/>
  <c r="N495" i="4"/>
  <c r="K495" i="4"/>
  <c r="N497" i="4"/>
  <c r="K497" i="4"/>
  <c r="O484" i="4"/>
  <c r="O486" i="4"/>
  <c r="O488" i="4"/>
  <c r="O490" i="4"/>
  <c r="O492" i="4"/>
  <c r="O494" i="4"/>
  <c r="O496" i="4"/>
  <c r="N452" i="4"/>
  <c r="K452" i="4"/>
  <c r="N454" i="4"/>
  <c r="K454" i="4"/>
  <c r="N456" i="4"/>
  <c r="K456" i="4"/>
  <c r="N458" i="4"/>
  <c r="K458" i="4"/>
  <c r="N460" i="4"/>
  <c r="K460" i="4"/>
  <c r="N462" i="4"/>
  <c r="K462" i="4"/>
  <c r="N464" i="4"/>
  <c r="K464" i="4"/>
  <c r="N466" i="4"/>
  <c r="K466" i="4"/>
  <c r="N468" i="4"/>
  <c r="K468" i="4"/>
  <c r="N470" i="4"/>
  <c r="K470" i="4"/>
  <c r="N472" i="4"/>
  <c r="K472" i="4"/>
  <c r="N474" i="4"/>
  <c r="K474" i="4"/>
  <c r="N476" i="4"/>
  <c r="K476" i="4"/>
  <c r="N478" i="4"/>
  <c r="K478" i="4"/>
  <c r="N480" i="4"/>
  <c r="K480" i="4"/>
  <c r="N482" i="4"/>
  <c r="K482" i="4"/>
  <c r="N484" i="4"/>
  <c r="K484" i="4"/>
  <c r="N486" i="4"/>
  <c r="K486" i="4"/>
  <c r="N488" i="4"/>
  <c r="K488" i="4"/>
  <c r="N490" i="4"/>
  <c r="K490" i="4"/>
  <c r="N492" i="4"/>
  <c r="K492" i="4"/>
  <c r="N494" i="4"/>
  <c r="K494" i="4"/>
  <c r="N496" i="4"/>
  <c r="K496" i="4"/>
  <c r="G7" i="11"/>
  <c r="H55" i="8"/>
  <c r="H61" i="8"/>
  <c r="H62" i="8"/>
  <c r="F17" i="11"/>
  <c r="F7" i="11"/>
  <c r="F9" i="11"/>
  <c r="F10" i="11"/>
  <c r="F11" i="11"/>
  <c r="G17" i="11"/>
  <c r="G9" i="11"/>
  <c r="G10" i="11"/>
  <c r="G11" i="11"/>
  <c r="H7" i="11"/>
  <c r="I7" i="11"/>
  <c r="I9" i="11"/>
  <c r="I10" i="11"/>
  <c r="I11" i="11"/>
  <c r="I17" i="11"/>
  <c r="F46" i="8"/>
  <c r="F82" i="8"/>
  <c r="F83" i="8"/>
  <c r="G82" i="8"/>
  <c r="H46" i="8"/>
  <c r="H82" i="8"/>
  <c r="H83" i="8"/>
  <c r="G83" i="8"/>
  <c r="G46" i="8"/>
  <c r="F41" i="8"/>
  <c r="F42" i="8"/>
  <c r="F80" i="8"/>
  <c r="F81" i="8"/>
  <c r="I81" i="8"/>
  <c r="G80" i="8"/>
  <c r="H80" i="8"/>
  <c r="H41" i="8"/>
  <c r="H42" i="8"/>
  <c r="H78" i="8"/>
  <c r="H79" i="8"/>
  <c r="H81" i="8"/>
  <c r="G41" i="8"/>
  <c r="G42" i="8"/>
  <c r="G78" i="8"/>
  <c r="G79" i="8"/>
  <c r="G81" i="8"/>
  <c r="G70" i="8"/>
  <c r="G71" i="8"/>
  <c r="H70" i="8"/>
  <c r="H71" i="8"/>
  <c r="H16" i="11"/>
  <c r="F16" i="11"/>
  <c r="G16" i="11"/>
  <c r="I16" i="11"/>
  <c r="I18" i="8"/>
  <c r="I57" i="8"/>
  <c r="I64" i="8"/>
  <c r="I65" i="8"/>
  <c r="F14" i="11"/>
  <c r="F15" i="11"/>
  <c r="G15" i="11"/>
  <c r="F18" i="8"/>
  <c r="F56" i="8"/>
  <c r="F57" i="8"/>
  <c r="F64" i="8"/>
  <c r="F65" i="8"/>
  <c r="G14" i="11"/>
  <c r="I59" i="8"/>
  <c r="H59" i="8"/>
  <c r="H18" i="8"/>
  <c r="H56" i="8"/>
  <c r="H57" i="8"/>
  <c r="H64" i="8"/>
  <c r="H65" i="8"/>
  <c r="H14" i="11"/>
  <c r="H15" i="11"/>
  <c r="G56" i="8"/>
  <c r="G57" i="8"/>
  <c r="G64" i="8"/>
  <c r="G65" i="8"/>
  <c r="I56" i="8"/>
  <c r="I14" i="11"/>
  <c r="I15" i="11"/>
  <c r="G18" i="8"/>
  <c r="C59" i="8"/>
  <c r="F59" i="8" s="1"/>
  <c r="I55" i="8"/>
  <c r="I61" i="8"/>
  <c r="I62" i="8"/>
  <c r="F6" i="11"/>
  <c r="G6" i="11"/>
  <c r="F55" i="8"/>
  <c r="F60" i="8"/>
  <c r="F61" i="8"/>
  <c r="F62" i="8"/>
  <c r="H6" i="11"/>
  <c r="I63" i="8"/>
  <c r="H63" i="8"/>
  <c r="H60" i="8"/>
  <c r="I60" i="8"/>
  <c r="I6" i="11"/>
  <c r="G55" i="8"/>
  <c r="G60" i="8"/>
  <c r="G61" i="8"/>
  <c r="G62" i="8"/>
  <c r="C63" i="8"/>
  <c r="F63" i="8" s="1"/>
  <c r="N51" i="4" l="1"/>
  <c r="N33" i="4"/>
  <c r="O18" i="4"/>
  <c r="R48" i="1"/>
  <c r="Q48" i="1" s="1"/>
  <c r="R49" i="1"/>
  <c r="S48" i="1"/>
  <c r="N39" i="4"/>
  <c r="S39" i="1"/>
  <c r="M7" i="4"/>
  <c r="M23" i="4"/>
  <c r="O19" i="4"/>
  <c r="M34" i="4"/>
  <c r="M48" i="4"/>
  <c r="R482" i="1"/>
  <c r="Q482" i="1" s="1"/>
  <c r="D480" i="4" s="1"/>
  <c r="M50" i="4"/>
  <c r="O41" i="4"/>
  <c r="O40" i="4"/>
  <c r="M28" i="4"/>
  <c r="M40" i="4"/>
  <c r="M35" i="4"/>
  <c r="M39" i="4"/>
  <c r="M51" i="4"/>
  <c r="M11" i="4"/>
  <c r="M25" i="4"/>
  <c r="M19" i="4"/>
  <c r="M36" i="4"/>
  <c r="M16" i="4"/>
  <c r="M37" i="4"/>
  <c r="M12" i="4"/>
  <c r="M6" i="4"/>
  <c r="O14" i="4"/>
  <c r="M27" i="4"/>
  <c r="M8" i="4"/>
  <c r="M9" i="4"/>
  <c r="M24" i="4"/>
  <c r="M4" i="4"/>
  <c r="M18" i="4"/>
  <c r="M22" i="4"/>
  <c r="M52" i="4"/>
  <c r="M49" i="4"/>
  <c r="M44" i="4"/>
  <c r="M30" i="4"/>
  <c r="R311" i="1"/>
  <c r="F309" i="4" s="1"/>
  <c r="M54" i="4"/>
  <c r="R257" i="1"/>
  <c r="Q257" i="1" s="1"/>
  <c r="D255" i="4" s="1"/>
  <c r="R169" i="1"/>
  <c r="F167" i="4" s="1"/>
  <c r="R267" i="1"/>
  <c r="Q267" i="1" s="1"/>
  <c r="D265" i="4" s="1"/>
  <c r="R375" i="1"/>
  <c r="F373" i="4" s="1"/>
  <c r="R371" i="1"/>
  <c r="F369" i="4" s="1"/>
  <c r="R319" i="1"/>
  <c r="Q319" i="1" s="1"/>
  <c r="D317" i="4" s="1"/>
  <c r="R309" i="1"/>
  <c r="Q309" i="1" s="1"/>
  <c r="D307" i="4" s="1"/>
  <c r="R62" i="1"/>
  <c r="F60" i="4" s="1"/>
  <c r="R129" i="1"/>
  <c r="F127" i="4" s="1"/>
  <c r="BS388" i="1"/>
  <c r="BR388" i="1" s="1"/>
  <c r="E386" i="4" s="1"/>
  <c r="BS366" i="1"/>
  <c r="G364" i="4" s="1"/>
  <c r="BS354" i="1"/>
  <c r="BR354" i="1" s="1"/>
  <c r="E352" i="4" s="1"/>
  <c r="BS49" i="1"/>
  <c r="R459" i="1"/>
  <c r="F457" i="4" s="1"/>
  <c r="R139" i="1"/>
  <c r="Q139" i="1" s="1"/>
  <c r="D137" i="4" s="1"/>
  <c r="R458" i="1"/>
  <c r="F456" i="4" s="1"/>
  <c r="BS221" i="1"/>
  <c r="BR221" i="1" s="1"/>
  <c r="E219" i="4" s="1"/>
  <c r="R365" i="1"/>
  <c r="F363" i="4" s="1"/>
  <c r="R307" i="1"/>
  <c r="F305" i="4" s="1"/>
  <c r="R291" i="1"/>
  <c r="F289" i="4" s="1"/>
  <c r="R379" i="1"/>
  <c r="Q379" i="1" s="1"/>
  <c r="D377" i="4" s="1"/>
  <c r="R28" i="1"/>
  <c r="BS326" i="1"/>
  <c r="G324" i="4" s="1"/>
  <c r="BS294" i="1"/>
  <c r="G292" i="4" s="1"/>
  <c r="R313" i="1"/>
  <c r="F311" i="4" s="1"/>
  <c r="R487" i="1"/>
  <c r="Q487" i="1" s="1"/>
  <c r="D485" i="4" s="1"/>
  <c r="R6" i="1"/>
  <c r="R449" i="1"/>
  <c r="F447" i="4" s="1"/>
  <c r="R425" i="1"/>
  <c r="F423" i="4" s="1"/>
  <c r="BS352" i="1"/>
  <c r="G350" i="4" s="1"/>
  <c r="R131" i="1"/>
  <c r="BS483" i="1"/>
  <c r="G481" i="4" s="1"/>
  <c r="BS67" i="1"/>
  <c r="G65" i="4" s="1"/>
  <c r="R266" i="1"/>
  <c r="Q266" i="1" s="1"/>
  <c r="D264" i="4" s="1"/>
  <c r="R209" i="1"/>
  <c r="F207" i="4" s="1"/>
  <c r="BS83" i="1"/>
  <c r="G81" i="4" s="1"/>
  <c r="BS254" i="1"/>
  <c r="BR254" i="1" s="1"/>
  <c r="E252" i="4" s="1"/>
  <c r="R361" i="1"/>
  <c r="Q361" i="1" s="1"/>
  <c r="D359" i="4" s="1"/>
  <c r="BS315" i="1"/>
  <c r="BR315" i="1" s="1"/>
  <c r="E313" i="4" s="1"/>
  <c r="BS104" i="1"/>
  <c r="G102" i="4" s="1"/>
  <c r="R51" i="1"/>
  <c r="R78" i="1"/>
  <c r="BS304" i="1"/>
  <c r="G302" i="4" s="1"/>
  <c r="R471" i="1"/>
  <c r="F469" i="4" s="1"/>
  <c r="R287" i="1"/>
  <c r="F285" i="4" s="1"/>
  <c r="BS211" i="1"/>
  <c r="G209" i="4" s="1"/>
  <c r="R145" i="1"/>
  <c r="F143" i="4" s="1"/>
  <c r="BS194" i="1"/>
  <c r="BR194" i="1" s="1"/>
  <c r="E192" i="4" s="1"/>
  <c r="BS303" i="1"/>
  <c r="G301" i="4" s="1"/>
  <c r="BS277" i="1"/>
  <c r="G275" i="4" s="1"/>
  <c r="R337" i="1"/>
  <c r="Q337" i="1" s="1"/>
  <c r="D335" i="4" s="1"/>
  <c r="R171" i="1"/>
  <c r="F169" i="4" s="1"/>
  <c r="R261" i="1"/>
  <c r="F259" i="4" s="1"/>
  <c r="R233" i="1"/>
  <c r="Q233" i="1" s="1"/>
  <c r="D231" i="4" s="1"/>
  <c r="R293" i="1"/>
  <c r="F291" i="4" s="1"/>
  <c r="R15" i="1"/>
  <c r="Q15" i="1" s="1"/>
  <c r="R55" i="1"/>
  <c r="Q55" i="1" s="1"/>
  <c r="R411" i="1"/>
  <c r="Q411" i="1" s="1"/>
  <c r="D409" i="4" s="1"/>
  <c r="BS108" i="1"/>
  <c r="BR108" i="1" s="1"/>
  <c r="E106" i="4" s="1"/>
  <c r="BS54" i="1"/>
  <c r="R37" i="1"/>
  <c r="BS348" i="1"/>
  <c r="BR348" i="1" s="1"/>
  <c r="E346" i="4" s="1"/>
  <c r="R195" i="1"/>
  <c r="F193" i="4" s="1"/>
  <c r="M193" i="4"/>
  <c r="R325" i="1"/>
  <c r="F323" i="4" s="1"/>
  <c r="R135" i="1"/>
  <c r="F133" i="4" s="1"/>
  <c r="BS229" i="1"/>
  <c r="BR229" i="1" s="1"/>
  <c r="E227" i="4" s="1"/>
  <c r="R485" i="1"/>
  <c r="F483" i="4" s="1"/>
  <c r="R343" i="1"/>
  <c r="F341" i="4" s="1"/>
  <c r="R231" i="1"/>
  <c r="F229" i="4" s="1"/>
  <c r="R492" i="1"/>
  <c r="F490" i="4" s="1"/>
  <c r="R46" i="1"/>
  <c r="BS100" i="1"/>
  <c r="BR100" i="1" s="1"/>
  <c r="E98" i="4" s="1"/>
  <c r="BS92" i="1"/>
  <c r="G90" i="4" s="1"/>
  <c r="R462" i="1"/>
  <c r="Q462" i="1" s="1"/>
  <c r="D460" i="4" s="1"/>
  <c r="O20" i="4"/>
  <c r="R21" i="1"/>
  <c r="R385" i="1"/>
  <c r="F383" i="4" s="1"/>
  <c r="BS12" i="1"/>
  <c r="BS68" i="1"/>
  <c r="G66" i="4" s="1"/>
  <c r="R43" i="1"/>
  <c r="Q43" i="1" s="1"/>
  <c r="R100" i="1"/>
  <c r="F98" i="4" s="1"/>
  <c r="BS480" i="1"/>
  <c r="G478" i="4" s="1"/>
  <c r="BS464" i="1"/>
  <c r="G462" i="4" s="1"/>
  <c r="R165" i="1"/>
  <c r="Q165" i="1" s="1"/>
  <c r="D163" i="4" s="1"/>
  <c r="R161" i="1"/>
  <c r="Q161" i="1" s="1"/>
  <c r="D159" i="4" s="1"/>
  <c r="R477" i="1"/>
  <c r="Q477" i="1" s="1"/>
  <c r="D475" i="4" s="1"/>
  <c r="R24" i="1"/>
  <c r="Q24" i="1" s="1"/>
  <c r="BS77" i="1"/>
  <c r="R68" i="1"/>
  <c r="Q68" i="1" s="1"/>
  <c r="D66" i="4" s="1"/>
  <c r="R157" i="1"/>
  <c r="Q157" i="1" s="1"/>
  <c r="D155" i="4" s="1"/>
  <c r="R39" i="1"/>
  <c r="BS11" i="1"/>
  <c r="BR11" i="1" s="1"/>
  <c r="BS30" i="1"/>
  <c r="BR30" i="1" s="1"/>
  <c r="BS497" i="1"/>
  <c r="BR497" i="1" s="1"/>
  <c r="E495" i="4" s="1"/>
  <c r="R213" i="1"/>
  <c r="F211" i="4" s="1"/>
  <c r="R40" i="1"/>
  <c r="R369" i="1"/>
  <c r="F367" i="4" s="1"/>
  <c r="BS204" i="1"/>
  <c r="G202" i="4" s="1"/>
  <c r="R147" i="1"/>
  <c r="Q147" i="1" s="1"/>
  <c r="D145" i="4" s="1"/>
  <c r="R119" i="1"/>
  <c r="F117" i="4" s="1"/>
  <c r="BS284" i="1"/>
  <c r="BR284" i="1" s="1"/>
  <c r="E282" i="4" s="1"/>
  <c r="R237" i="1"/>
  <c r="F235" i="4" s="1"/>
  <c r="R259" i="1"/>
  <c r="F257" i="4" s="1"/>
  <c r="R253" i="1"/>
  <c r="F251" i="4" s="1"/>
  <c r="BS461" i="1"/>
  <c r="G459" i="4" s="1"/>
  <c r="BS494" i="1"/>
  <c r="G492" i="4" s="1"/>
  <c r="BS496" i="1"/>
  <c r="G494" i="4" s="1"/>
  <c r="R481" i="1"/>
  <c r="F479" i="4" s="1"/>
  <c r="R299" i="1"/>
  <c r="Q299" i="1" s="1"/>
  <c r="D297" i="4" s="1"/>
  <c r="R393" i="1"/>
  <c r="F391" i="4" s="1"/>
  <c r="BS209" i="1"/>
  <c r="G207" i="4" s="1"/>
  <c r="BS19" i="1"/>
  <c r="BS18" i="1"/>
  <c r="BS336" i="1"/>
  <c r="G334" i="4" s="1"/>
  <c r="BS223" i="1"/>
  <c r="BR223" i="1" s="1"/>
  <c r="E221" i="4" s="1"/>
  <c r="BS167" i="1"/>
  <c r="G165" i="4" s="1"/>
  <c r="R357" i="1"/>
  <c r="Q357" i="1" s="1"/>
  <c r="D355" i="4" s="1"/>
  <c r="BS214" i="1"/>
  <c r="G212" i="4" s="1"/>
  <c r="BS182" i="1"/>
  <c r="BR182" i="1" s="1"/>
  <c r="E180" i="4" s="1"/>
  <c r="BS166" i="1"/>
  <c r="BR166" i="1" s="1"/>
  <c r="E164" i="4" s="1"/>
  <c r="BS134" i="1"/>
  <c r="G132" i="4" s="1"/>
  <c r="BS114" i="1"/>
  <c r="G112" i="4" s="1"/>
  <c r="BS458" i="1"/>
  <c r="G456" i="4" s="1"/>
  <c r="R443" i="1"/>
  <c r="F441" i="4" s="1"/>
  <c r="R277" i="1"/>
  <c r="Q277" i="1" s="1"/>
  <c r="D275" i="4" s="1"/>
  <c r="R315" i="1"/>
  <c r="Q315" i="1" s="1"/>
  <c r="D313" i="4" s="1"/>
  <c r="BS267" i="1"/>
  <c r="BR267" i="1" s="1"/>
  <c r="E265" i="4" s="1"/>
  <c r="R211" i="1"/>
  <c r="F209" i="4" s="1"/>
  <c r="R199" i="1"/>
  <c r="F197" i="4" s="1"/>
  <c r="R94" i="1"/>
  <c r="F92" i="4" s="1"/>
  <c r="BS14" i="1"/>
  <c r="R413" i="1"/>
  <c r="F411" i="4" s="1"/>
  <c r="BS475" i="1"/>
  <c r="G473" i="4" s="1"/>
  <c r="R493" i="1"/>
  <c r="Q493" i="1" s="1"/>
  <c r="D491" i="4" s="1"/>
  <c r="BS270" i="1"/>
  <c r="G268" i="4" s="1"/>
  <c r="R201" i="1"/>
  <c r="F199" i="4" s="1"/>
  <c r="BS59" i="1"/>
  <c r="G57" i="4" s="1"/>
  <c r="R454" i="1"/>
  <c r="F452" i="4" s="1"/>
  <c r="R121" i="1"/>
  <c r="F119" i="4" s="1"/>
  <c r="R467" i="1"/>
  <c r="F465" i="4" s="1"/>
  <c r="R41" i="1"/>
  <c r="Q41" i="1" s="1"/>
  <c r="R437" i="1"/>
  <c r="F435" i="4" s="1"/>
  <c r="R433" i="1"/>
  <c r="F431" i="4" s="1"/>
  <c r="BS334" i="1"/>
  <c r="G332" i="4" s="1"/>
  <c r="BS244" i="1"/>
  <c r="G242" i="4" s="1"/>
  <c r="R80" i="1"/>
  <c r="F78" i="4" s="1"/>
  <c r="R31" i="1"/>
  <c r="Q31" i="1" s="1"/>
  <c r="BS486" i="1"/>
  <c r="G484" i="4" s="1"/>
  <c r="BS459" i="1"/>
  <c r="BR459" i="1" s="1"/>
  <c r="E457" i="4" s="1"/>
  <c r="R391" i="1"/>
  <c r="F389" i="4" s="1"/>
  <c r="BS240" i="1"/>
  <c r="G238" i="4" s="1"/>
  <c r="R217" i="1"/>
  <c r="Q217" i="1" s="1"/>
  <c r="D215" i="4" s="1"/>
  <c r="BS218" i="1"/>
  <c r="G216" i="4" s="1"/>
  <c r="R185" i="1"/>
  <c r="F183" i="4" s="1"/>
  <c r="R57" i="1"/>
  <c r="BS259" i="1"/>
  <c r="G257" i="4" s="1"/>
  <c r="R183" i="1"/>
  <c r="Q183" i="1" s="1"/>
  <c r="D181" i="4" s="1"/>
  <c r="BS98" i="1"/>
  <c r="BR98" i="1" s="1"/>
  <c r="E96" i="4" s="1"/>
  <c r="BS488" i="1"/>
  <c r="G486" i="4" s="1"/>
  <c r="R395" i="1"/>
  <c r="F393" i="4" s="1"/>
  <c r="R339" i="1"/>
  <c r="F337" i="4" s="1"/>
  <c r="R329" i="1"/>
  <c r="F327" i="4" s="1"/>
  <c r="R323" i="1"/>
  <c r="F321" i="4" s="1"/>
  <c r="R127" i="1"/>
  <c r="F125" i="4" s="1"/>
  <c r="R251" i="1"/>
  <c r="Q251" i="1" s="1"/>
  <c r="D249" i="4" s="1"/>
  <c r="R247" i="1"/>
  <c r="F245" i="4" s="1"/>
  <c r="BS282" i="1"/>
  <c r="G280" i="4" s="1"/>
  <c r="BS97" i="1"/>
  <c r="R103" i="1"/>
  <c r="F101" i="4" s="1"/>
  <c r="BS362" i="1"/>
  <c r="G360" i="4" s="1"/>
  <c r="R483" i="1"/>
  <c r="Q483" i="1" s="1"/>
  <c r="D481" i="4" s="1"/>
  <c r="BS368" i="1"/>
  <c r="R193" i="1"/>
  <c r="F191" i="4" s="1"/>
  <c r="BS34" i="1"/>
  <c r="BR34" i="1" s="1"/>
  <c r="BS468" i="1"/>
  <c r="G466" i="4" s="1"/>
  <c r="BS453" i="1"/>
  <c r="G451" i="4" s="1"/>
  <c r="BS163" i="1"/>
  <c r="G161" i="4" s="1"/>
  <c r="BS170" i="1"/>
  <c r="BR170" i="1" s="1"/>
  <c r="E168" i="4" s="1"/>
  <c r="BS154" i="1"/>
  <c r="G152" i="4" s="1"/>
  <c r="BS181" i="1"/>
  <c r="G179" i="4" s="1"/>
  <c r="BS490" i="1"/>
  <c r="BR490" i="1" s="1"/>
  <c r="E488" i="4" s="1"/>
  <c r="R429" i="1"/>
  <c r="F427" i="4" s="1"/>
  <c r="BS343" i="1"/>
  <c r="BR343" i="1" s="1"/>
  <c r="E341" i="4" s="1"/>
  <c r="BS193" i="1"/>
  <c r="G191" i="4" s="1"/>
  <c r="R14" i="1"/>
  <c r="BS87" i="1"/>
  <c r="G85" i="4" s="1"/>
  <c r="R26" i="1"/>
  <c r="BS21" i="1"/>
  <c r="BR21" i="1" s="1"/>
  <c r="BS378" i="1"/>
  <c r="BS398" i="1"/>
  <c r="BR398" i="1" s="1"/>
  <c r="E396" i="4" s="1"/>
  <c r="BS157" i="1"/>
  <c r="BS165" i="1"/>
  <c r="G163" i="4" s="1"/>
  <c r="R495" i="1"/>
  <c r="Q495" i="1" s="1"/>
  <c r="D493" i="4" s="1"/>
  <c r="BS53" i="1"/>
  <c r="BR53" i="1" s="1"/>
  <c r="R474" i="1"/>
  <c r="F472" i="4" s="1"/>
  <c r="BS476" i="1"/>
  <c r="G474" i="4" s="1"/>
  <c r="R141" i="1"/>
  <c r="Q141" i="1" s="1"/>
  <c r="D139" i="4" s="1"/>
  <c r="R475" i="1"/>
  <c r="F473" i="4" s="1"/>
  <c r="M197" i="4"/>
  <c r="BS455" i="1"/>
  <c r="G453" i="4" s="1"/>
  <c r="BS443" i="1"/>
  <c r="G441" i="4" s="1"/>
  <c r="R415" i="1"/>
  <c r="F413" i="4" s="1"/>
  <c r="R447" i="1"/>
  <c r="F445" i="4" s="1"/>
  <c r="BS389" i="1"/>
  <c r="BR389" i="1" s="1"/>
  <c r="E387" i="4" s="1"/>
  <c r="R273" i="1"/>
  <c r="Q273" i="1" s="1"/>
  <c r="D271" i="4" s="1"/>
  <c r="R333" i="1"/>
  <c r="F331" i="4" s="1"/>
  <c r="R305" i="1"/>
  <c r="F303" i="4" s="1"/>
  <c r="R88" i="1"/>
  <c r="Q88" i="1" s="1"/>
  <c r="D86" i="4" s="1"/>
  <c r="R64" i="1"/>
  <c r="Q64" i="1" s="1"/>
  <c r="D62" i="4" s="1"/>
  <c r="BS32" i="1"/>
  <c r="R102" i="1"/>
  <c r="R70" i="1"/>
  <c r="R11" i="1"/>
  <c r="R52" i="1"/>
  <c r="Q52" i="1" s="1"/>
  <c r="BS469" i="1"/>
  <c r="G467" i="4" s="1"/>
  <c r="BS465" i="1"/>
  <c r="G463" i="4" s="1"/>
  <c r="R153" i="1"/>
  <c r="Q153" i="1" s="1"/>
  <c r="D151" i="4" s="1"/>
  <c r="R479" i="1"/>
  <c r="F477" i="4" s="1"/>
  <c r="R445" i="1"/>
  <c r="F443" i="4" s="1"/>
  <c r="R399" i="1"/>
  <c r="Q399" i="1" s="1"/>
  <c r="D397" i="4" s="1"/>
  <c r="R407" i="1"/>
  <c r="F405" i="4" s="1"/>
  <c r="R403" i="1"/>
  <c r="F401" i="4" s="1"/>
  <c r="R383" i="1"/>
  <c r="F381" i="4" s="1"/>
  <c r="R285" i="1"/>
  <c r="Q285" i="1" s="1"/>
  <c r="D283" i="4" s="1"/>
  <c r="R163" i="1"/>
  <c r="Q163" i="1" s="1"/>
  <c r="D161" i="4" s="1"/>
  <c r="BS120" i="1"/>
  <c r="G118" i="4" s="1"/>
  <c r="R283" i="1"/>
  <c r="F281" i="4" s="1"/>
  <c r="BS231" i="1"/>
  <c r="BR231" i="1" s="1"/>
  <c r="E229" i="4" s="1"/>
  <c r="BS8" i="1"/>
  <c r="R60" i="1"/>
  <c r="Q60" i="1" s="1"/>
  <c r="D58" i="4" s="1"/>
  <c r="BS55" i="1"/>
  <c r="R44" i="1"/>
  <c r="BS250" i="1"/>
  <c r="BS17" i="1"/>
  <c r="BR17" i="1" s="1"/>
  <c r="BS493" i="1"/>
  <c r="G491" i="4" s="1"/>
  <c r="BS293" i="1"/>
  <c r="BS421" i="1"/>
  <c r="G419" i="4" s="1"/>
  <c r="BS360" i="1"/>
  <c r="G358" i="4" s="1"/>
  <c r="BS135" i="1"/>
  <c r="BR135" i="1" s="1"/>
  <c r="E133" i="4" s="1"/>
  <c r="BS158" i="1"/>
  <c r="BR158" i="1" s="1"/>
  <c r="E156" i="4" s="1"/>
  <c r="BS435" i="1"/>
  <c r="BR435" i="1" s="1"/>
  <c r="E433" i="4" s="1"/>
  <c r="BS289" i="1"/>
  <c r="BR289" i="1" s="1"/>
  <c r="E287" i="4" s="1"/>
  <c r="BS86" i="1"/>
  <c r="G84" i="4" s="1"/>
  <c r="BS62" i="1"/>
  <c r="BS160" i="1"/>
  <c r="G158" i="4" s="1"/>
  <c r="BS84" i="1"/>
  <c r="G82" i="4" s="1"/>
  <c r="BS440" i="1"/>
  <c r="G438" i="4" s="1"/>
  <c r="BS121" i="1"/>
  <c r="BR121" i="1" s="1"/>
  <c r="E119" i="4" s="1"/>
  <c r="BS124" i="1"/>
  <c r="G122" i="4" s="1"/>
  <c r="BS346" i="1"/>
  <c r="G344" i="4" s="1"/>
  <c r="BS115" i="1"/>
  <c r="G113" i="4" s="1"/>
  <c r="BS130" i="1"/>
  <c r="BR130" i="1" s="1"/>
  <c r="E128" i="4" s="1"/>
  <c r="BS252" i="1"/>
  <c r="G250" i="4" s="1"/>
  <c r="R215" i="1"/>
  <c r="F213" i="4" s="1"/>
  <c r="BS101" i="1"/>
  <c r="BS93" i="1"/>
  <c r="BS392" i="1"/>
  <c r="BS75" i="1"/>
  <c r="G73" i="4" s="1"/>
  <c r="BS203" i="1"/>
  <c r="BR203" i="1" s="1"/>
  <c r="E201" i="4" s="1"/>
  <c r="BS103" i="1"/>
  <c r="G101" i="4" s="1"/>
  <c r="BS350" i="1"/>
  <c r="G348" i="4" s="1"/>
  <c r="BS258" i="1"/>
  <c r="BR258" i="1" s="1"/>
  <c r="E256" i="4" s="1"/>
  <c r="BS224" i="1"/>
  <c r="G222" i="4" s="1"/>
  <c r="R203" i="1"/>
  <c r="Q203" i="1" s="1"/>
  <c r="D201" i="4" s="1"/>
  <c r="BS290" i="1"/>
  <c r="G288" i="4" s="1"/>
  <c r="BS264" i="1"/>
  <c r="R460" i="1"/>
  <c r="F458" i="4" s="1"/>
  <c r="BS470" i="1"/>
  <c r="G468" i="4" s="1"/>
  <c r="BS445" i="1"/>
  <c r="BR445" i="1" s="1"/>
  <c r="E443" i="4" s="1"/>
  <c r="BS374" i="1"/>
  <c r="BR374" i="1" s="1"/>
  <c r="E372" i="4" s="1"/>
  <c r="BS385" i="1"/>
  <c r="BS471" i="1"/>
  <c r="BR471" i="1" s="1"/>
  <c r="E469" i="4" s="1"/>
  <c r="BS340" i="1"/>
  <c r="G338" i="4" s="1"/>
  <c r="BS467" i="1"/>
  <c r="G465" i="4" s="1"/>
  <c r="R489" i="1"/>
  <c r="F487" i="4" s="1"/>
  <c r="R490" i="1"/>
  <c r="F488" i="4" s="1"/>
  <c r="BS462" i="1"/>
  <c r="BR462" i="1" s="1"/>
  <c r="E460" i="4" s="1"/>
  <c r="BS410" i="1"/>
  <c r="BR410" i="1" s="1"/>
  <c r="E408" i="4" s="1"/>
  <c r="BS38" i="1"/>
  <c r="BR38" i="1" s="1"/>
  <c r="BS31" i="1"/>
  <c r="BS44" i="1"/>
  <c r="R189" i="1"/>
  <c r="F187" i="4" s="1"/>
  <c r="BS143" i="1"/>
  <c r="G141" i="4" s="1"/>
  <c r="R117" i="1"/>
  <c r="F115" i="4" s="1"/>
  <c r="R113" i="1"/>
  <c r="F111" i="4" s="1"/>
  <c r="M458" i="4"/>
  <c r="R499" i="1"/>
  <c r="Q499" i="1" s="1"/>
  <c r="D497" i="4" s="1"/>
  <c r="R455" i="1"/>
  <c r="Q455" i="1" s="1"/>
  <c r="D453" i="4" s="1"/>
  <c r="BS186" i="1"/>
  <c r="G184" i="4" s="1"/>
  <c r="R461" i="1"/>
  <c r="F459" i="4" s="1"/>
  <c r="BS478" i="1"/>
  <c r="G476" i="4" s="1"/>
  <c r="R387" i="1"/>
  <c r="F385" i="4" s="1"/>
  <c r="R363" i="1"/>
  <c r="Q363" i="1" s="1"/>
  <c r="D361" i="4" s="1"/>
  <c r="R327" i="1"/>
  <c r="F325" i="4" s="1"/>
  <c r="R239" i="1"/>
  <c r="BS235" i="1"/>
  <c r="BR235" i="1" s="1"/>
  <c r="E233" i="4" s="1"/>
  <c r="BS156" i="1"/>
  <c r="G154" i="4" s="1"/>
  <c r="BS128" i="1"/>
  <c r="G126" i="4" s="1"/>
  <c r="BS246" i="1"/>
  <c r="G244" i="4" s="1"/>
  <c r="R321" i="1"/>
  <c r="R279" i="1"/>
  <c r="BS26" i="1"/>
  <c r="BS141" i="1"/>
  <c r="BS60" i="1"/>
  <c r="G58" i="4" s="1"/>
  <c r="BS85" i="1"/>
  <c r="BS414" i="1"/>
  <c r="G412" i="4" s="1"/>
  <c r="BS426" i="1"/>
  <c r="R359" i="1"/>
  <c r="F357" i="4" s="1"/>
  <c r="BS280" i="1"/>
  <c r="G278" i="4" s="1"/>
  <c r="R105" i="1"/>
  <c r="F103" i="4" s="1"/>
  <c r="BS99" i="1"/>
  <c r="G97" i="4" s="1"/>
  <c r="BS41" i="1"/>
  <c r="BS491" i="1"/>
  <c r="BR491" i="1" s="1"/>
  <c r="E489" i="4" s="1"/>
  <c r="BS187" i="1"/>
  <c r="G185" i="4" s="1"/>
  <c r="BS123" i="1"/>
  <c r="G121" i="4" s="1"/>
  <c r="BS111" i="1"/>
  <c r="BR111" i="1" s="1"/>
  <c r="E109" i="4" s="1"/>
  <c r="R480" i="1"/>
  <c r="Q480" i="1" s="1"/>
  <c r="D478" i="4" s="1"/>
  <c r="R207" i="1"/>
  <c r="Q207" i="1" s="1"/>
  <c r="D205" i="4" s="1"/>
  <c r="BS413" i="1"/>
  <c r="G411" i="4" s="1"/>
  <c r="BS324" i="1"/>
  <c r="BR324" i="1" s="1"/>
  <c r="E322" i="4" s="1"/>
  <c r="BS286" i="1"/>
  <c r="G284" i="4" s="1"/>
  <c r="BS263" i="1"/>
  <c r="G261" i="4" s="1"/>
  <c r="BS253" i="1"/>
  <c r="BR253" i="1" s="1"/>
  <c r="E251" i="4" s="1"/>
  <c r="BS249" i="1"/>
  <c r="BR249" i="1" s="1"/>
  <c r="E247" i="4" s="1"/>
  <c r="BS217" i="1"/>
  <c r="G215" i="4" s="1"/>
  <c r="BS164" i="1"/>
  <c r="BR164" i="1" s="1"/>
  <c r="E162" i="4" s="1"/>
  <c r="BS136" i="1"/>
  <c r="BS112" i="1"/>
  <c r="BR112" i="1" s="1"/>
  <c r="E110" i="4" s="1"/>
  <c r="R275" i="1"/>
  <c r="BS238" i="1"/>
  <c r="BS266" i="1"/>
  <c r="BR266" i="1" s="1"/>
  <c r="E264" i="4" s="1"/>
  <c r="R143" i="1"/>
  <c r="Q143" i="1" s="1"/>
  <c r="D141" i="4" s="1"/>
  <c r="BS88" i="1"/>
  <c r="G86" i="4" s="1"/>
  <c r="BS24" i="1"/>
  <c r="BS481" i="1"/>
  <c r="G479" i="4" s="1"/>
  <c r="BS406" i="1"/>
  <c r="G404" i="4" s="1"/>
  <c r="R439" i="1"/>
  <c r="F437" i="4" s="1"/>
  <c r="BS422" i="1"/>
  <c r="G420" i="4" s="1"/>
  <c r="BS436" i="1"/>
  <c r="BR436" i="1" s="1"/>
  <c r="E434" i="4" s="1"/>
  <c r="BS377" i="1"/>
  <c r="G375" i="4" s="1"/>
  <c r="BS320" i="1"/>
  <c r="G318" i="4" s="1"/>
  <c r="BS225" i="1"/>
  <c r="BR225" i="1" s="1"/>
  <c r="E223" i="4" s="1"/>
  <c r="BS418" i="1"/>
  <c r="BR418" i="1" s="1"/>
  <c r="E416" i="4" s="1"/>
  <c r="R335" i="1"/>
  <c r="F333" i="4" s="1"/>
  <c r="R205" i="1"/>
  <c r="F203" i="4" s="1"/>
  <c r="R125" i="1"/>
  <c r="F123" i="4" s="1"/>
  <c r="BS236" i="1"/>
  <c r="G234" i="4" s="1"/>
  <c r="R177" i="1"/>
  <c r="Q177" i="1" s="1"/>
  <c r="D175" i="4" s="1"/>
  <c r="BS152" i="1"/>
  <c r="G150" i="4" s="1"/>
  <c r="BS96" i="1"/>
  <c r="BR96" i="1" s="1"/>
  <c r="E94" i="4" s="1"/>
  <c r="BS43" i="1"/>
  <c r="BS15" i="1"/>
  <c r="BS489" i="1"/>
  <c r="G487" i="4" s="1"/>
  <c r="R301" i="1"/>
  <c r="F299" i="4" s="1"/>
  <c r="BS171" i="1"/>
  <c r="G169" i="4" s="1"/>
  <c r="BS210" i="1"/>
  <c r="G208" i="4" s="1"/>
  <c r="R465" i="1"/>
  <c r="F463" i="4" s="1"/>
  <c r="BS444" i="1"/>
  <c r="G442" i="4" s="1"/>
  <c r="BS433" i="1"/>
  <c r="G431" i="4" s="1"/>
  <c r="R389" i="1"/>
  <c r="F387" i="4" s="1"/>
  <c r="BS356" i="1"/>
  <c r="G354" i="4" s="1"/>
  <c r="BS316" i="1"/>
  <c r="BS311" i="1"/>
  <c r="G309" i="4" s="1"/>
  <c r="BS327" i="1"/>
  <c r="R331" i="1"/>
  <c r="R179" i="1"/>
  <c r="F177" i="4" s="1"/>
  <c r="R297" i="1"/>
  <c r="F295" i="4" s="1"/>
  <c r="R245" i="1"/>
  <c r="Q245" i="1" s="1"/>
  <c r="D243" i="4" s="1"/>
  <c r="R96" i="1"/>
  <c r="F94" i="4" s="1"/>
  <c r="BS23" i="1"/>
  <c r="BR23" i="1" s="1"/>
  <c r="R29" i="1"/>
  <c r="BS132" i="1"/>
  <c r="BS47" i="1"/>
  <c r="BS51" i="1"/>
  <c r="R84" i="1"/>
  <c r="BS412" i="1"/>
  <c r="BS105" i="1"/>
  <c r="G103" i="4" s="1"/>
  <c r="BS318" i="1"/>
  <c r="BS168" i="1"/>
  <c r="G166" i="4" s="1"/>
  <c r="R66" i="1"/>
  <c r="R74" i="1"/>
  <c r="F72" i="4" s="1"/>
  <c r="BS456" i="1"/>
  <c r="G454" i="4" s="1"/>
  <c r="BS355" i="1"/>
  <c r="G353" i="4" s="1"/>
  <c r="R173" i="1"/>
  <c r="Q173" i="1" s="1"/>
  <c r="D171" i="4" s="1"/>
  <c r="R130" i="1"/>
  <c r="Q130" i="1" s="1"/>
  <c r="D128" i="4" s="1"/>
  <c r="BS107" i="1"/>
  <c r="G105" i="4" s="1"/>
  <c r="R27" i="1"/>
  <c r="BS138" i="1"/>
  <c r="BR138" i="1" s="1"/>
  <c r="E136" i="4" s="1"/>
  <c r="R18" i="1"/>
  <c r="R470" i="1"/>
  <c r="F468" i="4" s="1"/>
  <c r="R381" i="1"/>
  <c r="F379" i="4" s="1"/>
  <c r="BS405" i="1"/>
  <c r="BR405" i="1" s="1"/>
  <c r="E403" i="4" s="1"/>
  <c r="BS337" i="1"/>
  <c r="BS287" i="1"/>
  <c r="G285" i="4" s="1"/>
  <c r="BS331" i="1"/>
  <c r="G329" i="4" s="1"/>
  <c r="BS94" i="1"/>
  <c r="BS73" i="1"/>
  <c r="BS65" i="1"/>
  <c r="BS176" i="1"/>
  <c r="G174" i="4" s="1"/>
  <c r="R115" i="1"/>
  <c r="F113" i="4" s="1"/>
  <c r="BS79" i="1"/>
  <c r="G77" i="4" s="1"/>
  <c r="BS36" i="1"/>
  <c r="BS13" i="1"/>
  <c r="BR13" i="1" s="1"/>
  <c r="R92" i="1"/>
  <c r="Q92" i="1" s="1"/>
  <c r="D90" i="4" s="1"/>
  <c r="R36" i="1"/>
  <c r="Q36" i="1" s="1"/>
  <c r="R191" i="1"/>
  <c r="Q191" i="1" s="1"/>
  <c r="D189" i="4" s="1"/>
  <c r="BS28" i="1"/>
  <c r="BS449" i="1"/>
  <c r="BR449" i="1" s="1"/>
  <c r="E447" i="4" s="1"/>
  <c r="BS180" i="1"/>
  <c r="G178" i="4" s="1"/>
  <c r="BS472" i="1"/>
  <c r="G470" i="4" s="1"/>
  <c r="BS175" i="1"/>
  <c r="G173" i="4" s="1"/>
  <c r="R133" i="1"/>
  <c r="F131" i="4" s="1"/>
  <c r="R463" i="1"/>
  <c r="F461" i="4" s="1"/>
  <c r="R219" i="1"/>
  <c r="F217" i="4" s="1"/>
  <c r="R451" i="1"/>
  <c r="R469" i="1"/>
  <c r="F467" i="4" s="1"/>
  <c r="BS451" i="1"/>
  <c r="G449" i="4" s="1"/>
  <c r="R423" i="1"/>
  <c r="F421" i="4" s="1"/>
  <c r="BS446" i="1"/>
  <c r="G444" i="4" s="1"/>
  <c r="BS393" i="1"/>
  <c r="G391" i="4" s="1"/>
  <c r="BS415" i="1"/>
  <c r="BS401" i="1"/>
  <c r="G399" i="4" s="1"/>
  <c r="BS363" i="1"/>
  <c r="BR363" i="1" s="1"/>
  <c r="E361" i="4" s="1"/>
  <c r="BS275" i="1"/>
  <c r="BS268" i="1"/>
  <c r="BS247" i="1"/>
  <c r="G245" i="4" s="1"/>
  <c r="R243" i="1"/>
  <c r="BS196" i="1"/>
  <c r="BS226" i="1"/>
  <c r="R317" i="1"/>
  <c r="Q317" i="1" s="1"/>
  <c r="D315" i="4" s="1"/>
  <c r="R265" i="1"/>
  <c r="Q265" i="1" s="1"/>
  <c r="D263" i="4" s="1"/>
  <c r="BS230" i="1"/>
  <c r="BR230" i="1" s="1"/>
  <c r="E228" i="4" s="1"/>
  <c r="BS81" i="1"/>
  <c r="R30" i="1"/>
  <c r="R7" i="1"/>
  <c r="BS63" i="1"/>
  <c r="BR63" i="1" s="1"/>
  <c r="E61" i="4" s="1"/>
  <c r="BS473" i="1"/>
  <c r="G471" i="4" s="1"/>
  <c r="M482" i="4"/>
  <c r="BS178" i="1"/>
  <c r="G176" i="4" s="1"/>
  <c r="BS162" i="1"/>
  <c r="G160" i="4" s="1"/>
  <c r="BS339" i="1"/>
  <c r="G337" i="4" s="1"/>
  <c r="BS292" i="1"/>
  <c r="G290" i="4" s="1"/>
  <c r="BS271" i="1"/>
  <c r="BS279" i="1"/>
  <c r="BR279" i="1" s="1"/>
  <c r="E277" i="4" s="1"/>
  <c r="BS200" i="1"/>
  <c r="G198" i="4" s="1"/>
  <c r="BS276" i="1"/>
  <c r="G274" i="4" s="1"/>
  <c r="BS256" i="1"/>
  <c r="G254" i="4" s="1"/>
  <c r="BS213" i="1"/>
  <c r="G211" i="4" s="1"/>
  <c r="BS151" i="1"/>
  <c r="G149" i="4" s="1"/>
  <c r="BS145" i="1"/>
  <c r="R241" i="1"/>
  <c r="BS212" i="1"/>
  <c r="G210" i="4" s="1"/>
  <c r="BS208" i="1"/>
  <c r="R476" i="1"/>
  <c r="F474" i="4" s="1"/>
  <c r="R494" i="1"/>
  <c r="Q494" i="1" s="1"/>
  <c r="D492" i="4" s="1"/>
  <c r="BS479" i="1"/>
  <c r="G477" i="4" s="1"/>
  <c r="R473" i="1"/>
  <c r="F471" i="4" s="1"/>
  <c r="BS463" i="1"/>
  <c r="G461" i="4" s="1"/>
  <c r="BS441" i="1"/>
  <c r="G439" i="4" s="1"/>
  <c r="R496" i="1"/>
  <c r="Q496" i="1" s="1"/>
  <c r="D494" i="4" s="1"/>
  <c r="BS492" i="1"/>
  <c r="G490" i="4" s="1"/>
  <c r="BS450" i="1"/>
  <c r="BR450" i="1" s="1"/>
  <c r="E448" i="4" s="1"/>
  <c r="BS437" i="1"/>
  <c r="G435" i="4" s="1"/>
  <c r="BS416" i="1"/>
  <c r="G414" i="4" s="1"/>
  <c r="BS427" i="1"/>
  <c r="G425" i="4" s="1"/>
  <c r="BS400" i="1"/>
  <c r="BS396" i="1"/>
  <c r="G394" i="4" s="1"/>
  <c r="BS391" i="1"/>
  <c r="G389" i="4" s="1"/>
  <c r="BS387" i="1"/>
  <c r="BR387" i="1" s="1"/>
  <c r="E385" i="4" s="1"/>
  <c r="BS382" i="1"/>
  <c r="G380" i="4" s="1"/>
  <c r="BS375" i="1"/>
  <c r="G373" i="4" s="1"/>
  <c r="BS371" i="1"/>
  <c r="G369" i="4" s="1"/>
  <c r="BS390" i="1"/>
  <c r="BR390" i="1" s="1"/>
  <c r="E388" i="4" s="1"/>
  <c r="BS383" i="1"/>
  <c r="G381" i="4" s="1"/>
  <c r="BS369" i="1"/>
  <c r="BS365" i="1"/>
  <c r="BR365" i="1" s="1"/>
  <c r="E363" i="4" s="1"/>
  <c r="BS358" i="1"/>
  <c r="G356" i="4" s="1"/>
  <c r="BS317" i="1"/>
  <c r="G315" i="4" s="1"/>
  <c r="BS312" i="1"/>
  <c r="G310" i="4" s="1"/>
  <c r="BS305" i="1"/>
  <c r="BS338" i="1"/>
  <c r="BS306" i="1"/>
  <c r="R295" i="1"/>
  <c r="BS314" i="1"/>
  <c r="R263" i="1"/>
  <c r="BS257" i="1"/>
  <c r="BS172" i="1"/>
  <c r="R271" i="1"/>
  <c r="BS72" i="1"/>
  <c r="G70" i="4" s="1"/>
  <c r="BS64" i="1"/>
  <c r="G62" i="4" s="1"/>
  <c r="BS29" i="1"/>
  <c r="BR29" i="1" s="1"/>
  <c r="BS52" i="1"/>
  <c r="BS40" i="1"/>
  <c r="BS57" i="1"/>
  <c r="BS116" i="1"/>
  <c r="BS71" i="1"/>
  <c r="BS39" i="1"/>
  <c r="BR39" i="1" s="1"/>
  <c r="R98" i="1"/>
  <c r="F96" i="4" s="1"/>
  <c r="R303" i="1"/>
  <c r="BS58" i="1"/>
  <c r="BS22" i="1"/>
  <c r="BS153" i="1"/>
  <c r="BS265" i="1"/>
  <c r="G263" i="4" s="1"/>
  <c r="BS74" i="1"/>
  <c r="BR74" i="1" s="1"/>
  <c r="E72" i="4" s="1"/>
  <c r="R72" i="1"/>
  <c r="F70" i="4" s="1"/>
  <c r="R86" i="1"/>
  <c r="BS27" i="1"/>
  <c r="R464" i="1"/>
  <c r="F462" i="4" s="1"/>
  <c r="BS495" i="1"/>
  <c r="G493" i="4" s="1"/>
  <c r="BS432" i="1"/>
  <c r="BS402" i="1"/>
  <c r="BR402" i="1" s="1"/>
  <c r="E400" i="4" s="1"/>
  <c r="R466" i="1"/>
  <c r="F464" i="4" s="1"/>
  <c r="BS439" i="1"/>
  <c r="G437" i="4" s="1"/>
  <c r="R456" i="1"/>
  <c r="F454" i="4" s="1"/>
  <c r="BS438" i="1"/>
  <c r="G436" i="4" s="1"/>
  <c r="BS485" i="1"/>
  <c r="G483" i="4" s="1"/>
  <c r="BS342" i="1"/>
  <c r="G340" i="4" s="1"/>
  <c r="BS288" i="1"/>
  <c r="G286" i="4" s="1"/>
  <c r="R373" i="1"/>
  <c r="BS321" i="1"/>
  <c r="G319" i="4" s="1"/>
  <c r="BS308" i="1"/>
  <c r="BR308" i="1" s="1"/>
  <c r="E306" i="4" s="1"/>
  <c r="BS298" i="1"/>
  <c r="BS205" i="1"/>
  <c r="BS344" i="1"/>
  <c r="G342" i="4" s="1"/>
  <c r="BS322" i="1"/>
  <c r="BS149" i="1"/>
  <c r="BR149" i="1" s="1"/>
  <c r="E147" i="4" s="1"/>
  <c r="BS76" i="1"/>
  <c r="BR76" i="1" s="1"/>
  <c r="E74" i="4" s="1"/>
  <c r="R38" i="1"/>
  <c r="Q38" i="1" s="1"/>
  <c r="BS91" i="1"/>
  <c r="G89" i="4" s="1"/>
  <c r="BS82" i="1"/>
  <c r="BR82" i="1" s="1"/>
  <c r="E80" i="4" s="1"/>
  <c r="R90" i="1"/>
  <c r="M433" i="4"/>
  <c r="R435" i="1"/>
  <c r="F433" i="4" s="1"/>
  <c r="M415" i="4"/>
  <c r="R417" i="1"/>
  <c r="R181" i="1"/>
  <c r="F179" i="4" s="1"/>
  <c r="R149" i="1"/>
  <c r="F147" i="4" s="1"/>
  <c r="BS127" i="1"/>
  <c r="G125" i="4" s="1"/>
  <c r="BS419" i="1"/>
  <c r="BS404" i="1"/>
  <c r="BS330" i="1"/>
  <c r="BS302" i="1"/>
  <c r="G300" i="4" s="1"/>
  <c r="R281" i="1"/>
  <c r="F279" i="4" s="1"/>
  <c r="BS95" i="1"/>
  <c r="BS9" i="1"/>
  <c r="BR9" i="1" s="1"/>
  <c r="R13" i="1"/>
  <c r="BS428" i="1"/>
  <c r="M365" i="4"/>
  <c r="R367" i="1"/>
  <c r="M247" i="4"/>
  <c r="R249" i="1"/>
  <c r="BS16" i="1"/>
  <c r="R269" i="1"/>
  <c r="BS477" i="1"/>
  <c r="BR477" i="1" s="1"/>
  <c r="E475" i="4" s="1"/>
  <c r="R478" i="1"/>
  <c r="Q478" i="1" s="1"/>
  <c r="D476" i="4" s="1"/>
  <c r="BS347" i="1"/>
  <c r="G345" i="4" s="1"/>
  <c r="BS484" i="1"/>
  <c r="G482" i="4" s="1"/>
  <c r="BS460" i="1"/>
  <c r="G458" i="4" s="1"/>
  <c r="R221" i="1"/>
  <c r="F219" i="4" s="1"/>
  <c r="BS191" i="1"/>
  <c r="G189" i="4" s="1"/>
  <c r="BS183" i="1"/>
  <c r="G181" i="4" s="1"/>
  <c r="BS179" i="1"/>
  <c r="G177" i="4" s="1"/>
  <c r="BS155" i="1"/>
  <c r="BR155" i="1" s="1"/>
  <c r="E153" i="4" s="1"/>
  <c r="BS139" i="1"/>
  <c r="G137" i="4" s="1"/>
  <c r="BS202" i="1"/>
  <c r="BR202" i="1" s="1"/>
  <c r="E200" i="4" s="1"/>
  <c r="BS122" i="1"/>
  <c r="G120" i="4" s="1"/>
  <c r="R491" i="1"/>
  <c r="F489" i="4" s="1"/>
  <c r="R8" i="1"/>
  <c r="Q8" i="1" s="1"/>
  <c r="BS447" i="1"/>
  <c r="R488" i="1"/>
  <c r="F486" i="4" s="1"/>
  <c r="BS442" i="1"/>
  <c r="BS430" i="1"/>
  <c r="G428" i="4" s="1"/>
  <c r="R419" i="1"/>
  <c r="BS397" i="1"/>
  <c r="BS341" i="1"/>
  <c r="BR341" i="1" s="1"/>
  <c r="E339" i="4" s="1"/>
  <c r="BS45" i="1"/>
  <c r="R421" i="1"/>
  <c r="M267" i="4"/>
  <c r="R235" i="1"/>
  <c r="M185" i="4"/>
  <c r="R187" i="1"/>
  <c r="Q187" i="1" s="1"/>
  <c r="D185" i="4" s="1"/>
  <c r="M56" i="4"/>
  <c r="R23" i="1"/>
  <c r="M80" i="4"/>
  <c r="R82" i="1"/>
  <c r="M107" i="4"/>
  <c r="R109" i="1"/>
  <c r="F107" i="4" s="1"/>
  <c r="BS499" i="1"/>
  <c r="BR499" i="1" s="1"/>
  <c r="E497" i="4" s="1"/>
  <c r="M464" i="4"/>
  <c r="BS207" i="1"/>
  <c r="G205" i="4" s="1"/>
  <c r="BS199" i="1"/>
  <c r="BR199" i="1" s="1"/>
  <c r="E197" i="4" s="1"/>
  <c r="BS206" i="1"/>
  <c r="BR206" i="1" s="1"/>
  <c r="E204" i="4" s="1"/>
  <c r="BS190" i="1"/>
  <c r="BR190" i="1" s="1"/>
  <c r="E188" i="4" s="1"/>
  <c r="BS126" i="1"/>
  <c r="BR126" i="1" s="1"/>
  <c r="E124" i="4" s="1"/>
  <c r="M201" i="4"/>
  <c r="BS487" i="1"/>
  <c r="G485" i="4" s="1"/>
  <c r="BS434" i="1"/>
  <c r="BS454" i="1"/>
  <c r="G452" i="4" s="1"/>
  <c r="BS367" i="1"/>
  <c r="BS300" i="1"/>
  <c r="G298" i="4" s="1"/>
  <c r="BS380" i="1"/>
  <c r="G378" i="4" s="1"/>
  <c r="BS291" i="1"/>
  <c r="BS283" i="1"/>
  <c r="BS255" i="1"/>
  <c r="BS137" i="1"/>
  <c r="G135" i="4" s="1"/>
  <c r="BS233" i="1"/>
  <c r="G231" i="4" s="1"/>
  <c r="BS192" i="1"/>
  <c r="F137" i="4"/>
  <c r="S22" i="1"/>
  <c r="M38" i="4" s="1"/>
  <c r="O21" i="4"/>
  <c r="BS20" i="1"/>
  <c r="BR20" i="1" s="1"/>
  <c r="BS353" i="1"/>
  <c r="BR353" i="1" s="1"/>
  <c r="E351" i="4" s="1"/>
  <c r="BS345" i="1"/>
  <c r="BR345" i="1" s="1"/>
  <c r="E343" i="4" s="1"/>
  <c r="R341" i="1"/>
  <c r="F339" i="4" s="1"/>
  <c r="BS198" i="1"/>
  <c r="BR198" i="1" s="1"/>
  <c r="E196" i="4" s="1"/>
  <c r="BS150" i="1"/>
  <c r="BR150" i="1" s="1"/>
  <c r="E148" i="4" s="1"/>
  <c r="BS118" i="1"/>
  <c r="G116" i="4" s="1"/>
  <c r="BS110" i="1"/>
  <c r="G108" i="4" s="1"/>
  <c r="BS106" i="1"/>
  <c r="BR106" i="1" s="1"/>
  <c r="E104" i="4" s="1"/>
  <c r="Q377" i="1"/>
  <c r="D375" i="4" s="1"/>
  <c r="BS474" i="1"/>
  <c r="G472" i="4" s="1"/>
  <c r="BS498" i="1"/>
  <c r="G496" i="4" s="1"/>
  <c r="R468" i="1"/>
  <c r="F466" i="4" s="1"/>
  <c r="R453" i="1"/>
  <c r="Q453" i="1" s="1"/>
  <c r="D451" i="4" s="1"/>
  <c r="BS425" i="1"/>
  <c r="G423" i="4" s="1"/>
  <c r="R472" i="1"/>
  <c r="F470" i="4" s="1"/>
  <c r="BS361" i="1"/>
  <c r="BR361" i="1" s="1"/>
  <c r="E359" i="4" s="1"/>
  <c r="BS329" i="1"/>
  <c r="G327" i="4" s="1"/>
  <c r="BS325" i="1"/>
  <c r="BS319" i="1"/>
  <c r="BS297" i="1"/>
  <c r="BR297" i="1" s="1"/>
  <c r="E295" i="4" s="1"/>
  <c r="BS285" i="1"/>
  <c r="G283" i="4" s="1"/>
  <c r="BS399" i="1"/>
  <c r="G397" i="4" s="1"/>
  <c r="BS313" i="1"/>
  <c r="BS248" i="1"/>
  <c r="BS243" i="1"/>
  <c r="BR243" i="1" s="1"/>
  <c r="E241" i="4" s="1"/>
  <c r="R155" i="1"/>
  <c r="BS232" i="1"/>
  <c r="BS188" i="1"/>
  <c r="BS140" i="1"/>
  <c r="G138" i="4" s="1"/>
  <c r="BS90" i="1"/>
  <c r="BR90" i="1" s="1"/>
  <c r="E88" i="4" s="1"/>
  <c r="BS66" i="1"/>
  <c r="G64" i="4" s="1"/>
  <c r="BS7" i="1"/>
  <c r="BS42" i="1"/>
  <c r="BS46" i="1"/>
  <c r="BS69" i="1"/>
  <c r="G67" i="4" s="1"/>
  <c r="BS33" i="1"/>
  <c r="R42" i="1"/>
  <c r="R175" i="1"/>
  <c r="R159" i="1"/>
  <c r="R53" i="1"/>
  <c r="Q53" i="1" s="1"/>
  <c r="BS6" i="1"/>
  <c r="BS61" i="1"/>
  <c r="BS10" i="1"/>
  <c r="BR10" i="1" s="1"/>
  <c r="R19" i="1"/>
  <c r="BS227" i="1"/>
  <c r="BS173" i="1"/>
  <c r="BS452" i="1"/>
  <c r="BS409" i="1"/>
  <c r="G407" i="4" s="1"/>
  <c r="BS407" i="1"/>
  <c r="G405" i="4" s="1"/>
  <c r="BS373" i="1"/>
  <c r="G371" i="4" s="1"/>
  <c r="BS411" i="1"/>
  <c r="G409" i="4" s="1"/>
  <c r="BS335" i="1"/>
  <c r="BR335" i="1" s="1"/>
  <c r="E333" i="4" s="1"/>
  <c r="BS307" i="1"/>
  <c r="BR307" i="1" s="1"/>
  <c r="E305" i="4" s="1"/>
  <c r="BS299" i="1"/>
  <c r="G297" i="4" s="1"/>
  <c r="BS296" i="1"/>
  <c r="BS278" i="1"/>
  <c r="BS328" i="1"/>
  <c r="BR328" i="1" s="1"/>
  <c r="E326" i="4" s="1"/>
  <c r="BS310" i="1"/>
  <c r="BS239" i="1"/>
  <c r="G237" i="4" s="1"/>
  <c r="BS220" i="1"/>
  <c r="BS201" i="1"/>
  <c r="BS148" i="1"/>
  <c r="R111" i="1"/>
  <c r="BS262" i="1"/>
  <c r="BS245" i="1"/>
  <c r="BS234" i="1"/>
  <c r="BS216" i="1"/>
  <c r="R255" i="1"/>
  <c r="F253" i="4" s="1"/>
  <c r="BS242" i="1"/>
  <c r="BS260" i="1"/>
  <c r="G258" i="4" s="1"/>
  <c r="BS89" i="1"/>
  <c r="BS78" i="1"/>
  <c r="BS25" i="1"/>
  <c r="BS48" i="1"/>
  <c r="BS37" i="1"/>
  <c r="G49" i="4" s="1"/>
  <c r="BS80" i="1"/>
  <c r="BR80" i="1" s="1"/>
  <c r="E78" i="4" s="1"/>
  <c r="R76" i="1"/>
  <c r="BS56" i="1"/>
  <c r="BS35" i="1"/>
  <c r="F335" i="4"/>
  <c r="BS482" i="1"/>
  <c r="BS408" i="1"/>
  <c r="BS274" i="1"/>
  <c r="M353" i="4"/>
  <c r="R355" i="1"/>
  <c r="BS351" i="1"/>
  <c r="BS384" i="1"/>
  <c r="BS379" i="1"/>
  <c r="BS309" i="1"/>
  <c r="BS237" i="1"/>
  <c r="BS184" i="1"/>
  <c r="BS272" i="1"/>
  <c r="BS177" i="1"/>
  <c r="BS102" i="1"/>
  <c r="BS70" i="1"/>
  <c r="R167" i="1"/>
  <c r="BS113" i="1"/>
  <c r="BS466" i="1"/>
  <c r="M395" i="4"/>
  <c r="R397" i="1"/>
  <c r="R349" i="1"/>
  <c r="F347" i="4" s="1"/>
  <c r="BS142" i="1"/>
  <c r="BR142" i="1" s="1"/>
  <c r="E140" i="4" s="1"/>
  <c r="BS185" i="1"/>
  <c r="G183" i="4" s="1"/>
  <c r="R486" i="1"/>
  <c r="F484" i="4" s="1"/>
  <c r="BS457" i="1"/>
  <c r="G455" i="4" s="1"/>
  <c r="R498" i="1"/>
  <c r="F496" i="4" s="1"/>
  <c r="R351" i="1"/>
  <c r="F349" i="4" s="1"/>
  <c r="BS195" i="1"/>
  <c r="BR195" i="1" s="1"/>
  <c r="E193" i="4" s="1"/>
  <c r="BS159" i="1"/>
  <c r="G157" i="4" s="1"/>
  <c r="BS147" i="1"/>
  <c r="G145" i="4" s="1"/>
  <c r="M470" i="4"/>
  <c r="R457" i="1"/>
  <c r="Q457" i="1" s="1"/>
  <c r="D455" i="4" s="1"/>
  <c r="BS146" i="1"/>
  <c r="G144" i="4" s="1"/>
  <c r="R58" i="1"/>
  <c r="BS448" i="1"/>
  <c r="BS395" i="1"/>
  <c r="BS386" i="1"/>
  <c r="BS403" i="1"/>
  <c r="BS394" i="1"/>
  <c r="BS376" i="1"/>
  <c r="BS372" i="1"/>
  <c r="R427" i="1"/>
  <c r="BS359" i="1"/>
  <c r="BS323" i="1"/>
  <c r="BS273" i="1"/>
  <c r="M403" i="4"/>
  <c r="R405" i="1"/>
  <c r="BS370" i="1"/>
  <c r="BS357" i="1"/>
  <c r="BS332" i="1"/>
  <c r="BS295" i="1"/>
  <c r="BS251" i="1"/>
  <c r="BS197" i="1"/>
  <c r="BS222" i="1"/>
  <c r="BS189" i="1"/>
  <c r="BS169" i="1"/>
  <c r="BS144" i="1"/>
  <c r="BS241" i="1"/>
  <c r="BS117" i="1"/>
  <c r="R123" i="1"/>
  <c r="BS129" i="1"/>
  <c r="BS109" i="1"/>
  <c r="BS429" i="1"/>
  <c r="BS131" i="1"/>
  <c r="G129" i="4" s="1"/>
  <c r="BS119" i="1"/>
  <c r="G117" i="4" s="1"/>
  <c r="BS174" i="1"/>
  <c r="BR174" i="1" s="1"/>
  <c r="E172" i="4" s="1"/>
  <c r="BS219" i="1"/>
  <c r="G217" i="4" s="1"/>
  <c r="BS215" i="1"/>
  <c r="G213" i="4" s="1"/>
  <c r="BS423" i="1"/>
  <c r="BS431" i="1"/>
  <c r="BS424" i="1"/>
  <c r="BS420" i="1"/>
  <c r="M429" i="4"/>
  <c r="R431" i="1"/>
  <c r="R441" i="1"/>
  <c r="R409" i="1"/>
  <c r="BS417" i="1"/>
  <c r="BS381" i="1"/>
  <c r="M345" i="4"/>
  <c r="R347" i="1"/>
  <c r="M351" i="4"/>
  <c r="R353" i="1"/>
  <c r="BS349" i="1"/>
  <c r="R345" i="1"/>
  <c r="BS333" i="1"/>
  <c r="BS301" i="1"/>
  <c r="BS364" i="1"/>
  <c r="R401" i="1"/>
  <c r="BS261" i="1"/>
  <c r="BS269" i="1"/>
  <c r="BS228" i="1"/>
  <c r="BS161" i="1"/>
  <c r="BS281" i="1"/>
  <c r="BS133" i="1"/>
  <c r="M45" i="4"/>
  <c r="R34" i="1"/>
  <c r="BS125" i="1"/>
  <c r="R107" i="1"/>
  <c r="BS50" i="1"/>
  <c r="R289" i="1"/>
  <c r="R151" i="1"/>
  <c r="M97" i="4"/>
  <c r="R99" i="1"/>
  <c r="M89" i="4"/>
  <c r="R91" i="1"/>
  <c r="M81" i="4"/>
  <c r="R83" i="1"/>
  <c r="M73" i="4"/>
  <c r="R75" i="1"/>
  <c r="M65" i="4"/>
  <c r="R67" i="1"/>
  <c r="M57" i="4"/>
  <c r="R59" i="1"/>
  <c r="M242" i="4"/>
  <c r="R244" i="1"/>
  <c r="M132" i="4"/>
  <c r="R134" i="1"/>
  <c r="M330" i="4"/>
  <c r="R332" i="1"/>
  <c r="M314" i="4"/>
  <c r="R316" i="1"/>
  <c r="M306" i="4"/>
  <c r="R308" i="1"/>
  <c r="M214" i="4"/>
  <c r="R216" i="1"/>
  <c r="M198" i="4"/>
  <c r="R200" i="1"/>
  <c r="M182" i="4"/>
  <c r="R184" i="1"/>
  <c r="M134" i="4"/>
  <c r="R136" i="1"/>
  <c r="M118" i="4"/>
  <c r="R120" i="1"/>
  <c r="M332" i="4"/>
  <c r="R334" i="1"/>
  <c r="M316" i="4"/>
  <c r="R318" i="1"/>
  <c r="M296" i="4"/>
  <c r="R298" i="1"/>
  <c r="M280" i="4"/>
  <c r="R282" i="1"/>
  <c r="M248" i="4"/>
  <c r="R250" i="1"/>
  <c r="M200" i="4"/>
  <c r="R202" i="1"/>
  <c r="M144" i="4"/>
  <c r="R146" i="1"/>
  <c r="M430" i="4"/>
  <c r="R432" i="1"/>
  <c r="M398" i="4"/>
  <c r="R400" i="1"/>
  <c r="M328" i="4"/>
  <c r="R330" i="1"/>
  <c r="M312" i="4"/>
  <c r="R314" i="1"/>
  <c r="M252" i="4"/>
  <c r="R254" i="1"/>
  <c r="M236" i="4"/>
  <c r="R238" i="1"/>
  <c r="M226" i="4"/>
  <c r="R228" i="1"/>
  <c r="M222" i="4"/>
  <c r="R224" i="1"/>
  <c r="M33" i="4"/>
  <c r="R9" i="1"/>
  <c r="M31" i="4"/>
  <c r="R50" i="1"/>
  <c r="F482" i="4"/>
  <c r="Q484" i="1"/>
  <c r="D482" i="4" s="1"/>
  <c r="M412" i="4"/>
  <c r="R414" i="1"/>
  <c r="M318" i="4"/>
  <c r="R320" i="1"/>
  <c r="M274" i="4"/>
  <c r="R276" i="1"/>
  <c r="M258" i="4"/>
  <c r="R260" i="1"/>
  <c r="M104" i="4"/>
  <c r="R106" i="1"/>
  <c r="M350" i="4"/>
  <c r="R352" i="1"/>
  <c r="M218" i="4"/>
  <c r="R220" i="1"/>
  <c r="M202" i="4"/>
  <c r="R204" i="1"/>
  <c r="M186" i="4"/>
  <c r="R188" i="1"/>
  <c r="M170" i="4"/>
  <c r="R172" i="1"/>
  <c r="M154" i="4"/>
  <c r="R156" i="1"/>
  <c r="M138" i="4"/>
  <c r="R140" i="1"/>
  <c r="M122" i="4"/>
  <c r="R124" i="1"/>
  <c r="M428" i="4"/>
  <c r="R430" i="1"/>
  <c r="M420" i="4"/>
  <c r="R422" i="1"/>
  <c r="M302" i="4"/>
  <c r="R304" i="1"/>
  <c r="M208" i="4"/>
  <c r="R210" i="1"/>
  <c r="M116" i="4"/>
  <c r="R118" i="1"/>
  <c r="M108" i="4"/>
  <c r="R110" i="1"/>
  <c r="M192" i="4"/>
  <c r="R194" i="1"/>
  <c r="M184" i="4"/>
  <c r="R186" i="1"/>
  <c r="M176" i="4"/>
  <c r="R178" i="1"/>
  <c r="M160" i="4"/>
  <c r="R162" i="1"/>
  <c r="M148" i="4"/>
  <c r="R150" i="1"/>
  <c r="M140" i="4"/>
  <c r="R142" i="1"/>
  <c r="M93" i="4"/>
  <c r="R95" i="1"/>
  <c r="M85" i="4"/>
  <c r="R87" i="1"/>
  <c r="M77" i="4"/>
  <c r="R79" i="1"/>
  <c r="M69" i="4"/>
  <c r="R71" i="1"/>
  <c r="M61" i="4"/>
  <c r="R63" i="1"/>
  <c r="M53" i="4"/>
  <c r="R56" i="1"/>
  <c r="M15" i="4"/>
  <c r="R12" i="1"/>
  <c r="M5" i="4"/>
  <c r="R45" i="1"/>
  <c r="M380" i="4"/>
  <c r="R382" i="1"/>
  <c r="M298" i="4"/>
  <c r="R300" i="1"/>
  <c r="M216" i="4"/>
  <c r="R218" i="1"/>
  <c r="M164" i="4"/>
  <c r="R166" i="1"/>
  <c r="M338" i="4"/>
  <c r="R340" i="1"/>
  <c r="M322" i="4"/>
  <c r="R324" i="1"/>
  <c r="M166" i="4"/>
  <c r="R168" i="1"/>
  <c r="M150" i="4"/>
  <c r="R152" i="1"/>
  <c r="M10" i="4"/>
  <c r="R16" i="1"/>
  <c r="F14" i="4" s="1"/>
  <c r="M404" i="4"/>
  <c r="R406" i="1"/>
  <c r="M136" i="4"/>
  <c r="R138" i="1"/>
  <c r="M112" i="4"/>
  <c r="R114" i="1"/>
  <c r="M340" i="4"/>
  <c r="R342" i="1"/>
  <c r="M324" i="4"/>
  <c r="R326" i="1"/>
  <c r="M308" i="4"/>
  <c r="R310" i="1"/>
  <c r="M288" i="4"/>
  <c r="R290" i="1"/>
  <c r="M272" i="4"/>
  <c r="R274" i="1"/>
  <c r="M256" i="4"/>
  <c r="R258" i="1"/>
  <c r="M240" i="4"/>
  <c r="R242" i="1"/>
  <c r="M232" i="4"/>
  <c r="R234" i="1"/>
  <c r="M234" i="4"/>
  <c r="R236" i="1"/>
  <c r="M195" i="4"/>
  <c r="R197" i="1"/>
  <c r="M124" i="4"/>
  <c r="R126" i="1"/>
  <c r="F495" i="4"/>
  <c r="Q497" i="1"/>
  <c r="D495" i="4" s="1"/>
  <c r="M414" i="4"/>
  <c r="R416" i="1"/>
  <c r="M382" i="4"/>
  <c r="R384" i="1"/>
  <c r="M366" i="4"/>
  <c r="R368" i="1"/>
  <c r="M344" i="4"/>
  <c r="R346" i="1"/>
  <c r="M284" i="4"/>
  <c r="R286" i="1"/>
  <c r="M268" i="4"/>
  <c r="R270" i="1"/>
  <c r="M224" i="4"/>
  <c r="R226" i="1"/>
  <c r="M220" i="4"/>
  <c r="R222" i="1"/>
  <c r="M26" i="4"/>
  <c r="R54" i="1"/>
  <c r="Q169" i="1"/>
  <c r="D167" i="4" s="1"/>
  <c r="M99" i="4"/>
  <c r="R101" i="1"/>
  <c r="M95" i="4"/>
  <c r="R97" i="1"/>
  <c r="M91" i="4"/>
  <c r="R93" i="1"/>
  <c r="M87" i="4"/>
  <c r="R89" i="1"/>
  <c r="M83" i="4"/>
  <c r="R85" i="1"/>
  <c r="M79" i="4"/>
  <c r="R81" i="1"/>
  <c r="M75" i="4"/>
  <c r="R77" i="1"/>
  <c r="M71" i="4"/>
  <c r="R73" i="1"/>
  <c r="M67" i="4"/>
  <c r="R69" i="1"/>
  <c r="M63" i="4"/>
  <c r="R65" i="1"/>
  <c r="M59" i="4"/>
  <c r="R61" i="1"/>
  <c r="M55" i="4"/>
  <c r="R25" i="1"/>
  <c r="M17" i="4"/>
  <c r="R20" i="1"/>
  <c r="M396" i="4"/>
  <c r="R398" i="1"/>
  <c r="M388" i="4"/>
  <c r="R390" i="1"/>
  <c r="M354" i="4"/>
  <c r="R356" i="1"/>
  <c r="M290" i="4"/>
  <c r="R292" i="1"/>
  <c r="M172" i="4"/>
  <c r="R174" i="1"/>
  <c r="M156" i="4"/>
  <c r="R158" i="1"/>
  <c r="M120" i="4"/>
  <c r="R122" i="1"/>
  <c r="M47" i="4"/>
  <c r="R35" i="1"/>
  <c r="BR214" i="1"/>
  <c r="E212" i="4" s="1"/>
  <c r="M206" i="4"/>
  <c r="R208" i="1"/>
  <c r="M190" i="4"/>
  <c r="R192" i="1"/>
  <c r="M174" i="4"/>
  <c r="R176" i="1"/>
  <c r="M158" i="4"/>
  <c r="R160" i="1"/>
  <c r="M142" i="4"/>
  <c r="R144" i="1"/>
  <c r="M126" i="4"/>
  <c r="R128" i="1"/>
  <c r="M326" i="4"/>
  <c r="R328" i="1"/>
  <c r="M266" i="4"/>
  <c r="R268" i="1"/>
  <c r="M356" i="4"/>
  <c r="R358" i="1"/>
  <c r="M204" i="4"/>
  <c r="R206" i="1"/>
  <c r="M196" i="4"/>
  <c r="R198" i="1"/>
  <c r="M43" i="4"/>
  <c r="R33" i="1"/>
  <c r="Q454" i="1"/>
  <c r="D452" i="4" s="1"/>
  <c r="M446" i="4"/>
  <c r="R448" i="1"/>
  <c r="M438" i="4"/>
  <c r="R440" i="1"/>
  <c r="M422" i="4"/>
  <c r="R424" i="1"/>
  <c r="M406" i="4"/>
  <c r="R408" i="1"/>
  <c r="M390" i="4"/>
  <c r="R392" i="1"/>
  <c r="M374" i="4"/>
  <c r="R376" i="1"/>
  <c r="M358" i="4"/>
  <c r="R360" i="1"/>
  <c r="M352" i="4"/>
  <c r="R354" i="1"/>
  <c r="M336" i="4"/>
  <c r="R338" i="1"/>
  <c r="M320" i="4"/>
  <c r="R322" i="1"/>
  <c r="M304" i="4"/>
  <c r="R306" i="1"/>
  <c r="M292" i="4"/>
  <c r="R294" i="1"/>
  <c r="M276" i="4"/>
  <c r="R278" i="1"/>
  <c r="M260" i="4"/>
  <c r="R262" i="1"/>
  <c r="M244" i="4"/>
  <c r="R246" i="1"/>
  <c r="M227" i="4"/>
  <c r="R229" i="1"/>
  <c r="M225" i="4"/>
  <c r="R227" i="1"/>
  <c r="M223" i="4"/>
  <c r="R225" i="1"/>
  <c r="M221" i="4"/>
  <c r="R223" i="1"/>
  <c r="M32" i="4"/>
  <c r="R47" i="1"/>
  <c r="M334" i="4"/>
  <c r="R336" i="1"/>
  <c r="M310" i="4"/>
  <c r="R312" i="1"/>
  <c r="M46" i="4"/>
  <c r="R10" i="1"/>
  <c r="M448" i="4"/>
  <c r="R450" i="1"/>
  <c r="M440" i="4"/>
  <c r="R442" i="1"/>
  <c r="M432" i="4"/>
  <c r="R434" i="1"/>
  <c r="M424" i="4"/>
  <c r="R426" i="1"/>
  <c r="M416" i="4"/>
  <c r="R418" i="1"/>
  <c r="M408" i="4"/>
  <c r="R410" i="1"/>
  <c r="M400" i="4"/>
  <c r="R402" i="1"/>
  <c r="M392" i="4"/>
  <c r="R394" i="1"/>
  <c r="M384" i="4"/>
  <c r="R386" i="1"/>
  <c r="M376" i="4"/>
  <c r="R378" i="1"/>
  <c r="M368" i="4"/>
  <c r="R370" i="1"/>
  <c r="M360" i="4"/>
  <c r="R362" i="1"/>
  <c r="M342" i="4"/>
  <c r="R344" i="1"/>
  <c r="M300" i="4"/>
  <c r="R302" i="1"/>
  <c r="M294" i="4"/>
  <c r="R296" i="1"/>
  <c r="M286" i="4"/>
  <c r="R288" i="1"/>
  <c r="M278" i="4"/>
  <c r="R280" i="1"/>
  <c r="M270" i="4"/>
  <c r="R272" i="1"/>
  <c r="M262" i="4"/>
  <c r="R264" i="1"/>
  <c r="M254" i="4"/>
  <c r="R256" i="1"/>
  <c r="M246" i="4"/>
  <c r="R248" i="1"/>
  <c r="M238" i="4"/>
  <c r="R240" i="1"/>
  <c r="M230" i="4"/>
  <c r="R232" i="1"/>
  <c r="M210" i="4"/>
  <c r="R212" i="1"/>
  <c r="M194" i="4"/>
  <c r="R196" i="1"/>
  <c r="M178" i="4"/>
  <c r="R180" i="1"/>
  <c r="M162" i="4"/>
  <c r="R164" i="1"/>
  <c r="M146" i="4"/>
  <c r="R148" i="1"/>
  <c r="M130" i="4"/>
  <c r="R132" i="1"/>
  <c r="M114" i="4"/>
  <c r="R116" i="1"/>
  <c r="M110" i="4"/>
  <c r="R112" i="1"/>
  <c r="M106" i="4"/>
  <c r="R108" i="1"/>
  <c r="M102" i="4"/>
  <c r="R104" i="1"/>
  <c r="M444" i="4"/>
  <c r="R446" i="1"/>
  <c r="M436" i="4"/>
  <c r="R438" i="1"/>
  <c r="M372" i="4"/>
  <c r="R374" i="1"/>
  <c r="M364" i="4"/>
  <c r="R366" i="1"/>
  <c r="M346" i="4"/>
  <c r="R348" i="1"/>
  <c r="M282" i="4"/>
  <c r="R284" i="1"/>
  <c r="M212" i="4"/>
  <c r="R214" i="1"/>
  <c r="M450" i="4"/>
  <c r="R452" i="1"/>
  <c r="M442" i="4"/>
  <c r="R444" i="1"/>
  <c r="M434" i="4"/>
  <c r="R436" i="1"/>
  <c r="M426" i="4"/>
  <c r="R428" i="1"/>
  <c r="M418" i="4"/>
  <c r="R420" i="1"/>
  <c r="M410" i="4"/>
  <c r="R412" i="1"/>
  <c r="M402" i="4"/>
  <c r="R404" i="1"/>
  <c r="M394" i="4"/>
  <c r="R396" i="1"/>
  <c r="M386" i="4"/>
  <c r="R388" i="1"/>
  <c r="M378" i="4"/>
  <c r="R380" i="1"/>
  <c r="M370" i="4"/>
  <c r="R372" i="1"/>
  <c r="M362" i="4"/>
  <c r="R364" i="1"/>
  <c r="M348" i="4"/>
  <c r="R350" i="1"/>
  <c r="M228" i="4"/>
  <c r="R230" i="1"/>
  <c r="G96" i="4"/>
  <c r="M250" i="4"/>
  <c r="R252" i="1"/>
  <c r="M188" i="4"/>
  <c r="R190" i="1"/>
  <c r="M180" i="4"/>
  <c r="R182" i="1"/>
  <c r="M168" i="4"/>
  <c r="R170" i="1"/>
  <c r="M152" i="4"/>
  <c r="R154" i="1"/>
  <c r="M135" i="4"/>
  <c r="R137" i="1"/>
  <c r="M42" i="4"/>
  <c r="R17" i="1"/>
  <c r="Q49" i="1"/>
  <c r="G59" i="8"/>
  <c r="G63" i="8"/>
  <c r="BR478" i="1" l="1"/>
  <c r="E476" i="4" s="1"/>
  <c r="F480" i="4"/>
  <c r="F29" i="4"/>
  <c r="D13" i="4"/>
  <c r="F13" i="4"/>
  <c r="F50" i="4"/>
  <c r="G43" i="4"/>
  <c r="F40" i="4"/>
  <c r="M20" i="4"/>
  <c r="BR68" i="1"/>
  <c r="E66" i="4" s="1"/>
  <c r="L66" i="4" s="1"/>
  <c r="P66" i="4" s="1"/>
  <c r="Q66" i="4" s="1"/>
  <c r="BR187" i="1"/>
  <c r="E185" i="4" s="1"/>
  <c r="L185" i="4" s="1"/>
  <c r="P185" i="4" s="1"/>
  <c r="Q185" i="4" s="1"/>
  <c r="Q311" i="1"/>
  <c r="D309" i="4" s="1"/>
  <c r="G192" i="4"/>
  <c r="G7" i="4"/>
  <c r="Q485" i="1"/>
  <c r="D483" i="4" s="1"/>
  <c r="Q375" i="1"/>
  <c r="D373" i="4" s="1"/>
  <c r="G106" i="4"/>
  <c r="Q215" i="1"/>
  <c r="D213" i="4" s="1"/>
  <c r="G47" i="4"/>
  <c r="G219" i="4"/>
  <c r="Q129" i="1"/>
  <c r="D127" i="4" s="1"/>
  <c r="F9" i="4"/>
  <c r="G35" i="4"/>
  <c r="G36" i="4"/>
  <c r="E37" i="4"/>
  <c r="G22" i="4"/>
  <c r="F7" i="4"/>
  <c r="F35" i="4"/>
  <c r="F51" i="4"/>
  <c r="G41" i="4"/>
  <c r="M41" i="4"/>
  <c r="G15" i="4"/>
  <c r="G9" i="4"/>
  <c r="F23" i="4"/>
  <c r="G11" i="4"/>
  <c r="G40" i="4"/>
  <c r="F37" i="4"/>
  <c r="G10" i="4"/>
  <c r="G21" i="4"/>
  <c r="G50" i="4"/>
  <c r="F12" i="4"/>
  <c r="F49" i="4"/>
  <c r="F30" i="4"/>
  <c r="G14" i="4"/>
  <c r="F36" i="4"/>
  <c r="G27" i="4"/>
  <c r="G24" i="4"/>
  <c r="F18" i="4"/>
  <c r="F4" i="4"/>
  <c r="G26" i="4"/>
  <c r="F22" i="4"/>
  <c r="G4" i="4"/>
  <c r="G48" i="4"/>
  <c r="G6" i="4"/>
  <c r="F44" i="4"/>
  <c r="G34" i="4"/>
  <c r="F24" i="4"/>
  <c r="G51" i="4"/>
  <c r="F8" i="4"/>
  <c r="F453" i="4"/>
  <c r="F493" i="4"/>
  <c r="BR49" i="1"/>
  <c r="F317" i="4"/>
  <c r="Q247" i="1"/>
  <c r="D245" i="4" s="1"/>
  <c r="BR54" i="1"/>
  <c r="F255" i="4"/>
  <c r="Q57" i="1"/>
  <c r="G386" i="4"/>
  <c r="Q371" i="1"/>
  <c r="D369" i="4" s="1"/>
  <c r="BR211" i="1"/>
  <c r="E209" i="4" s="1"/>
  <c r="F263" i="4"/>
  <c r="G133" i="4"/>
  <c r="F25" i="4"/>
  <c r="BR446" i="1"/>
  <c r="E444" i="4" s="1"/>
  <c r="F215" i="4"/>
  <c r="BR115" i="1"/>
  <c r="E113" i="4" s="1"/>
  <c r="G19" i="4"/>
  <c r="L265" i="4"/>
  <c r="P265" i="4" s="1"/>
  <c r="Q265" i="4" s="1"/>
  <c r="F307" i="4"/>
  <c r="G54" i="4"/>
  <c r="Q459" i="1"/>
  <c r="D457" i="4" s="1"/>
  <c r="L457" i="4" s="1"/>
  <c r="P457" i="4" s="1"/>
  <c r="Q457" i="4" s="1"/>
  <c r="F485" i="4"/>
  <c r="Q365" i="1"/>
  <c r="D363" i="4" s="1"/>
  <c r="L363" i="4" s="1"/>
  <c r="P363" i="4" s="1"/>
  <c r="Q363" i="4" s="1"/>
  <c r="Q471" i="1"/>
  <c r="D469" i="4" s="1"/>
  <c r="L469" i="4" s="1"/>
  <c r="P469" i="4" s="1"/>
  <c r="Q469" i="4" s="1"/>
  <c r="Q205" i="1"/>
  <c r="D203" i="4" s="1"/>
  <c r="Q46" i="1"/>
  <c r="BR438" i="1"/>
  <c r="E436" i="4" s="1"/>
  <c r="Q467" i="1"/>
  <c r="D465" i="4" s="1"/>
  <c r="BR487" i="1"/>
  <c r="E485" i="4" s="1"/>
  <c r="L485" i="4" s="1"/>
  <c r="P485" i="4" s="1"/>
  <c r="Q485" i="4" s="1"/>
  <c r="Q171" i="1"/>
  <c r="D169" i="4" s="1"/>
  <c r="Q443" i="1"/>
  <c r="D441" i="4" s="1"/>
  <c r="Q413" i="1"/>
  <c r="D411" i="4" s="1"/>
  <c r="Q313" i="1"/>
  <c r="D311" i="4" s="1"/>
  <c r="BR83" i="1"/>
  <c r="E81" i="4" s="1"/>
  <c r="Q449" i="1"/>
  <c r="D447" i="4" s="1"/>
  <c r="L447" i="4" s="1"/>
  <c r="P447" i="4" s="1"/>
  <c r="Q447" i="4" s="1"/>
  <c r="R447" i="4" s="1"/>
  <c r="F265" i="4"/>
  <c r="BR464" i="1"/>
  <c r="E462" i="4" s="1"/>
  <c r="Q28" i="1"/>
  <c r="F139" i="4"/>
  <c r="BR483" i="1"/>
  <c r="E481" i="4" s="1"/>
  <c r="L481" i="4" s="1"/>
  <c r="P481" i="4" s="1"/>
  <c r="Q481" i="4" s="1"/>
  <c r="BR265" i="1"/>
  <c r="E263" i="4" s="1"/>
  <c r="L263" i="4" s="1"/>
  <c r="P263" i="4" s="1"/>
  <c r="Q263" i="4" s="1"/>
  <c r="Q62" i="1"/>
  <c r="D60" i="4" s="1"/>
  <c r="Q329" i="1"/>
  <c r="D327" i="4" s="1"/>
  <c r="F377" i="4"/>
  <c r="F54" i="4"/>
  <c r="G346" i="4"/>
  <c r="BR92" i="1"/>
  <c r="E90" i="4" s="1"/>
  <c r="L90" i="4" s="1"/>
  <c r="P90" i="4" s="1"/>
  <c r="Q90" i="4" s="1"/>
  <c r="G372" i="4"/>
  <c r="Q307" i="1"/>
  <c r="D305" i="4" s="1"/>
  <c r="L305" i="4" s="1"/>
  <c r="P305" i="4" s="1"/>
  <c r="Q305" i="4" s="1"/>
  <c r="F231" i="4"/>
  <c r="Q117" i="1"/>
  <c r="D115" i="4" s="1"/>
  <c r="BR260" i="1"/>
  <c r="E258" i="4" s="1"/>
  <c r="BR366" i="1"/>
  <c r="E364" i="4" s="1"/>
  <c r="G140" i="4"/>
  <c r="BR277" i="1"/>
  <c r="E275" i="4" s="1"/>
  <c r="L275" i="4" s="1"/>
  <c r="P275" i="4" s="1"/>
  <c r="Q275" i="4" s="1"/>
  <c r="BR488" i="1"/>
  <c r="E486" i="4" s="1"/>
  <c r="BR204" i="1"/>
  <c r="E202" i="4" s="1"/>
  <c r="BR336" i="1"/>
  <c r="E334" i="4" s="1"/>
  <c r="G153" i="4"/>
  <c r="G74" i="4"/>
  <c r="Q237" i="1"/>
  <c r="D235" i="4" s="1"/>
  <c r="G387" i="4"/>
  <c r="Q221" i="1"/>
  <c r="D219" i="4" s="1"/>
  <c r="L219" i="4" s="1"/>
  <c r="P219" i="4" s="1"/>
  <c r="Q219" i="4" s="1"/>
  <c r="BR12" i="1"/>
  <c r="F128" i="4"/>
  <c r="BR494" i="1"/>
  <c r="E492" i="4" s="1"/>
  <c r="L492" i="4" s="1"/>
  <c r="P492" i="4" s="1"/>
  <c r="Q492" i="4" s="1"/>
  <c r="BR114" i="1"/>
  <c r="E112" i="4" s="1"/>
  <c r="F460" i="4"/>
  <c r="BR181" i="1"/>
  <c r="E179" i="4" s="1"/>
  <c r="Q293" i="1"/>
  <c r="D291" i="4" s="1"/>
  <c r="F475" i="4"/>
  <c r="Q472" i="1"/>
  <c r="D470" i="4" s="1"/>
  <c r="Q209" i="1"/>
  <c r="D207" i="4" s="1"/>
  <c r="BR134" i="1"/>
  <c r="E132" i="4" s="1"/>
  <c r="Q145" i="1"/>
  <c r="D143" i="4" s="1"/>
  <c r="G352" i="4"/>
  <c r="BR304" i="1"/>
  <c r="E302" i="4" s="1"/>
  <c r="Q199" i="1"/>
  <c r="D197" i="4" s="1"/>
  <c r="L197" i="4" s="1"/>
  <c r="P197" i="4" s="1"/>
  <c r="Q197" i="4" s="1"/>
  <c r="Q201" i="1"/>
  <c r="D199" i="4" s="1"/>
  <c r="Q211" i="1"/>
  <c r="D209" i="4" s="1"/>
  <c r="Q185" i="1"/>
  <c r="D183" i="4" s="1"/>
  <c r="Q458" i="1"/>
  <c r="D456" i="4" s="1"/>
  <c r="Q195" i="1"/>
  <c r="D193" i="4" s="1"/>
  <c r="L193" i="4" s="1"/>
  <c r="P193" i="4" s="1"/>
  <c r="Q193" i="4" s="1"/>
  <c r="BR162" i="1"/>
  <c r="E160" i="4" s="1"/>
  <c r="BR461" i="1"/>
  <c r="E459" i="4" s="1"/>
  <c r="F355" i="4"/>
  <c r="Q445" i="1"/>
  <c r="D443" i="4" s="1"/>
  <c r="L443" i="4" s="1"/>
  <c r="P443" i="4" s="1"/>
  <c r="Q443" i="4" s="1"/>
  <c r="Q80" i="1"/>
  <c r="D78" i="4" s="1"/>
  <c r="L78" i="4" s="1"/>
  <c r="P78" i="4" s="1"/>
  <c r="Q78" i="4" s="1"/>
  <c r="Q437" i="1"/>
  <c r="D435" i="4" s="1"/>
  <c r="Q305" i="1"/>
  <c r="D303" i="4" s="1"/>
  <c r="G313" i="4"/>
  <c r="F297" i="4"/>
  <c r="Q291" i="1"/>
  <c r="D289" i="4" s="1"/>
  <c r="BR362" i="1"/>
  <c r="E360" i="4" s="1"/>
  <c r="BR480" i="1"/>
  <c r="E478" i="4" s="1"/>
  <c r="L478" i="4" s="1"/>
  <c r="P478" i="4" s="1"/>
  <c r="Q478" i="4" s="1"/>
  <c r="F19" i="4"/>
  <c r="BR475" i="1"/>
  <c r="E473" i="4" s="1"/>
  <c r="G469" i="4"/>
  <c r="F481" i="4"/>
  <c r="Q447" i="1"/>
  <c r="D445" i="4" s="1"/>
  <c r="F155" i="4"/>
  <c r="F264" i="4"/>
  <c r="G282" i="4"/>
  <c r="G495" i="4"/>
  <c r="BR59" i="1"/>
  <c r="E57" i="4" s="1"/>
  <c r="L359" i="4"/>
  <c r="P359" i="4" s="1"/>
  <c r="Q359" i="4" s="1"/>
  <c r="BR326" i="1"/>
  <c r="E324" i="4" s="1"/>
  <c r="H431" i="4"/>
  <c r="J431" i="4" s="1"/>
  <c r="Q391" i="1"/>
  <c r="D389" i="4" s="1"/>
  <c r="Q433" i="1"/>
  <c r="D431" i="4" s="1"/>
  <c r="BR294" i="1"/>
  <c r="E292" i="4" s="1"/>
  <c r="Q7" i="1"/>
  <c r="Q490" i="1"/>
  <c r="D488" i="4" s="1"/>
  <c r="L488" i="4" s="1"/>
  <c r="P488" i="4" s="1"/>
  <c r="Q488" i="4" s="1"/>
  <c r="Q301" i="1"/>
  <c r="D299" i="4" s="1"/>
  <c r="Q325" i="1"/>
  <c r="D323" i="4" s="1"/>
  <c r="G361" i="4"/>
  <c r="Q425" i="1"/>
  <c r="D423" i="4" s="1"/>
  <c r="Q287" i="1"/>
  <c r="D285" i="4" s="1"/>
  <c r="BR122" i="1"/>
  <c r="E120" i="4" s="1"/>
  <c r="BR453" i="1"/>
  <c r="E451" i="4" s="1"/>
  <c r="L451" i="4" s="1"/>
  <c r="P451" i="4" s="1"/>
  <c r="Q451" i="4" s="1"/>
  <c r="G109" i="4"/>
  <c r="F52" i="4"/>
  <c r="F283" i="4"/>
  <c r="G252" i="4"/>
  <c r="Q44" i="1"/>
  <c r="BR430" i="1"/>
  <c r="E428" i="4" s="1"/>
  <c r="G80" i="4"/>
  <c r="BR406" i="1"/>
  <c r="E404" i="4" s="1"/>
  <c r="Q6" i="1"/>
  <c r="D22" i="4" s="1"/>
  <c r="G247" i="4"/>
  <c r="BR421" i="1"/>
  <c r="E419" i="4" s="1"/>
  <c r="G341" i="4"/>
  <c r="G110" i="4"/>
  <c r="F409" i="4"/>
  <c r="BR154" i="1"/>
  <c r="E152" i="4" s="1"/>
  <c r="Q113" i="1"/>
  <c r="D111" i="4" s="1"/>
  <c r="F175" i="4"/>
  <c r="Q27" i="1"/>
  <c r="D34" i="4" s="1"/>
  <c r="BR352" i="1"/>
  <c r="E350" i="4" s="1"/>
  <c r="Q231" i="1"/>
  <c r="D229" i="4" s="1"/>
  <c r="L229" i="4" s="1"/>
  <c r="P229" i="4" s="1"/>
  <c r="Q229" i="4" s="1"/>
  <c r="BR460" i="1"/>
  <c r="E458" i="4" s="1"/>
  <c r="Q100" i="1"/>
  <c r="D98" i="4" s="1"/>
  <c r="L98" i="4" s="1"/>
  <c r="P98" i="4" s="1"/>
  <c r="Q98" i="4" s="1"/>
  <c r="Q385" i="1"/>
  <c r="D383" i="4" s="1"/>
  <c r="Q135" i="1"/>
  <c r="D133" i="4" s="1"/>
  <c r="L133" i="4" s="1"/>
  <c r="P133" i="4" s="1"/>
  <c r="Q133" i="4" s="1"/>
  <c r="F359" i="4"/>
  <c r="Q253" i="1"/>
  <c r="D251" i="4" s="1"/>
  <c r="L251" i="4" s="1"/>
  <c r="P251" i="4" s="1"/>
  <c r="Q251" i="4" s="1"/>
  <c r="BR218" i="1"/>
  <c r="E216" i="4" s="1"/>
  <c r="F159" i="4"/>
  <c r="BR467" i="1"/>
  <c r="E465" i="4" s="1"/>
  <c r="Q281" i="1"/>
  <c r="D279" i="4" s="1"/>
  <c r="Q339" i="1"/>
  <c r="D337" i="4" s="1"/>
  <c r="G16" i="4"/>
  <c r="Q189" i="1"/>
  <c r="D187" i="4" s="1"/>
  <c r="BR66" i="1"/>
  <c r="E64" i="4" s="1"/>
  <c r="BR163" i="1"/>
  <c r="E161" i="4" s="1"/>
  <c r="L161" i="4" s="1"/>
  <c r="P161" i="4" s="1"/>
  <c r="Q161" i="4" s="1"/>
  <c r="BR303" i="1"/>
  <c r="E301" i="4" s="1"/>
  <c r="BR498" i="1"/>
  <c r="E496" i="4" s="1"/>
  <c r="F6" i="4"/>
  <c r="Q37" i="1"/>
  <c r="Q343" i="1"/>
  <c r="D341" i="4" s="1"/>
  <c r="L341" i="4" s="1"/>
  <c r="P341" i="4" s="1"/>
  <c r="Q341" i="4" s="1"/>
  <c r="F201" i="4"/>
  <c r="Q407" i="1"/>
  <c r="D405" i="4" s="1"/>
  <c r="F163" i="4"/>
  <c r="Q181" i="1"/>
  <c r="D179" i="4" s="1"/>
  <c r="G489" i="4"/>
  <c r="G156" i="4"/>
  <c r="BR191" i="1"/>
  <c r="E189" i="4" s="1"/>
  <c r="L189" i="4" s="1"/>
  <c r="P189" i="4" s="1"/>
  <c r="Q189" i="4" s="1"/>
  <c r="BR168" i="1"/>
  <c r="E166" i="4" s="1"/>
  <c r="BR413" i="1"/>
  <c r="E411" i="4" s="1"/>
  <c r="BR128" i="1"/>
  <c r="E126" i="4" s="1"/>
  <c r="Q261" i="1"/>
  <c r="D259" i="4" s="1"/>
  <c r="Q51" i="1"/>
  <c r="Q39" i="1"/>
  <c r="Q393" i="1"/>
  <c r="D391" i="4" s="1"/>
  <c r="Q131" i="1"/>
  <c r="D129" i="4" s="1"/>
  <c r="F129" i="4"/>
  <c r="Q219" i="1"/>
  <c r="D217" i="4" s="1"/>
  <c r="F151" i="4"/>
  <c r="BR493" i="1"/>
  <c r="E491" i="4" s="1"/>
  <c r="L491" i="4" s="1"/>
  <c r="P491" i="4" s="1"/>
  <c r="Q491" i="4" s="1"/>
  <c r="G98" i="4"/>
  <c r="BR44" i="1"/>
  <c r="G20" i="4"/>
  <c r="BR67" i="1"/>
  <c r="E65" i="4" s="1"/>
  <c r="BR104" i="1"/>
  <c r="E102" i="4" s="1"/>
  <c r="BR209" i="1"/>
  <c r="E207" i="4" s="1"/>
  <c r="F275" i="4"/>
  <c r="F76" i="4"/>
  <c r="Q78" i="1"/>
  <c r="D76" i="4" s="1"/>
  <c r="F39" i="4"/>
  <c r="Q14" i="1"/>
  <c r="BR103" i="1"/>
  <c r="E101" i="4" s="1"/>
  <c r="F455" i="4"/>
  <c r="BR456" i="1"/>
  <c r="E454" i="4" s="1"/>
  <c r="BR377" i="1"/>
  <c r="E375" i="4" s="1"/>
  <c r="L375" i="4" s="1"/>
  <c r="P375" i="4" s="1"/>
  <c r="Q375" i="4" s="1"/>
  <c r="G277" i="4"/>
  <c r="BR496" i="1"/>
  <c r="E494" i="4" s="1"/>
  <c r="L494" i="4" s="1"/>
  <c r="P494" i="4" s="1"/>
  <c r="Q494" i="4" s="1"/>
  <c r="G488" i="4"/>
  <c r="Q464" i="1"/>
  <c r="D462" i="4" s="1"/>
  <c r="F494" i="4"/>
  <c r="Q213" i="1"/>
  <c r="D211" i="4" s="1"/>
  <c r="Q470" i="1"/>
  <c r="D468" i="4" s="1"/>
  <c r="BR8" i="1"/>
  <c r="Q21" i="1"/>
  <c r="G180" i="4"/>
  <c r="BR486" i="1"/>
  <c r="E484" i="4" s="1"/>
  <c r="BR473" i="1"/>
  <c r="E471" i="4" s="1"/>
  <c r="BR171" i="1"/>
  <c r="E169" i="4" s="1"/>
  <c r="BR160" i="1"/>
  <c r="E158" i="4" s="1"/>
  <c r="Q389" i="1"/>
  <c r="D387" i="4" s="1"/>
  <c r="L387" i="4" s="1"/>
  <c r="P387" i="4" s="1"/>
  <c r="Q387" i="4" s="1"/>
  <c r="F243" i="4"/>
  <c r="F145" i="4"/>
  <c r="F141" i="4"/>
  <c r="F161" i="4"/>
  <c r="F62" i="4"/>
  <c r="BR479" i="1"/>
  <c r="E477" i="4" s="1"/>
  <c r="G72" i="4"/>
  <c r="F491" i="4"/>
  <c r="F11" i="4"/>
  <c r="G363" i="4"/>
  <c r="BR371" i="1"/>
  <c r="E369" i="4" s="1"/>
  <c r="G256" i="4"/>
  <c r="F271" i="4"/>
  <c r="BR146" i="1"/>
  <c r="E144" i="4" s="1"/>
  <c r="Q103" i="1"/>
  <c r="D101" i="4" s="1"/>
  <c r="BR240" i="1"/>
  <c r="E238" i="4" s="1"/>
  <c r="G45" i="4"/>
  <c r="Q26" i="1"/>
  <c r="BR16" i="1"/>
  <c r="G148" i="4"/>
  <c r="BR302" i="1"/>
  <c r="E300" i="4" s="1"/>
  <c r="Q193" i="1"/>
  <c r="D191" i="4" s="1"/>
  <c r="Q492" i="1"/>
  <c r="D490" i="4" s="1"/>
  <c r="F476" i="4"/>
  <c r="Q460" i="1"/>
  <c r="D458" i="4" s="1"/>
  <c r="BR492" i="1"/>
  <c r="E490" i="4" s="1"/>
  <c r="BR346" i="1"/>
  <c r="E344" i="4" s="1"/>
  <c r="BR433" i="1"/>
  <c r="E431" i="4" s="1"/>
  <c r="G403" i="4"/>
  <c r="Q359" i="1"/>
  <c r="D357" i="4" s="1"/>
  <c r="BR270" i="1"/>
  <c r="E268" i="4" s="1"/>
  <c r="G221" i="4"/>
  <c r="L264" i="4"/>
  <c r="P264" i="4" s="1"/>
  <c r="Q264" i="4" s="1"/>
  <c r="BR481" i="1"/>
  <c r="E479" i="4" s="1"/>
  <c r="Q297" i="1"/>
  <c r="D295" i="4" s="1"/>
  <c r="L295" i="4" s="1"/>
  <c r="P295" i="4" s="1"/>
  <c r="Q295" i="4" s="1"/>
  <c r="G227" i="4"/>
  <c r="G251" i="4"/>
  <c r="G233" i="4"/>
  <c r="BR311" i="1"/>
  <c r="E309" i="4" s="1"/>
  <c r="L309" i="4" s="1"/>
  <c r="P309" i="4" s="1"/>
  <c r="Q309" i="4" s="1"/>
  <c r="F249" i="4"/>
  <c r="F58" i="4"/>
  <c r="BR236" i="1"/>
  <c r="E234" i="4" s="1"/>
  <c r="F27" i="4"/>
  <c r="G351" i="4"/>
  <c r="BR244" i="1"/>
  <c r="E242" i="4" s="1"/>
  <c r="Q369" i="1"/>
  <c r="D367" i="4" s="1"/>
  <c r="BR458" i="1"/>
  <c r="E456" i="4" s="1"/>
  <c r="BR18" i="1"/>
  <c r="G264" i="4"/>
  <c r="BR43" i="1"/>
  <c r="Q333" i="1"/>
  <c r="D331" i="4" s="1"/>
  <c r="BR120" i="1"/>
  <c r="E118" i="4" s="1"/>
  <c r="BR19" i="1"/>
  <c r="BR41" i="1"/>
  <c r="BR476" i="1"/>
  <c r="E474" i="4" s="1"/>
  <c r="G265" i="4"/>
  <c r="BR165" i="1"/>
  <c r="E163" i="4" s="1"/>
  <c r="L163" i="4" s="1"/>
  <c r="P163" i="4" s="1"/>
  <c r="Q163" i="4" s="1"/>
  <c r="G229" i="4"/>
  <c r="BR77" i="1"/>
  <c r="E75" i="4" s="1"/>
  <c r="G75" i="4"/>
  <c r="BR60" i="1"/>
  <c r="E58" i="4" s="1"/>
  <c r="L58" i="4" s="1"/>
  <c r="P58" i="4" s="1"/>
  <c r="Q58" i="4" s="1"/>
  <c r="G104" i="4"/>
  <c r="Q466" i="1"/>
  <c r="D464" i="4" s="1"/>
  <c r="BR465" i="1"/>
  <c r="E463" i="4" s="1"/>
  <c r="G197" i="4"/>
  <c r="BR167" i="1"/>
  <c r="E165" i="4" s="1"/>
  <c r="BR58" i="1"/>
  <c r="BR52" i="1"/>
  <c r="F181" i="4"/>
  <c r="G164" i="4"/>
  <c r="BR344" i="1"/>
  <c r="E342" i="4" s="1"/>
  <c r="Q481" i="1"/>
  <c r="D479" i="4" s="1"/>
  <c r="Q121" i="1"/>
  <c r="D119" i="4" s="1"/>
  <c r="L119" i="4" s="1"/>
  <c r="P119" i="4" s="1"/>
  <c r="Q119" i="4" s="1"/>
  <c r="Q149" i="1"/>
  <c r="D147" i="4" s="1"/>
  <c r="L147" i="4" s="1"/>
  <c r="P147" i="4" s="1"/>
  <c r="Q147" i="4" s="1"/>
  <c r="G457" i="4"/>
  <c r="BR485" i="1"/>
  <c r="E483" i="4" s="1"/>
  <c r="BR123" i="1"/>
  <c r="E121" i="4" s="1"/>
  <c r="G124" i="4"/>
  <c r="G56" i="4"/>
  <c r="Q468" i="1"/>
  <c r="D466" i="4" s="1"/>
  <c r="G128" i="4"/>
  <c r="BR455" i="1"/>
  <c r="E453" i="4" s="1"/>
  <c r="L453" i="4" s="1"/>
  <c r="P453" i="4" s="1"/>
  <c r="Q453" i="4" s="1"/>
  <c r="Q40" i="1"/>
  <c r="BR69" i="1"/>
  <c r="E67" i="4" s="1"/>
  <c r="BR321" i="1"/>
  <c r="E319" i="4" s="1"/>
  <c r="BR176" i="1"/>
  <c r="E174" i="4" s="1"/>
  <c r="BR451" i="1"/>
  <c r="E449" i="4" s="1"/>
  <c r="Q387" i="1"/>
  <c r="D385" i="4" s="1"/>
  <c r="L385" i="4" s="1"/>
  <c r="P385" i="4" s="1"/>
  <c r="Q385" i="4" s="1"/>
  <c r="BR99" i="1"/>
  <c r="E97" i="4" s="1"/>
  <c r="G295" i="4"/>
  <c r="BR391" i="1"/>
  <c r="E389" i="4" s="1"/>
  <c r="BR246" i="1"/>
  <c r="E244" i="4" s="1"/>
  <c r="BR193" i="1"/>
  <c r="E191" i="4" s="1"/>
  <c r="Q119" i="1"/>
  <c r="D117" i="4" s="1"/>
  <c r="F397" i="4"/>
  <c r="Q283" i="1"/>
  <c r="D281" i="4" s="1"/>
  <c r="Q395" i="1"/>
  <c r="D393" i="4" s="1"/>
  <c r="F66" i="4"/>
  <c r="G38" i="4"/>
  <c r="F171" i="4"/>
  <c r="G29" i="4"/>
  <c r="G188" i="4"/>
  <c r="F492" i="4"/>
  <c r="BR299" i="1"/>
  <c r="E297" i="4" s="1"/>
  <c r="L297" i="4" s="1"/>
  <c r="P297" i="4" s="1"/>
  <c r="Q297" i="4" s="1"/>
  <c r="BR212" i="1"/>
  <c r="E210" i="4" s="1"/>
  <c r="BR396" i="1"/>
  <c r="E394" i="4" s="1"/>
  <c r="BR360" i="1"/>
  <c r="E358" i="4" s="1"/>
  <c r="BR14" i="1"/>
  <c r="Q383" i="1"/>
  <c r="D381" i="4" s="1"/>
  <c r="BR331" i="1"/>
  <c r="E329" i="4" s="1"/>
  <c r="BR256" i="1"/>
  <c r="E254" i="4" s="1"/>
  <c r="Q259" i="1"/>
  <c r="D257" i="4" s="1"/>
  <c r="Q74" i="1"/>
  <c r="D72" i="4" s="1"/>
  <c r="L72" i="4" s="1"/>
  <c r="P72" i="4" s="1"/>
  <c r="Q72" i="4" s="1"/>
  <c r="F497" i="4"/>
  <c r="BR252" i="1"/>
  <c r="E250" i="4" s="1"/>
  <c r="Q474" i="1"/>
  <c r="D472" i="4" s="1"/>
  <c r="BR468" i="1"/>
  <c r="E466" i="4" s="1"/>
  <c r="BR469" i="1"/>
  <c r="E467" i="4" s="1"/>
  <c r="BR259" i="1"/>
  <c r="E257" i="4" s="1"/>
  <c r="Q94" i="1"/>
  <c r="D92" i="4" s="1"/>
  <c r="G339" i="4"/>
  <c r="BR247" i="1"/>
  <c r="E245" i="4" s="1"/>
  <c r="F313" i="4"/>
  <c r="F315" i="4"/>
  <c r="Q323" i="1"/>
  <c r="D321" i="4" s="1"/>
  <c r="G434" i="4"/>
  <c r="BR282" i="1"/>
  <c r="E280" i="4" s="1"/>
  <c r="BR443" i="1"/>
  <c r="E441" i="4" s="1"/>
  <c r="Q127" i="1"/>
  <c r="D125" i="4" s="1"/>
  <c r="G94" i="4"/>
  <c r="BR183" i="1"/>
  <c r="E181" i="4" s="1"/>
  <c r="L181" i="4" s="1"/>
  <c r="P181" i="4" s="1"/>
  <c r="Q181" i="4" s="1"/>
  <c r="BR224" i="1"/>
  <c r="E222" i="4" s="1"/>
  <c r="BR334" i="1"/>
  <c r="E332" i="4" s="1"/>
  <c r="BR86" i="1"/>
  <c r="E84" i="4" s="1"/>
  <c r="BR440" i="1"/>
  <c r="E438" i="4" s="1"/>
  <c r="G366" i="4"/>
  <c r="BR368" i="1"/>
  <c r="E366" i="4" s="1"/>
  <c r="BR97" i="1"/>
  <c r="E95" i="4" s="1"/>
  <c r="G95" i="4"/>
  <c r="Q415" i="1"/>
  <c r="D413" i="4" s="1"/>
  <c r="G248" i="4"/>
  <c r="BR250" i="1"/>
  <c r="E248" i="4" s="1"/>
  <c r="Q11" i="1"/>
  <c r="F16" i="4"/>
  <c r="BR378" i="1"/>
  <c r="E376" i="4" s="1"/>
  <c r="G376" i="4"/>
  <c r="BR32" i="1"/>
  <c r="G44" i="4"/>
  <c r="BR72" i="1"/>
  <c r="E70" i="4" s="1"/>
  <c r="G18" i="4"/>
  <c r="G388" i="4"/>
  <c r="BR88" i="1"/>
  <c r="E86" i="4" s="1"/>
  <c r="L86" i="4" s="1"/>
  <c r="P86" i="4" s="1"/>
  <c r="Q86" i="4" s="1"/>
  <c r="F185" i="4"/>
  <c r="G136" i="4"/>
  <c r="G168" i="4"/>
  <c r="BR489" i="1"/>
  <c r="E487" i="4" s="1"/>
  <c r="G396" i="4"/>
  <c r="Q475" i="1"/>
  <c r="D473" i="4" s="1"/>
  <c r="G204" i="4"/>
  <c r="Q479" i="1"/>
  <c r="D477" i="4" s="1"/>
  <c r="G475" i="4"/>
  <c r="Q429" i="1"/>
  <c r="D427" i="4" s="1"/>
  <c r="BR87" i="1"/>
  <c r="E85" i="4" s="1"/>
  <c r="G28" i="4"/>
  <c r="Q70" i="1"/>
  <c r="D68" i="4" s="1"/>
  <c r="F68" i="4"/>
  <c r="BR143" i="1"/>
  <c r="E141" i="4" s="1"/>
  <c r="L141" i="4" s="1"/>
  <c r="P141" i="4" s="1"/>
  <c r="Q141" i="4" s="1"/>
  <c r="F189" i="4"/>
  <c r="G17" i="4"/>
  <c r="Q473" i="1"/>
  <c r="D471" i="4" s="1"/>
  <c r="G343" i="4"/>
  <c r="BR356" i="1"/>
  <c r="E354" i="4" s="1"/>
  <c r="BR152" i="1"/>
  <c r="E150" i="4" s="1"/>
  <c r="G416" i="4"/>
  <c r="Q403" i="1"/>
  <c r="D401" i="4" s="1"/>
  <c r="G119" i="4"/>
  <c r="G42" i="4"/>
  <c r="F86" i="4"/>
  <c r="F100" i="4"/>
  <c r="Q102" i="1"/>
  <c r="D100" i="4" s="1"/>
  <c r="BR157" i="1"/>
  <c r="E155" i="4" s="1"/>
  <c r="L155" i="4" s="1"/>
  <c r="P155" i="4" s="1"/>
  <c r="Q155" i="4" s="1"/>
  <c r="G155" i="4"/>
  <c r="G46" i="4"/>
  <c r="BR454" i="1"/>
  <c r="E452" i="4" s="1"/>
  <c r="L452" i="4" s="1"/>
  <c r="P452" i="4" s="1"/>
  <c r="Q452" i="4" s="1"/>
  <c r="BR411" i="1"/>
  <c r="E409" i="4" s="1"/>
  <c r="L409" i="4" s="1"/>
  <c r="P409" i="4" s="1"/>
  <c r="Q409" i="4" s="1"/>
  <c r="BR437" i="1"/>
  <c r="E435" i="4" s="1"/>
  <c r="G460" i="4"/>
  <c r="BR340" i="1"/>
  <c r="E338" i="4" s="1"/>
  <c r="BR293" i="1"/>
  <c r="E291" i="4" s="1"/>
  <c r="G291" i="4"/>
  <c r="BR84" i="1"/>
  <c r="E82" i="4" s="1"/>
  <c r="BR350" i="1"/>
  <c r="E348" i="4" s="1"/>
  <c r="Q489" i="1"/>
  <c r="D487" i="4" s="1"/>
  <c r="G359" i="4"/>
  <c r="G61" i="4"/>
  <c r="L201" i="4"/>
  <c r="P201" i="4" s="1"/>
  <c r="Q201" i="4" s="1"/>
  <c r="Q465" i="1"/>
  <c r="D463" i="4" s="1"/>
  <c r="BR484" i="1"/>
  <c r="E482" i="4" s="1"/>
  <c r="L482" i="4" s="1"/>
  <c r="P482" i="4" s="1"/>
  <c r="Q482" i="4" s="1"/>
  <c r="BR210" i="1"/>
  <c r="E208" i="4" s="1"/>
  <c r="Q491" i="1"/>
  <c r="D489" i="4" s="1"/>
  <c r="L489" i="4" s="1"/>
  <c r="P489" i="4" s="1"/>
  <c r="Q489" i="4" s="1"/>
  <c r="BR186" i="1"/>
  <c r="E184" i="4" s="1"/>
  <c r="G196" i="4"/>
  <c r="Q109" i="1"/>
  <c r="D107" i="4" s="1"/>
  <c r="BR178" i="1"/>
  <c r="E176" i="4" s="1"/>
  <c r="BR320" i="1"/>
  <c r="E318" i="4" s="1"/>
  <c r="G201" i="4"/>
  <c r="BR288" i="1"/>
  <c r="E286" i="4" s="1"/>
  <c r="Q439" i="1"/>
  <c r="D437" i="4" s="1"/>
  <c r="BR156" i="1"/>
  <c r="E154" i="4" s="1"/>
  <c r="G287" i="4"/>
  <c r="BR105" i="1"/>
  <c r="E103" i="4" s="1"/>
  <c r="BR217" i="1"/>
  <c r="E215" i="4" s="1"/>
  <c r="L215" i="4" s="1"/>
  <c r="P215" i="4" s="1"/>
  <c r="Q215" i="4" s="1"/>
  <c r="BR286" i="1"/>
  <c r="E284" i="4" s="1"/>
  <c r="BR290" i="1"/>
  <c r="E288" i="4" s="1"/>
  <c r="BR180" i="1"/>
  <c r="E178" i="4" s="1"/>
  <c r="G448" i="4"/>
  <c r="BR64" i="1"/>
  <c r="E62" i="4" s="1"/>
  <c r="L62" i="4" s="1"/>
  <c r="P62" i="4" s="1"/>
  <c r="Q62" i="4" s="1"/>
  <c r="BR276" i="1"/>
  <c r="E274" i="4" s="1"/>
  <c r="Q456" i="1"/>
  <c r="D454" i="4" s="1"/>
  <c r="Q96" i="1"/>
  <c r="D94" i="4" s="1"/>
  <c r="L94" i="4" s="1"/>
  <c r="P94" i="4" s="1"/>
  <c r="Q94" i="4" s="1"/>
  <c r="F361" i="4"/>
  <c r="G443" i="4"/>
  <c r="H443" i="4" s="1"/>
  <c r="J443" i="4" s="1"/>
  <c r="BR280" i="1"/>
  <c r="E278" i="4" s="1"/>
  <c r="G408" i="4"/>
  <c r="G326" i="4"/>
  <c r="Q18" i="1"/>
  <c r="BR292" i="1"/>
  <c r="E290" i="4" s="1"/>
  <c r="BR382" i="1"/>
  <c r="E380" i="4" s="1"/>
  <c r="Q133" i="1"/>
  <c r="D131" i="4" s="1"/>
  <c r="Q476" i="1"/>
  <c r="D474" i="4" s="1"/>
  <c r="BR139" i="1"/>
  <c r="E137" i="4" s="1"/>
  <c r="L137" i="4" s="1"/>
  <c r="P137" i="4" s="1"/>
  <c r="Q137" i="4" s="1"/>
  <c r="BR127" i="1"/>
  <c r="E125" i="4" s="1"/>
  <c r="BR393" i="1"/>
  <c r="E391" i="4" s="1"/>
  <c r="BR79" i="1"/>
  <c r="E77" i="4" s="1"/>
  <c r="BR317" i="1"/>
  <c r="E315" i="4" s="1"/>
  <c r="L315" i="4" s="1"/>
  <c r="P315" i="4" s="1"/>
  <c r="Q315" i="4" s="1"/>
  <c r="G305" i="4"/>
  <c r="Q98" i="1"/>
  <c r="D96" i="4" s="1"/>
  <c r="L96" i="4" s="1"/>
  <c r="P96" i="4" s="1"/>
  <c r="Q96" i="4" s="1"/>
  <c r="BR470" i="1"/>
  <c r="E468" i="4" s="1"/>
  <c r="G390" i="4"/>
  <c r="BR392" i="1"/>
  <c r="E390" i="4" s="1"/>
  <c r="BR62" i="1"/>
  <c r="G60" i="4"/>
  <c r="H60" i="4" s="1"/>
  <c r="J60" i="4" s="1"/>
  <c r="BR24" i="1"/>
  <c r="BR463" i="1"/>
  <c r="E461" i="4" s="1"/>
  <c r="Q486" i="1"/>
  <c r="D484" i="4" s="1"/>
  <c r="F205" i="4"/>
  <c r="G228" i="4"/>
  <c r="BR300" i="1"/>
  <c r="E298" i="4" s="1"/>
  <c r="BR207" i="1"/>
  <c r="E205" i="4" s="1"/>
  <c r="L205" i="4" s="1"/>
  <c r="P205" i="4" s="1"/>
  <c r="Q205" i="4" s="1"/>
  <c r="BR383" i="1"/>
  <c r="E381" i="4" s="1"/>
  <c r="BR263" i="1"/>
  <c r="E261" i="4" s="1"/>
  <c r="G433" i="4"/>
  <c r="H433" i="4" s="1"/>
  <c r="J433" i="4" s="1"/>
  <c r="BR124" i="1"/>
  <c r="E122" i="4" s="1"/>
  <c r="BR75" i="1"/>
  <c r="E73" i="4" s="1"/>
  <c r="G262" i="4"/>
  <c r="BR264" i="1"/>
  <c r="E262" i="4" s="1"/>
  <c r="BR93" i="1"/>
  <c r="E91" i="4" s="1"/>
  <c r="G91" i="4"/>
  <c r="Q125" i="1"/>
  <c r="D123" i="4" s="1"/>
  <c r="BR414" i="1"/>
  <c r="E412" i="4" s="1"/>
  <c r="Q469" i="1"/>
  <c r="D467" i="4" s="1"/>
  <c r="BR101" i="1"/>
  <c r="E99" i="4" s="1"/>
  <c r="G99" i="4"/>
  <c r="F48" i="4"/>
  <c r="Q498" i="1"/>
  <c r="D496" i="4" s="1"/>
  <c r="G322" i="4"/>
  <c r="Q335" i="1"/>
  <c r="D333" i="4" s="1"/>
  <c r="L333" i="4" s="1"/>
  <c r="P333" i="4" s="1"/>
  <c r="Q333" i="4" s="1"/>
  <c r="BR373" i="1"/>
  <c r="E371" i="4" s="1"/>
  <c r="BR329" i="1"/>
  <c r="E327" i="4" s="1"/>
  <c r="G78" i="4"/>
  <c r="G147" i="4"/>
  <c r="L460" i="4"/>
  <c r="P460" i="4" s="1"/>
  <c r="Q460" i="4" s="1"/>
  <c r="BR439" i="1"/>
  <c r="E437" i="4" s="1"/>
  <c r="L361" i="4"/>
  <c r="P361" i="4" s="1"/>
  <c r="Q361" i="4" s="1"/>
  <c r="BR385" i="1"/>
  <c r="E383" i="4" s="1"/>
  <c r="G383" i="4"/>
  <c r="F34" i="4"/>
  <c r="Q29" i="1"/>
  <c r="Q19" i="1"/>
  <c r="D50" i="4" s="1"/>
  <c r="BR33" i="1"/>
  <c r="BR57" i="1"/>
  <c r="Q13" i="1"/>
  <c r="D29" i="4" s="1"/>
  <c r="F28" i="4"/>
  <c r="BR37" i="1"/>
  <c r="G37" i="4"/>
  <c r="G39" i="4"/>
  <c r="BR31" i="1"/>
  <c r="G88" i="4"/>
  <c r="BR175" i="1"/>
  <c r="E173" i="4" s="1"/>
  <c r="G172" i="4"/>
  <c r="BR444" i="1"/>
  <c r="E442" i="4" s="1"/>
  <c r="Q179" i="1"/>
  <c r="D177" i="4" s="1"/>
  <c r="BR137" i="1"/>
  <c r="E135" i="4" s="1"/>
  <c r="G33" i="4"/>
  <c r="Q327" i="1"/>
  <c r="D325" i="4" s="1"/>
  <c r="Q423" i="1"/>
  <c r="D421" i="4" s="1"/>
  <c r="BR27" i="1"/>
  <c r="G162" i="4"/>
  <c r="G32" i="4"/>
  <c r="BR47" i="1"/>
  <c r="E32" i="4" s="1"/>
  <c r="F329" i="4"/>
  <c r="Q331" i="1"/>
  <c r="D329" i="4" s="1"/>
  <c r="Q275" i="1"/>
  <c r="D273" i="4" s="1"/>
  <c r="F273" i="4"/>
  <c r="BR85" i="1"/>
  <c r="E83" i="4" s="1"/>
  <c r="G83" i="4"/>
  <c r="Q279" i="1"/>
  <c r="D277" i="4" s="1"/>
  <c r="L277" i="4" s="1"/>
  <c r="P277" i="4" s="1"/>
  <c r="Q277" i="4" s="1"/>
  <c r="F277" i="4"/>
  <c r="G30" i="4"/>
  <c r="BR51" i="1"/>
  <c r="Q461" i="1"/>
  <c r="D459" i="4" s="1"/>
  <c r="BR26" i="1"/>
  <c r="G200" i="4"/>
  <c r="F478" i="4"/>
  <c r="BR422" i="1"/>
  <c r="E420" i="4" s="1"/>
  <c r="Q105" i="1"/>
  <c r="D103" i="4" s="1"/>
  <c r="BR312" i="1"/>
  <c r="E310" i="4" s="1"/>
  <c r="Q488" i="1"/>
  <c r="D486" i="4" s="1"/>
  <c r="BR355" i="1"/>
  <c r="E353" i="4" s="1"/>
  <c r="Q351" i="1"/>
  <c r="D349" i="4" s="1"/>
  <c r="BR401" i="1"/>
  <c r="E399" i="4" s="1"/>
  <c r="F90" i="4"/>
  <c r="L476" i="4"/>
  <c r="P476" i="4" s="1"/>
  <c r="Q476" i="4" s="1"/>
  <c r="BR375" i="1"/>
  <c r="E373" i="4" s="1"/>
  <c r="G400" i="4"/>
  <c r="G223" i="4"/>
  <c r="Q66" i="1"/>
  <c r="D64" i="4" s="1"/>
  <c r="F64" i="4"/>
  <c r="BR412" i="1"/>
  <c r="E410" i="4" s="1"/>
  <c r="G410" i="4"/>
  <c r="BR132" i="1"/>
  <c r="E130" i="4" s="1"/>
  <c r="G130" i="4"/>
  <c r="G325" i="4"/>
  <c r="BR327" i="1"/>
  <c r="E325" i="4" s="1"/>
  <c r="BR15" i="1"/>
  <c r="G25" i="4"/>
  <c r="F319" i="4"/>
  <c r="Q321" i="1"/>
  <c r="D319" i="4" s="1"/>
  <c r="BR318" i="1"/>
  <c r="E316" i="4" s="1"/>
  <c r="G316" i="4"/>
  <c r="BR316" i="1"/>
  <c r="E314" i="4" s="1"/>
  <c r="G314" i="4"/>
  <c r="BR238" i="1"/>
  <c r="E236" i="4" s="1"/>
  <c r="G236" i="4"/>
  <c r="G497" i="4"/>
  <c r="Q115" i="1"/>
  <c r="D113" i="4" s="1"/>
  <c r="BR441" i="1"/>
  <c r="E439" i="4" s="1"/>
  <c r="BR239" i="1"/>
  <c r="E237" i="4" s="1"/>
  <c r="L313" i="4"/>
  <c r="P313" i="4" s="1"/>
  <c r="Q313" i="4" s="1"/>
  <c r="BR409" i="1"/>
  <c r="E407" i="4" s="1"/>
  <c r="G447" i="4"/>
  <c r="H447" i="4" s="1"/>
  <c r="J447" i="4" s="1"/>
  <c r="G306" i="4"/>
  <c r="F82" i="4"/>
  <c r="Q84" i="1"/>
  <c r="D82" i="4" s="1"/>
  <c r="G134" i="4"/>
  <c r="BR136" i="1"/>
  <c r="E134" i="4" s="1"/>
  <c r="BR426" i="1"/>
  <c r="E424" i="4" s="1"/>
  <c r="G424" i="4"/>
  <c r="G139" i="4"/>
  <c r="BR141" i="1"/>
  <c r="E139" i="4" s="1"/>
  <c r="L139" i="4" s="1"/>
  <c r="P139" i="4" s="1"/>
  <c r="Q139" i="4" s="1"/>
  <c r="Q239" i="1"/>
  <c r="D237" i="4" s="1"/>
  <c r="F237" i="4"/>
  <c r="G320" i="4"/>
  <c r="BR322" i="1"/>
  <c r="E320" i="4" s="1"/>
  <c r="G12" i="4"/>
  <c r="BR40" i="1"/>
  <c r="Q263" i="1"/>
  <c r="D261" i="4" s="1"/>
  <c r="F261" i="4"/>
  <c r="G336" i="4"/>
  <c r="BR338" i="1"/>
  <c r="E336" i="4" s="1"/>
  <c r="BR208" i="1"/>
  <c r="E206" i="4" s="1"/>
  <c r="G206" i="4"/>
  <c r="BR196" i="1"/>
  <c r="E194" i="4" s="1"/>
  <c r="G194" i="4"/>
  <c r="G273" i="4"/>
  <c r="BR275" i="1"/>
  <c r="E273" i="4" s="1"/>
  <c r="BR65" i="1"/>
  <c r="E63" i="4" s="1"/>
  <c r="G63" i="4"/>
  <c r="BR342" i="1"/>
  <c r="E340" i="4" s="1"/>
  <c r="BR110" i="1"/>
  <c r="E108" i="4" s="1"/>
  <c r="BR151" i="1"/>
  <c r="E149" i="4" s="1"/>
  <c r="BR22" i="1"/>
  <c r="E21" i="4" s="1"/>
  <c r="BR358" i="1"/>
  <c r="E356" i="4" s="1"/>
  <c r="Q341" i="1"/>
  <c r="D339" i="4" s="1"/>
  <c r="L339" i="4" s="1"/>
  <c r="P339" i="4" s="1"/>
  <c r="Q339" i="4" s="1"/>
  <c r="BR159" i="1"/>
  <c r="E157" i="4" s="1"/>
  <c r="BR179" i="1"/>
  <c r="E177" i="4" s="1"/>
  <c r="BR46" i="1"/>
  <c r="BR407" i="1"/>
  <c r="E405" i="4" s="1"/>
  <c r="Q255" i="1"/>
  <c r="D253" i="4" s="1"/>
  <c r="Q435" i="1"/>
  <c r="D433" i="4" s="1"/>
  <c r="L433" i="4" s="1"/>
  <c r="P433" i="4" s="1"/>
  <c r="Q433" i="4" s="1"/>
  <c r="BR399" i="1"/>
  <c r="E397" i="4" s="1"/>
  <c r="L397" i="4" s="1"/>
  <c r="P397" i="4" s="1"/>
  <c r="Q397" i="4" s="1"/>
  <c r="Q72" i="1"/>
  <c r="D70" i="4" s="1"/>
  <c r="G333" i="4"/>
  <c r="BR339" i="1"/>
  <c r="E337" i="4" s="1"/>
  <c r="BR425" i="1"/>
  <c r="E423" i="4" s="1"/>
  <c r="G69" i="4"/>
  <c r="BR71" i="1"/>
  <c r="E69" i="4" s="1"/>
  <c r="Q271" i="1"/>
  <c r="D269" i="4" s="1"/>
  <c r="F269" i="4"/>
  <c r="G312" i="4"/>
  <c r="BR314" i="1"/>
  <c r="E312" i="4" s="1"/>
  <c r="BR305" i="1"/>
  <c r="E303" i="4" s="1"/>
  <c r="G303" i="4"/>
  <c r="F241" i="4"/>
  <c r="Q243" i="1"/>
  <c r="D241" i="4" s="1"/>
  <c r="L241" i="4" s="1"/>
  <c r="P241" i="4" s="1"/>
  <c r="Q241" i="4" s="1"/>
  <c r="Q451" i="1"/>
  <c r="D449" i="4" s="1"/>
  <c r="F449" i="4"/>
  <c r="BR73" i="1"/>
  <c r="E71" i="4" s="1"/>
  <c r="G71" i="4"/>
  <c r="G335" i="4"/>
  <c r="BR337" i="1"/>
  <c r="E335" i="4" s="1"/>
  <c r="L335" i="4" s="1"/>
  <c r="P335" i="4" s="1"/>
  <c r="Q335" i="4" s="1"/>
  <c r="BR200" i="1"/>
  <c r="E198" i="4" s="1"/>
  <c r="Q349" i="1"/>
  <c r="D347" i="4" s="1"/>
  <c r="Q463" i="1"/>
  <c r="D461" i="4" s="1"/>
  <c r="BR119" i="1"/>
  <c r="E117" i="4" s="1"/>
  <c r="BR215" i="1"/>
  <c r="E213" i="4" s="1"/>
  <c r="BR472" i="1"/>
  <c r="E470" i="4" s="1"/>
  <c r="BR107" i="1"/>
  <c r="E105" i="4" s="1"/>
  <c r="BR495" i="1"/>
  <c r="E493" i="4" s="1"/>
  <c r="L493" i="4" s="1"/>
  <c r="P493" i="4" s="1"/>
  <c r="Q493" i="4" s="1"/>
  <c r="G241" i="4"/>
  <c r="Q381" i="1"/>
  <c r="D379" i="4" s="1"/>
  <c r="BR474" i="1"/>
  <c r="E472" i="4" s="1"/>
  <c r="BR287" i="1"/>
  <c r="E285" i="4" s="1"/>
  <c r="G385" i="4"/>
  <c r="BR427" i="1"/>
  <c r="E425" i="4" s="1"/>
  <c r="BR36" i="1"/>
  <c r="BR416" i="1"/>
  <c r="E414" i="4" s="1"/>
  <c r="BR213" i="1"/>
  <c r="E211" i="4" s="1"/>
  <c r="Q90" i="1"/>
  <c r="D88" i="4" s="1"/>
  <c r="L88" i="4" s="1"/>
  <c r="P88" i="4" s="1"/>
  <c r="Q88" i="4" s="1"/>
  <c r="R88" i="4" s="1"/>
  <c r="F88" i="4"/>
  <c r="G203" i="4"/>
  <c r="BR205" i="1"/>
  <c r="E203" i="4" s="1"/>
  <c r="F371" i="4"/>
  <c r="Q373" i="1"/>
  <c r="D371" i="4" s="1"/>
  <c r="F301" i="4"/>
  <c r="Q303" i="1"/>
  <c r="D301" i="4" s="1"/>
  <c r="BR116" i="1"/>
  <c r="E114" i="4" s="1"/>
  <c r="G114" i="4"/>
  <c r="G170" i="4"/>
  <c r="BR172" i="1"/>
  <c r="E170" i="4" s="1"/>
  <c r="F293" i="4"/>
  <c r="Q295" i="1"/>
  <c r="D293" i="4" s="1"/>
  <c r="BR369" i="1"/>
  <c r="E367" i="4" s="1"/>
  <c r="G367" i="4"/>
  <c r="F239" i="4"/>
  <c r="Q241" i="1"/>
  <c r="D239" i="4" s="1"/>
  <c r="BR271" i="1"/>
  <c r="E269" i="4" s="1"/>
  <c r="G269" i="4"/>
  <c r="Q30" i="1"/>
  <c r="BR94" i="1"/>
  <c r="E92" i="4" s="1"/>
  <c r="G92" i="4"/>
  <c r="G193" i="4"/>
  <c r="BR380" i="1"/>
  <c r="E378" i="4" s="1"/>
  <c r="BR91" i="1"/>
  <c r="E89" i="4" s="1"/>
  <c r="G296" i="4"/>
  <c r="BR298" i="1"/>
  <c r="E296" i="4" s="1"/>
  <c r="G430" i="4"/>
  <c r="BR432" i="1"/>
  <c r="E430" i="4" s="1"/>
  <c r="F84" i="4"/>
  <c r="H84" i="4" s="1"/>
  <c r="J84" i="4" s="1"/>
  <c r="Q86" i="1"/>
  <c r="D84" i="4" s="1"/>
  <c r="G151" i="4"/>
  <c r="BR153" i="1"/>
  <c r="E151" i="4" s="1"/>
  <c r="L151" i="4" s="1"/>
  <c r="P151" i="4" s="1"/>
  <c r="Q151" i="4" s="1"/>
  <c r="BR257" i="1"/>
  <c r="E255" i="4" s="1"/>
  <c r="L255" i="4" s="1"/>
  <c r="P255" i="4" s="1"/>
  <c r="Q255" i="4" s="1"/>
  <c r="G255" i="4"/>
  <c r="G304" i="4"/>
  <c r="BR306" i="1"/>
  <c r="E304" i="4" s="1"/>
  <c r="G398" i="4"/>
  <c r="BR400" i="1"/>
  <c r="E398" i="4" s="1"/>
  <c r="G143" i="4"/>
  <c r="BR145" i="1"/>
  <c r="E143" i="4" s="1"/>
  <c r="BR81" i="1"/>
  <c r="E79" i="4" s="1"/>
  <c r="G79" i="4"/>
  <c r="BR226" i="1"/>
  <c r="E224" i="4" s="1"/>
  <c r="G224" i="4"/>
  <c r="G266" i="4"/>
  <c r="BR268" i="1"/>
  <c r="E266" i="4" s="1"/>
  <c r="G413" i="4"/>
  <c r="H413" i="4" s="1"/>
  <c r="J413" i="4" s="1"/>
  <c r="BR415" i="1"/>
  <c r="E413" i="4" s="1"/>
  <c r="G8" i="4"/>
  <c r="BR28" i="1"/>
  <c r="BR6" i="1"/>
  <c r="BR118" i="1"/>
  <c r="E116" i="4" s="1"/>
  <c r="BR42" i="1"/>
  <c r="BR233" i="1"/>
  <c r="E231" i="4" s="1"/>
  <c r="L231" i="4" s="1"/>
  <c r="P231" i="4" s="1"/>
  <c r="Q231" i="4" s="1"/>
  <c r="BR140" i="1"/>
  <c r="E138" i="4" s="1"/>
  <c r="F451" i="4"/>
  <c r="F74" i="4"/>
  <c r="Q76" i="1"/>
  <c r="D74" i="4" s="1"/>
  <c r="L74" i="4" s="1"/>
  <c r="P74" i="4" s="1"/>
  <c r="Q74" i="4" s="1"/>
  <c r="G55" i="4"/>
  <c r="BR25" i="1"/>
  <c r="G240" i="4"/>
  <c r="BR242" i="1"/>
  <c r="E240" i="4" s="1"/>
  <c r="BR245" i="1"/>
  <c r="E243" i="4" s="1"/>
  <c r="L243" i="4" s="1"/>
  <c r="P243" i="4" s="1"/>
  <c r="Q243" i="4" s="1"/>
  <c r="G243" i="4"/>
  <c r="G199" i="4"/>
  <c r="BR201" i="1"/>
  <c r="E199" i="4" s="1"/>
  <c r="G23" i="4"/>
  <c r="BR7" i="1"/>
  <c r="E23" i="4" s="1"/>
  <c r="G186" i="4"/>
  <c r="BR188" i="1"/>
  <c r="E186" i="4" s="1"/>
  <c r="G246" i="4"/>
  <c r="BR248" i="1"/>
  <c r="E246" i="4" s="1"/>
  <c r="G281" i="4"/>
  <c r="BR283" i="1"/>
  <c r="E281" i="4" s="1"/>
  <c r="F56" i="4"/>
  <c r="Q23" i="1"/>
  <c r="Q421" i="1"/>
  <c r="D419" i="4" s="1"/>
  <c r="F419" i="4"/>
  <c r="G395" i="4"/>
  <c r="BR397" i="1"/>
  <c r="E395" i="4" s="1"/>
  <c r="G445" i="4"/>
  <c r="H445" i="4" s="1"/>
  <c r="J445" i="4" s="1"/>
  <c r="BR447" i="1"/>
  <c r="E445" i="4" s="1"/>
  <c r="F247" i="4"/>
  <c r="Q249" i="1"/>
  <c r="D247" i="4" s="1"/>
  <c r="L247" i="4" s="1"/>
  <c r="P247" i="4" s="1"/>
  <c r="Q247" i="4" s="1"/>
  <c r="BR428" i="1"/>
  <c r="E426" i="4" s="1"/>
  <c r="G426" i="4"/>
  <c r="G417" i="4"/>
  <c r="BR419" i="1"/>
  <c r="E417" i="4" s="1"/>
  <c r="G146" i="4"/>
  <c r="BR148" i="1"/>
  <c r="E146" i="4" s="1"/>
  <c r="BR310" i="1"/>
  <c r="E308" i="4" s="1"/>
  <c r="G308" i="4"/>
  <c r="G225" i="4"/>
  <c r="BR227" i="1"/>
  <c r="E225" i="4" s="1"/>
  <c r="M21" i="4"/>
  <c r="R22" i="1"/>
  <c r="F38" i="4" s="1"/>
  <c r="G253" i="4"/>
  <c r="BR255" i="1"/>
  <c r="E253" i="4" s="1"/>
  <c r="Q42" i="1"/>
  <c r="BR347" i="1"/>
  <c r="E345" i="4" s="1"/>
  <c r="BR185" i="1"/>
  <c r="E183" i="4" s="1"/>
  <c r="BR131" i="1"/>
  <c r="E129" i="4" s="1"/>
  <c r="G76" i="4"/>
  <c r="BR78" i="1"/>
  <c r="E76" i="4" s="1"/>
  <c r="G260" i="4"/>
  <c r="BR262" i="1"/>
  <c r="E260" i="4" s="1"/>
  <c r="G218" i="4"/>
  <c r="BR220" i="1"/>
  <c r="E218" i="4" s="1"/>
  <c r="BR278" i="1"/>
  <c r="E276" i="4" s="1"/>
  <c r="G276" i="4"/>
  <c r="F157" i="4"/>
  <c r="Q159" i="1"/>
  <c r="D157" i="4" s="1"/>
  <c r="G230" i="4"/>
  <c r="BR232" i="1"/>
  <c r="E230" i="4" s="1"/>
  <c r="BR313" i="1"/>
  <c r="E311" i="4" s="1"/>
  <c r="G311" i="4"/>
  <c r="G317" i="4"/>
  <c r="BR319" i="1"/>
  <c r="E317" i="4" s="1"/>
  <c r="L317" i="4" s="1"/>
  <c r="P317" i="4" s="1"/>
  <c r="Q317" i="4" s="1"/>
  <c r="G289" i="4"/>
  <c r="BR291" i="1"/>
  <c r="E289" i="4" s="1"/>
  <c r="BR45" i="1"/>
  <c r="G5" i="4"/>
  <c r="F417" i="4"/>
  <c r="Q419" i="1"/>
  <c r="D417" i="4" s="1"/>
  <c r="BR95" i="1"/>
  <c r="E93" i="4" s="1"/>
  <c r="G93" i="4"/>
  <c r="G13" i="4"/>
  <c r="H452" i="4" s="1"/>
  <c r="J452" i="4" s="1"/>
  <c r="BR48" i="1"/>
  <c r="G232" i="4"/>
  <c r="BR234" i="1"/>
  <c r="E232" i="4" s="1"/>
  <c r="G450" i="4"/>
  <c r="BR452" i="1"/>
  <c r="E450" i="4" s="1"/>
  <c r="BR434" i="1"/>
  <c r="E432" i="4" s="1"/>
  <c r="G432" i="4"/>
  <c r="BR442" i="1"/>
  <c r="E440" i="4" s="1"/>
  <c r="G440" i="4"/>
  <c r="BR404" i="1"/>
  <c r="E402" i="4" s="1"/>
  <c r="G402" i="4"/>
  <c r="BR285" i="1"/>
  <c r="E283" i="4" s="1"/>
  <c r="L283" i="4" s="1"/>
  <c r="P283" i="4" s="1"/>
  <c r="Q283" i="4" s="1"/>
  <c r="G87" i="4"/>
  <c r="BR89" i="1"/>
  <c r="E87" i="4" s="1"/>
  <c r="BR216" i="1"/>
  <c r="E214" i="4" s="1"/>
  <c r="G214" i="4"/>
  <c r="F109" i="4"/>
  <c r="Q111" i="1"/>
  <c r="D109" i="4" s="1"/>
  <c r="L109" i="4" s="1"/>
  <c r="P109" i="4" s="1"/>
  <c r="Q109" i="4" s="1"/>
  <c r="G294" i="4"/>
  <c r="BR296" i="1"/>
  <c r="E294" i="4" s="1"/>
  <c r="BR173" i="1"/>
  <c r="E171" i="4" s="1"/>
  <c r="L171" i="4" s="1"/>
  <c r="P171" i="4" s="1"/>
  <c r="Q171" i="4" s="1"/>
  <c r="G171" i="4"/>
  <c r="BR61" i="1"/>
  <c r="E59" i="4" s="1"/>
  <c r="G59" i="4"/>
  <c r="F173" i="4"/>
  <c r="Q175" i="1"/>
  <c r="D173" i="4" s="1"/>
  <c r="Q155" i="1"/>
  <c r="D153" i="4" s="1"/>
  <c r="L153" i="4" s="1"/>
  <c r="P153" i="4" s="1"/>
  <c r="Q153" i="4" s="1"/>
  <c r="F153" i="4"/>
  <c r="G323" i="4"/>
  <c r="BR325" i="1"/>
  <c r="E323" i="4" s="1"/>
  <c r="G190" i="4"/>
  <c r="BR192" i="1"/>
  <c r="E190" i="4" s="1"/>
  <c r="BR367" i="1"/>
  <c r="E365" i="4" s="1"/>
  <c r="G365" i="4"/>
  <c r="F80" i="4"/>
  <c r="Q82" i="1"/>
  <c r="D80" i="4" s="1"/>
  <c r="L80" i="4" s="1"/>
  <c r="P80" i="4" s="1"/>
  <c r="Q80" i="4" s="1"/>
  <c r="Q235" i="1"/>
  <c r="D233" i="4" s="1"/>
  <c r="L233" i="4" s="1"/>
  <c r="P233" i="4" s="1"/>
  <c r="Q233" i="4" s="1"/>
  <c r="F233" i="4"/>
  <c r="Q269" i="1"/>
  <c r="D267" i="4" s="1"/>
  <c r="F267" i="4"/>
  <c r="F365" i="4"/>
  <c r="Q367" i="1"/>
  <c r="D365" i="4" s="1"/>
  <c r="G328" i="4"/>
  <c r="BR330" i="1"/>
  <c r="E328" i="4" s="1"/>
  <c r="F415" i="4"/>
  <c r="H405" i="4" s="1"/>
  <c r="J405" i="4" s="1"/>
  <c r="Q417" i="1"/>
  <c r="D415" i="4" s="1"/>
  <c r="BR35" i="1"/>
  <c r="E47" i="4" s="1"/>
  <c r="G53" i="4"/>
  <c r="BR56" i="1"/>
  <c r="G52" i="4"/>
  <c r="BR55" i="1"/>
  <c r="G347" i="4"/>
  <c r="BR349" i="1"/>
  <c r="E347" i="4" s="1"/>
  <c r="F105" i="4"/>
  <c r="Q107" i="1"/>
  <c r="D105" i="4" s="1"/>
  <c r="G131" i="4"/>
  <c r="BR133" i="1"/>
  <c r="E131" i="4" s="1"/>
  <c r="BR269" i="1"/>
  <c r="E267" i="4" s="1"/>
  <c r="G267" i="4"/>
  <c r="G299" i="4"/>
  <c r="BR301" i="1"/>
  <c r="E299" i="4" s="1"/>
  <c r="F351" i="4"/>
  <c r="Q353" i="1"/>
  <c r="D351" i="4" s="1"/>
  <c r="L351" i="4" s="1"/>
  <c r="P351" i="4" s="1"/>
  <c r="Q351" i="4" s="1"/>
  <c r="BR381" i="1"/>
  <c r="E379" i="4" s="1"/>
  <c r="G379" i="4"/>
  <c r="F429" i="4"/>
  <c r="Q431" i="1"/>
  <c r="D429" i="4" s="1"/>
  <c r="BR431" i="1"/>
  <c r="E429" i="4" s="1"/>
  <c r="G429" i="4"/>
  <c r="BR429" i="1"/>
  <c r="E427" i="4" s="1"/>
  <c r="G427" i="4"/>
  <c r="BR109" i="1"/>
  <c r="E107" i="4" s="1"/>
  <c r="G107" i="4"/>
  <c r="G239" i="4"/>
  <c r="BR241" i="1"/>
  <c r="E239" i="4" s="1"/>
  <c r="G220" i="4"/>
  <c r="BR222" i="1"/>
  <c r="E220" i="4" s="1"/>
  <c r="BR332" i="1"/>
  <c r="E330" i="4" s="1"/>
  <c r="G330" i="4"/>
  <c r="Q427" i="1"/>
  <c r="D425" i="4" s="1"/>
  <c r="F425" i="4"/>
  <c r="G401" i="4"/>
  <c r="H401" i="4" s="1"/>
  <c r="J401" i="4" s="1"/>
  <c r="BR403" i="1"/>
  <c r="E401" i="4" s="1"/>
  <c r="Q167" i="1"/>
  <c r="D165" i="4" s="1"/>
  <c r="F165" i="4"/>
  <c r="G270" i="4"/>
  <c r="BR272" i="1"/>
  <c r="E270" i="4" s="1"/>
  <c r="BR379" i="1"/>
  <c r="E377" i="4" s="1"/>
  <c r="L377" i="4" s="1"/>
  <c r="P377" i="4" s="1"/>
  <c r="Q377" i="4" s="1"/>
  <c r="G377" i="4"/>
  <c r="BR50" i="1"/>
  <c r="G31" i="4"/>
  <c r="G115" i="4"/>
  <c r="BR117" i="1"/>
  <c r="E115" i="4" s="1"/>
  <c r="G293" i="4"/>
  <c r="BR295" i="1"/>
  <c r="E293" i="4" s="1"/>
  <c r="Q405" i="1"/>
  <c r="D403" i="4" s="1"/>
  <c r="L403" i="4" s="1"/>
  <c r="P403" i="4" s="1"/>
  <c r="Q403" i="4" s="1"/>
  <c r="F403" i="4"/>
  <c r="G357" i="4"/>
  <c r="BR359" i="1"/>
  <c r="E357" i="4" s="1"/>
  <c r="BR394" i="1"/>
  <c r="E392" i="4" s="1"/>
  <c r="G392" i="4"/>
  <c r="G446" i="4"/>
  <c r="BR448" i="1"/>
  <c r="E446" i="4" s="1"/>
  <c r="G464" i="4"/>
  <c r="H411" i="4" s="1"/>
  <c r="J411" i="4" s="1"/>
  <c r="BR466" i="1"/>
  <c r="E464" i="4" s="1"/>
  <c r="G111" i="4"/>
  <c r="BR113" i="1"/>
  <c r="E111" i="4" s="1"/>
  <c r="BR309" i="1"/>
  <c r="E307" i="4" s="1"/>
  <c r="L307" i="4" s="1"/>
  <c r="P307" i="4" s="1"/>
  <c r="Q307" i="4" s="1"/>
  <c r="G307" i="4"/>
  <c r="F353" i="4"/>
  <c r="Q355" i="1"/>
  <c r="D353" i="4" s="1"/>
  <c r="L497" i="4"/>
  <c r="P497" i="4" s="1"/>
  <c r="Q497" i="4" s="1"/>
  <c r="L495" i="4"/>
  <c r="P495" i="4" s="1"/>
  <c r="Q495" i="4" s="1"/>
  <c r="Q58" i="1"/>
  <c r="BR219" i="1"/>
  <c r="E217" i="4" s="1"/>
  <c r="BR147" i="1"/>
  <c r="E145" i="4" s="1"/>
  <c r="L145" i="4" s="1"/>
  <c r="P145" i="4" s="1"/>
  <c r="Q145" i="4" s="1"/>
  <c r="BR457" i="1"/>
  <c r="E455" i="4" s="1"/>
  <c r="L455" i="4" s="1"/>
  <c r="P455" i="4" s="1"/>
  <c r="Q455" i="4" s="1"/>
  <c r="Q151" i="1"/>
  <c r="D149" i="4" s="1"/>
  <c r="F149" i="4"/>
  <c r="BR125" i="1"/>
  <c r="E123" i="4" s="1"/>
  <c r="G123" i="4"/>
  <c r="BR281" i="1"/>
  <c r="E279" i="4" s="1"/>
  <c r="G279" i="4"/>
  <c r="BR261" i="1"/>
  <c r="E259" i="4" s="1"/>
  <c r="G259" i="4"/>
  <c r="G331" i="4"/>
  <c r="BR333" i="1"/>
  <c r="E331" i="4" s="1"/>
  <c r="BR417" i="1"/>
  <c r="E415" i="4" s="1"/>
  <c r="G415" i="4"/>
  <c r="BR423" i="1"/>
  <c r="E421" i="4" s="1"/>
  <c r="G421" i="4"/>
  <c r="H421" i="4" s="1"/>
  <c r="J421" i="4" s="1"/>
  <c r="G127" i="4"/>
  <c r="BR129" i="1"/>
  <c r="E127" i="4" s="1"/>
  <c r="G142" i="4"/>
  <c r="BR144" i="1"/>
  <c r="E142" i="4" s="1"/>
  <c r="G195" i="4"/>
  <c r="BR197" i="1"/>
  <c r="E195" i="4" s="1"/>
  <c r="G355" i="4"/>
  <c r="BR357" i="1"/>
  <c r="E355" i="4" s="1"/>
  <c r="L355" i="4" s="1"/>
  <c r="P355" i="4" s="1"/>
  <c r="Q355" i="4" s="1"/>
  <c r="BR273" i="1"/>
  <c r="E271" i="4" s="1"/>
  <c r="L271" i="4" s="1"/>
  <c r="P271" i="4" s="1"/>
  <c r="Q271" i="4" s="1"/>
  <c r="G271" i="4"/>
  <c r="G370" i="4"/>
  <c r="BR372" i="1"/>
  <c r="E370" i="4" s="1"/>
  <c r="BR386" i="1"/>
  <c r="E384" i="4" s="1"/>
  <c r="G384" i="4"/>
  <c r="F395" i="4"/>
  <c r="Q397" i="1"/>
  <c r="D395" i="4" s="1"/>
  <c r="BR70" i="1"/>
  <c r="E68" i="4" s="1"/>
  <c r="G68" i="4"/>
  <c r="BR184" i="1"/>
  <c r="E182" i="4" s="1"/>
  <c r="G182" i="4"/>
  <c r="G382" i="4"/>
  <c r="BR384" i="1"/>
  <c r="E382" i="4" s="1"/>
  <c r="BR274" i="1"/>
  <c r="E272" i="4" s="1"/>
  <c r="G272" i="4"/>
  <c r="BR228" i="1"/>
  <c r="E226" i="4" s="1"/>
  <c r="G226" i="4"/>
  <c r="G362" i="4"/>
  <c r="BR364" i="1"/>
  <c r="E362" i="4" s="1"/>
  <c r="Q441" i="1"/>
  <c r="D439" i="4" s="1"/>
  <c r="F439" i="4"/>
  <c r="H439" i="4" s="1"/>
  <c r="J439" i="4" s="1"/>
  <c r="G422" i="4"/>
  <c r="BR424" i="1"/>
  <c r="E422" i="4" s="1"/>
  <c r="G187" i="4"/>
  <c r="BR189" i="1"/>
  <c r="E187" i="4" s="1"/>
  <c r="BR177" i="1"/>
  <c r="E175" i="4" s="1"/>
  <c r="L175" i="4" s="1"/>
  <c r="P175" i="4" s="1"/>
  <c r="Q175" i="4" s="1"/>
  <c r="G175" i="4"/>
  <c r="G480" i="4"/>
  <c r="BR482" i="1"/>
  <c r="E480" i="4" s="1"/>
  <c r="L480" i="4" s="1"/>
  <c r="P480" i="4" s="1"/>
  <c r="Q480" i="4" s="1"/>
  <c r="L475" i="4"/>
  <c r="P475" i="4" s="1"/>
  <c r="Q475" i="4" s="1"/>
  <c r="F287" i="4"/>
  <c r="Q289" i="1"/>
  <c r="D287" i="4" s="1"/>
  <c r="L287" i="4" s="1"/>
  <c r="P287" i="4" s="1"/>
  <c r="Q287" i="4" s="1"/>
  <c r="F45" i="4"/>
  <c r="Q34" i="1"/>
  <c r="BR161" i="1"/>
  <c r="E159" i="4" s="1"/>
  <c r="L159" i="4" s="1"/>
  <c r="P159" i="4" s="1"/>
  <c r="Q159" i="4" s="1"/>
  <c r="G159" i="4"/>
  <c r="Q401" i="1"/>
  <c r="D399" i="4" s="1"/>
  <c r="F399" i="4"/>
  <c r="H399" i="4" s="1"/>
  <c r="J399" i="4" s="1"/>
  <c r="Q345" i="1"/>
  <c r="D343" i="4" s="1"/>
  <c r="L343" i="4" s="1"/>
  <c r="P343" i="4" s="1"/>
  <c r="Q343" i="4" s="1"/>
  <c r="F343" i="4"/>
  <c r="F345" i="4"/>
  <c r="Q347" i="1"/>
  <c r="D345" i="4" s="1"/>
  <c r="F407" i="4"/>
  <c r="Q409" i="1"/>
  <c r="D407" i="4" s="1"/>
  <c r="G418" i="4"/>
  <c r="BR420" i="1"/>
  <c r="E418" i="4" s="1"/>
  <c r="F121" i="4"/>
  <c r="Q123" i="1"/>
  <c r="D121" i="4" s="1"/>
  <c r="G167" i="4"/>
  <c r="BR169" i="1"/>
  <c r="E167" i="4" s="1"/>
  <c r="L167" i="4" s="1"/>
  <c r="P167" i="4" s="1"/>
  <c r="Q167" i="4" s="1"/>
  <c r="G249" i="4"/>
  <c r="BR251" i="1"/>
  <c r="E249" i="4" s="1"/>
  <c r="L249" i="4" s="1"/>
  <c r="P249" i="4" s="1"/>
  <c r="Q249" i="4" s="1"/>
  <c r="BR370" i="1"/>
  <c r="E368" i="4" s="1"/>
  <c r="G368" i="4"/>
  <c r="G321" i="4"/>
  <c r="BR323" i="1"/>
  <c r="E321" i="4" s="1"/>
  <c r="G374" i="4"/>
  <c r="BR376" i="1"/>
  <c r="E374" i="4" s="1"/>
  <c r="BR395" i="1"/>
  <c r="E393" i="4" s="1"/>
  <c r="G393" i="4"/>
  <c r="G100" i="4"/>
  <c r="BR102" i="1"/>
  <c r="E100" i="4" s="1"/>
  <c r="G235" i="4"/>
  <c r="BR237" i="1"/>
  <c r="E235" i="4" s="1"/>
  <c r="G349" i="4"/>
  <c r="BR351" i="1"/>
  <c r="E349" i="4" s="1"/>
  <c r="G406" i="4"/>
  <c r="BR408" i="1"/>
  <c r="E406" i="4" s="1"/>
  <c r="F346" i="4"/>
  <c r="Q348" i="1"/>
  <c r="D346" i="4" s="1"/>
  <c r="L346" i="4" s="1"/>
  <c r="P346" i="4" s="1"/>
  <c r="Q346" i="4" s="1"/>
  <c r="F310" i="4"/>
  <c r="Q312" i="1"/>
  <c r="D310" i="4" s="1"/>
  <c r="F260" i="4"/>
  <c r="Q262" i="1"/>
  <c r="D260" i="4" s="1"/>
  <c r="F292" i="4"/>
  <c r="Q294" i="1"/>
  <c r="D292" i="4" s="1"/>
  <c r="F320" i="4"/>
  <c r="Q322" i="1"/>
  <c r="D320" i="4" s="1"/>
  <c r="F438" i="4"/>
  <c r="Q440" i="1"/>
  <c r="D438" i="4" s="1"/>
  <c r="F196" i="4"/>
  <c r="Q198" i="1"/>
  <c r="D196" i="4" s="1"/>
  <c r="L196" i="4" s="1"/>
  <c r="P196" i="4" s="1"/>
  <c r="Q196" i="4" s="1"/>
  <c r="F326" i="4"/>
  <c r="Q328" i="1"/>
  <c r="D326" i="4" s="1"/>
  <c r="L326" i="4" s="1"/>
  <c r="P326" i="4" s="1"/>
  <c r="Q326" i="4" s="1"/>
  <c r="F142" i="4"/>
  <c r="Q144" i="1"/>
  <c r="D142" i="4" s="1"/>
  <c r="F174" i="4"/>
  <c r="Q176" i="1"/>
  <c r="D174" i="4" s="1"/>
  <c r="F156" i="4"/>
  <c r="H103" i="4" s="1"/>
  <c r="J103" i="4" s="1"/>
  <c r="Q158" i="1"/>
  <c r="D156" i="4" s="1"/>
  <c r="L156" i="4" s="1"/>
  <c r="P156" i="4" s="1"/>
  <c r="Q156" i="4" s="1"/>
  <c r="F55" i="4"/>
  <c r="Q25" i="1"/>
  <c r="F63" i="4"/>
  <c r="Q65" i="1"/>
  <c r="D63" i="4" s="1"/>
  <c r="F71" i="4"/>
  <c r="Q73" i="1"/>
  <c r="D71" i="4" s="1"/>
  <c r="F79" i="4"/>
  <c r="Q81" i="1"/>
  <c r="D79" i="4" s="1"/>
  <c r="F87" i="4"/>
  <c r="Q89" i="1"/>
  <c r="D87" i="4" s="1"/>
  <c r="F95" i="4"/>
  <c r="Q97" i="1"/>
  <c r="D95" i="4" s="1"/>
  <c r="F224" i="4"/>
  <c r="Q226" i="1"/>
  <c r="D224" i="4" s="1"/>
  <c r="F284" i="4"/>
  <c r="Q286" i="1"/>
  <c r="D284" i="4" s="1"/>
  <c r="F366" i="4"/>
  <c r="Q368" i="1"/>
  <c r="D366" i="4" s="1"/>
  <c r="F414" i="4"/>
  <c r="Q416" i="1"/>
  <c r="D414" i="4" s="1"/>
  <c r="F5" i="4"/>
  <c r="Q45" i="1"/>
  <c r="F53" i="4"/>
  <c r="Q56" i="1"/>
  <c r="F69" i="4"/>
  <c r="Q71" i="1"/>
  <c r="D69" i="4" s="1"/>
  <c r="F85" i="4"/>
  <c r="Q87" i="1"/>
  <c r="D85" i="4" s="1"/>
  <c r="F350" i="4"/>
  <c r="Q352" i="1"/>
  <c r="D350" i="4" s="1"/>
  <c r="F328" i="4"/>
  <c r="Q330" i="1"/>
  <c r="D328" i="4" s="1"/>
  <c r="F398" i="4"/>
  <c r="Q400" i="1"/>
  <c r="D398" i="4" s="1"/>
  <c r="F144" i="4"/>
  <c r="Q146" i="1"/>
  <c r="D144" i="4" s="1"/>
  <c r="F248" i="4"/>
  <c r="Q250" i="1"/>
  <c r="D248" i="4" s="1"/>
  <c r="F280" i="4"/>
  <c r="Q282" i="1"/>
  <c r="D280" i="4" s="1"/>
  <c r="F316" i="4"/>
  <c r="Q318" i="1"/>
  <c r="D316" i="4" s="1"/>
  <c r="F118" i="4"/>
  <c r="Q120" i="1"/>
  <c r="D118" i="4" s="1"/>
  <c r="F198" i="4"/>
  <c r="Q200" i="1"/>
  <c r="D198" i="4" s="1"/>
  <c r="F306" i="4"/>
  <c r="Q308" i="1"/>
  <c r="D306" i="4" s="1"/>
  <c r="L306" i="4" s="1"/>
  <c r="P306" i="4" s="1"/>
  <c r="Q306" i="4" s="1"/>
  <c r="F330" i="4"/>
  <c r="Q332" i="1"/>
  <c r="D330" i="4" s="1"/>
  <c r="F132" i="4"/>
  <c r="H132" i="4" s="1"/>
  <c r="J132" i="4" s="1"/>
  <c r="Q134" i="1"/>
  <c r="D132" i="4" s="1"/>
  <c r="F65" i="4"/>
  <c r="Q67" i="1"/>
  <c r="D65" i="4" s="1"/>
  <c r="F81" i="4"/>
  <c r="Q83" i="1"/>
  <c r="D81" i="4" s="1"/>
  <c r="L81" i="4" s="1"/>
  <c r="P81" i="4" s="1"/>
  <c r="Q81" i="4" s="1"/>
  <c r="F97" i="4"/>
  <c r="Q99" i="1"/>
  <c r="D97" i="4" s="1"/>
  <c r="L128" i="4"/>
  <c r="P128" i="4" s="1"/>
  <c r="Q128" i="4" s="1"/>
  <c r="F42" i="4"/>
  <c r="Q17" i="1"/>
  <c r="F152" i="4"/>
  <c r="H152" i="4" s="1"/>
  <c r="J152" i="4" s="1"/>
  <c r="Q154" i="1"/>
  <c r="D152" i="4" s="1"/>
  <c r="F180" i="4"/>
  <c r="Q182" i="1"/>
  <c r="D180" i="4" s="1"/>
  <c r="L180" i="4" s="1"/>
  <c r="P180" i="4" s="1"/>
  <c r="Q180" i="4" s="1"/>
  <c r="F362" i="4"/>
  <c r="H309" i="4" s="1"/>
  <c r="J309" i="4" s="1"/>
  <c r="Q364" i="1"/>
  <c r="D362" i="4" s="1"/>
  <c r="F378" i="4"/>
  <c r="Q380" i="1"/>
  <c r="D378" i="4" s="1"/>
  <c r="F394" i="4"/>
  <c r="H394" i="4" s="1"/>
  <c r="J394" i="4" s="1"/>
  <c r="Q396" i="1"/>
  <c r="D394" i="4" s="1"/>
  <c r="F410" i="4"/>
  <c r="Q412" i="1"/>
  <c r="D410" i="4" s="1"/>
  <c r="F426" i="4"/>
  <c r="Q428" i="1"/>
  <c r="D426" i="4" s="1"/>
  <c r="F442" i="4"/>
  <c r="H442" i="4" s="1"/>
  <c r="J442" i="4" s="1"/>
  <c r="Q444" i="1"/>
  <c r="D442" i="4" s="1"/>
  <c r="F212" i="4"/>
  <c r="Q214" i="1"/>
  <c r="D212" i="4" s="1"/>
  <c r="L212" i="4" s="1"/>
  <c r="P212" i="4" s="1"/>
  <c r="Q212" i="4" s="1"/>
  <c r="F444" i="4"/>
  <c r="Q446" i="1"/>
  <c r="D444" i="4" s="1"/>
  <c r="L444" i="4" s="1"/>
  <c r="P444" i="4" s="1"/>
  <c r="Q444" i="4" s="1"/>
  <c r="F106" i="4"/>
  <c r="Q108" i="1"/>
  <c r="D106" i="4" s="1"/>
  <c r="L106" i="4" s="1"/>
  <c r="P106" i="4" s="1"/>
  <c r="Q106" i="4" s="1"/>
  <c r="F114" i="4"/>
  <c r="Q116" i="1"/>
  <c r="D114" i="4" s="1"/>
  <c r="F130" i="4"/>
  <c r="Q132" i="1"/>
  <c r="D130" i="4" s="1"/>
  <c r="F146" i="4"/>
  <c r="Q148" i="1"/>
  <c r="D146" i="4" s="1"/>
  <c r="F162" i="4"/>
  <c r="Q164" i="1"/>
  <c r="D162" i="4" s="1"/>
  <c r="L162" i="4" s="1"/>
  <c r="P162" i="4" s="1"/>
  <c r="Q162" i="4" s="1"/>
  <c r="F178" i="4"/>
  <c r="Q180" i="1"/>
  <c r="D178" i="4" s="1"/>
  <c r="F194" i="4"/>
  <c r="Q196" i="1"/>
  <c r="D194" i="4" s="1"/>
  <c r="F210" i="4"/>
  <c r="Q212" i="1"/>
  <c r="D210" i="4" s="1"/>
  <c r="F230" i="4"/>
  <c r="Q232" i="1"/>
  <c r="D230" i="4" s="1"/>
  <c r="F246" i="4"/>
  <c r="Q248" i="1"/>
  <c r="D246" i="4" s="1"/>
  <c r="F262" i="4"/>
  <c r="Q264" i="1"/>
  <c r="D262" i="4" s="1"/>
  <c r="F278" i="4"/>
  <c r="Q280" i="1"/>
  <c r="D278" i="4" s="1"/>
  <c r="F294" i="4"/>
  <c r="Q296" i="1"/>
  <c r="D294" i="4" s="1"/>
  <c r="F342" i="4"/>
  <c r="Q344" i="1"/>
  <c r="D342" i="4" s="1"/>
  <c r="F360" i="4"/>
  <c r="Q362" i="1"/>
  <c r="D360" i="4" s="1"/>
  <c r="F376" i="4"/>
  <c r="Q378" i="1"/>
  <c r="D376" i="4" s="1"/>
  <c r="F392" i="4"/>
  <c r="Q394" i="1"/>
  <c r="D392" i="4" s="1"/>
  <c r="F408" i="4"/>
  <c r="Q410" i="1"/>
  <c r="D408" i="4" s="1"/>
  <c r="L408" i="4" s="1"/>
  <c r="P408" i="4" s="1"/>
  <c r="Q408" i="4" s="1"/>
  <c r="F424" i="4"/>
  <c r="Q426" i="1"/>
  <c r="D424" i="4" s="1"/>
  <c r="F440" i="4"/>
  <c r="Q442" i="1"/>
  <c r="D440" i="4" s="1"/>
  <c r="F221" i="4"/>
  <c r="H211" i="4" s="1"/>
  <c r="J211" i="4" s="1"/>
  <c r="Q223" i="1"/>
  <c r="D221" i="4" s="1"/>
  <c r="L221" i="4" s="1"/>
  <c r="P221" i="4" s="1"/>
  <c r="Q221" i="4" s="1"/>
  <c r="F225" i="4"/>
  <c r="Q227" i="1"/>
  <c r="D225" i="4" s="1"/>
  <c r="F244" i="4"/>
  <c r="Q246" i="1"/>
  <c r="D244" i="4" s="1"/>
  <c r="F358" i="4"/>
  <c r="Q360" i="1"/>
  <c r="D358" i="4" s="1"/>
  <c r="F390" i="4"/>
  <c r="Q392" i="1"/>
  <c r="D390" i="4" s="1"/>
  <c r="F356" i="4"/>
  <c r="H356" i="4" s="1"/>
  <c r="J356" i="4" s="1"/>
  <c r="Q358" i="1"/>
  <c r="D356" i="4" s="1"/>
  <c r="F112" i="4"/>
  <c r="Q114" i="1"/>
  <c r="D112" i="4" s="1"/>
  <c r="F404" i="4"/>
  <c r="H404" i="4" s="1"/>
  <c r="J404" i="4" s="1"/>
  <c r="Q406" i="1"/>
  <c r="D404" i="4" s="1"/>
  <c r="F166" i="4"/>
  <c r="Q168" i="1"/>
  <c r="D166" i="4" s="1"/>
  <c r="F338" i="4"/>
  <c r="Q340" i="1"/>
  <c r="D338" i="4" s="1"/>
  <c r="F164" i="4"/>
  <c r="Q166" i="1"/>
  <c r="D164" i="4" s="1"/>
  <c r="L164" i="4" s="1"/>
  <c r="P164" i="4" s="1"/>
  <c r="Q164" i="4" s="1"/>
  <c r="F380" i="4"/>
  <c r="Q382" i="1"/>
  <c r="D380" i="4" s="1"/>
  <c r="H483" i="4"/>
  <c r="J483" i="4" s="1"/>
  <c r="F140" i="4"/>
  <c r="Q142" i="1"/>
  <c r="D140" i="4" s="1"/>
  <c r="L140" i="4" s="1"/>
  <c r="P140" i="4" s="1"/>
  <c r="Q140" i="4" s="1"/>
  <c r="F160" i="4"/>
  <c r="Q162" i="1"/>
  <c r="D160" i="4" s="1"/>
  <c r="F184" i="4"/>
  <c r="H184" i="4" s="1"/>
  <c r="J184" i="4" s="1"/>
  <c r="Q186" i="1"/>
  <c r="D184" i="4" s="1"/>
  <c r="F108" i="4"/>
  <c r="H108" i="4" s="1"/>
  <c r="J108" i="4" s="1"/>
  <c r="Q110" i="1"/>
  <c r="D108" i="4" s="1"/>
  <c r="F208" i="4"/>
  <c r="Q210" i="1"/>
  <c r="D208" i="4" s="1"/>
  <c r="F258" i="4"/>
  <c r="Q260" i="1"/>
  <c r="D258" i="4" s="1"/>
  <c r="F31" i="4"/>
  <c r="Q50" i="1"/>
  <c r="F222" i="4"/>
  <c r="H222" i="4" s="1"/>
  <c r="J222" i="4" s="1"/>
  <c r="Q224" i="1"/>
  <c r="D222" i="4" s="1"/>
  <c r="F236" i="4"/>
  <c r="H183" i="4" s="1"/>
  <c r="J183" i="4" s="1"/>
  <c r="Q238" i="1"/>
  <c r="D236" i="4" s="1"/>
  <c r="F195" i="4"/>
  <c r="Q197" i="1"/>
  <c r="D195" i="4" s="1"/>
  <c r="Q234" i="1"/>
  <c r="D232" i="4" s="1"/>
  <c r="F232" i="4"/>
  <c r="F256" i="4"/>
  <c r="Q258" i="1"/>
  <c r="D256" i="4" s="1"/>
  <c r="L256" i="4" s="1"/>
  <c r="P256" i="4" s="1"/>
  <c r="Q256" i="4" s="1"/>
  <c r="F288" i="4"/>
  <c r="Q290" i="1"/>
  <c r="D288" i="4" s="1"/>
  <c r="F324" i="4"/>
  <c r="Q326" i="1"/>
  <c r="D324" i="4" s="1"/>
  <c r="F302" i="4"/>
  <c r="Q304" i="1"/>
  <c r="D302" i="4" s="1"/>
  <c r="F428" i="4"/>
  <c r="H428" i="4" s="1"/>
  <c r="J428" i="4" s="1"/>
  <c r="Q430" i="1"/>
  <c r="D428" i="4" s="1"/>
  <c r="F364" i="4"/>
  <c r="Q366" i="1"/>
  <c r="D364" i="4" s="1"/>
  <c r="F276" i="4"/>
  <c r="Q278" i="1"/>
  <c r="D276" i="4" s="1"/>
  <c r="F304" i="4"/>
  <c r="Q306" i="1"/>
  <c r="D304" i="4" s="1"/>
  <c r="F422" i="4"/>
  <c r="Q424" i="1"/>
  <c r="D422" i="4" s="1"/>
  <c r="F446" i="4"/>
  <c r="Q448" i="1"/>
  <c r="D446" i="4" s="1"/>
  <c r="F43" i="4"/>
  <c r="Q33" i="1"/>
  <c r="F204" i="4"/>
  <c r="Q206" i="1"/>
  <c r="D204" i="4" s="1"/>
  <c r="L204" i="4" s="1"/>
  <c r="P204" i="4" s="1"/>
  <c r="Q204" i="4" s="1"/>
  <c r="F120" i="4"/>
  <c r="Q122" i="1"/>
  <c r="D120" i="4" s="1"/>
  <c r="F172" i="4"/>
  <c r="Q174" i="1"/>
  <c r="D172" i="4" s="1"/>
  <c r="L172" i="4" s="1"/>
  <c r="P172" i="4" s="1"/>
  <c r="Q172" i="4" s="1"/>
  <c r="F290" i="4"/>
  <c r="H290" i="4" s="1"/>
  <c r="J290" i="4" s="1"/>
  <c r="Q292" i="1"/>
  <c r="D290" i="4" s="1"/>
  <c r="F396" i="4"/>
  <c r="Q398" i="1"/>
  <c r="D396" i="4" s="1"/>
  <c r="L396" i="4" s="1"/>
  <c r="P396" i="4" s="1"/>
  <c r="Q396" i="4" s="1"/>
  <c r="F17" i="4"/>
  <c r="H471" i="4" s="1"/>
  <c r="J471" i="4" s="1"/>
  <c r="Q20" i="1"/>
  <c r="F59" i="4"/>
  <c r="Q61" i="1"/>
  <c r="D59" i="4" s="1"/>
  <c r="F67" i="4"/>
  <c r="Q69" i="1"/>
  <c r="D67" i="4" s="1"/>
  <c r="F75" i="4"/>
  <c r="Q77" i="1"/>
  <c r="D75" i="4" s="1"/>
  <c r="F83" i="4"/>
  <c r="Q85" i="1"/>
  <c r="D83" i="4" s="1"/>
  <c r="F91" i="4"/>
  <c r="Q93" i="1"/>
  <c r="D91" i="4" s="1"/>
  <c r="F99" i="4"/>
  <c r="Q101" i="1"/>
  <c r="D99" i="4" s="1"/>
  <c r="F26" i="4"/>
  <c r="Q54" i="1"/>
  <c r="D26" i="4" s="1"/>
  <c r="F220" i="4"/>
  <c r="Q222" i="1"/>
  <c r="D220" i="4" s="1"/>
  <c r="F268" i="4"/>
  <c r="Q270" i="1"/>
  <c r="D268" i="4" s="1"/>
  <c r="F344" i="4"/>
  <c r="H344" i="4" s="1"/>
  <c r="J344" i="4" s="1"/>
  <c r="Q346" i="1"/>
  <c r="D344" i="4" s="1"/>
  <c r="F382" i="4"/>
  <c r="Q384" i="1"/>
  <c r="D382" i="4" s="1"/>
  <c r="F124" i="4"/>
  <c r="Q126" i="1"/>
  <c r="D124" i="4" s="1"/>
  <c r="L124" i="4" s="1"/>
  <c r="P124" i="4" s="1"/>
  <c r="Q124" i="4" s="1"/>
  <c r="F234" i="4"/>
  <c r="Q236" i="1"/>
  <c r="D234" i="4" s="1"/>
  <c r="F240" i="4"/>
  <c r="Q242" i="1"/>
  <c r="D240" i="4" s="1"/>
  <c r="F272" i="4"/>
  <c r="Q274" i="1"/>
  <c r="D272" i="4" s="1"/>
  <c r="F308" i="4"/>
  <c r="Q310" i="1"/>
  <c r="D308" i="4" s="1"/>
  <c r="F340" i="4"/>
  <c r="Q342" i="1"/>
  <c r="D340" i="4" s="1"/>
  <c r="F15" i="4"/>
  <c r="H458" i="4" s="1"/>
  <c r="J458" i="4" s="1"/>
  <c r="Q12" i="1"/>
  <c r="F61" i="4"/>
  <c r="Q63" i="1"/>
  <c r="D61" i="4" s="1"/>
  <c r="L61" i="4" s="1"/>
  <c r="P61" i="4" s="1"/>
  <c r="Q61" i="4" s="1"/>
  <c r="F77" i="4"/>
  <c r="Q79" i="1"/>
  <c r="D77" i="4" s="1"/>
  <c r="F93" i="4"/>
  <c r="Q95" i="1"/>
  <c r="D93" i="4" s="1"/>
  <c r="F420" i="4"/>
  <c r="Q422" i="1"/>
  <c r="D420" i="4" s="1"/>
  <c r="F122" i="4"/>
  <c r="Q124" i="1"/>
  <c r="D122" i="4" s="1"/>
  <c r="F138" i="4"/>
  <c r="H138" i="4" s="1"/>
  <c r="J138" i="4" s="1"/>
  <c r="Q140" i="1"/>
  <c r="D138" i="4" s="1"/>
  <c r="F154" i="4"/>
  <c r="H154" i="4" s="1"/>
  <c r="J154" i="4" s="1"/>
  <c r="Q156" i="1"/>
  <c r="D154" i="4" s="1"/>
  <c r="F170" i="4"/>
  <c r="Q172" i="1"/>
  <c r="D170" i="4" s="1"/>
  <c r="F186" i="4"/>
  <c r="Q188" i="1"/>
  <c r="D186" i="4" s="1"/>
  <c r="F202" i="4"/>
  <c r="Q204" i="1"/>
  <c r="D202" i="4" s="1"/>
  <c r="F218" i="4"/>
  <c r="Q220" i="1"/>
  <c r="D218" i="4" s="1"/>
  <c r="F104" i="4"/>
  <c r="Q106" i="1"/>
  <c r="D104" i="4" s="1"/>
  <c r="L104" i="4" s="1"/>
  <c r="P104" i="4" s="1"/>
  <c r="Q104" i="4" s="1"/>
  <c r="F312" i="4"/>
  <c r="Q314" i="1"/>
  <c r="D312" i="4" s="1"/>
  <c r="F430" i="4"/>
  <c r="Q432" i="1"/>
  <c r="D430" i="4" s="1"/>
  <c r="F200" i="4"/>
  <c r="Q202" i="1"/>
  <c r="D200" i="4" s="1"/>
  <c r="L200" i="4" s="1"/>
  <c r="P200" i="4" s="1"/>
  <c r="Q200" i="4" s="1"/>
  <c r="F296" i="4"/>
  <c r="Q298" i="1"/>
  <c r="D296" i="4" s="1"/>
  <c r="F332" i="4"/>
  <c r="H332" i="4" s="1"/>
  <c r="J332" i="4" s="1"/>
  <c r="Q334" i="1"/>
  <c r="D332" i="4" s="1"/>
  <c r="F134" i="4"/>
  <c r="Q136" i="1"/>
  <c r="D134" i="4" s="1"/>
  <c r="F182" i="4"/>
  <c r="Q184" i="1"/>
  <c r="D182" i="4" s="1"/>
  <c r="F214" i="4"/>
  <c r="Q216" i="1"/>
  <c r="D214" i="4" s="1"/>
  <c r="F314" i="4"/>
  <c r="Q316" i="1"/>
  <c r="D314" i="4" s="1"/>
  <c r="F242" i="4"/>
  <c r="Q244" i="1"/>
  <c r="D242" i="4" s="1"/>
  <c r="F57" i="4"/>
  <c r="H4" i="4" s="1"/>
  <c r="J4" i="4" s="1"/>
  <c r="Q59" i="1"/>
  <c r="F73" i="4"/>
  <c r="Q75" i="1"/>
  <c r="D73" i="4" s="1"/>
  <c r="F89" i="4"/>
  <c r="Q91" i="1"/>
  <c r="D89" i="4" s="1"/>
  <c r="F372" i="4"/>
  <c r="Q374" i="1"/>
  <c r="D372" i="4" s="1"/>
  <c r="L372" i="4" s="1"/>
  <c r="P372" i="4" s="1"/>
  <c r="Q372" i="4" s="1"/>
  <c r="F334" i="4"/>
  <c r="Q336" i="1"/>
  <c r="D334" i="4" s="1"/>
  <c r="F126" i="4"/>
  <c r="H126" i="4" s="1"/>
  <c r="J126" i="4" s="1"/>
  <c r="Q128" i="1"/>
  <c r="D126" i="4" s="1"/>
  <c r="F158" i="4"/>
  <c r="Q160" i="1"/>
  <c r="D158" i="4" s="1"/>
  <c r="F190" i="4"/>
  <c r="Q192" i="1"/>
  <c r="D190" i="4" s="1"/>
  <c r="F206" i="4"/>
  <c r="Q208" i="1"/>
  <c r="D206" i="4" s="1"/>
  <c r="F47" i="4"/>
  <c r="Q35" i="1"/>
  <c r="D47" i="4" s="1"/>
  <c r="F354" i="4"/>
  <c r="Q356" i="1"/>
  <c r="D354" i="4" s="1"/>
  <c r="F388" i="4"/>
  <c r="Q390" i="1"/>
  <c r="D388" i="4" s="1"/>
  <c r="L388" i="4" s="1"/>
  <c r="P388" i="4" s="1"/>
  <c r="Q388" i="4" s="1"/>
  <c r="F135" i="4"/>
  <c r="Q137" i="1"/>
  <c r="D135" i="4" s="1"/>
  <c r="F168" i="4"/>
  <c r="Q170" i="1"/>
  <c r="D168" i="4" s="1"/>
  <c r="L168" i="4" s="1"/>
  <c r="P168" i="4" s="1"/>
  <c r="Q168" i="4" s="1"/>
  <c r="F188" i="4"/>
  <c r="Q190" i="1"/>
  <c r="D188" i="4" s="1"/>
  <c r="L188" i="4" s="1"/>
  <c r="P188" i="4" s="1"/>
  <c r="Q188" i="4" s="1"/>
  <c r="F250" i="4"/>
  <c r="Q252" i="1"/>
  <c r="D250" i="4" s="1"/>
  <c r="F228" i="4"/>
  <c r="Q230" i="1"/>
  <c r="D228" i="4" s="1"/>
  <c r="L228" i="4" s="1"/>
  <c r="P228" i="4" s="1"/>
  <c r="Q228" i="4" s="1"/>
  <c r="F348" i="4"/>
  <c r="Q350" i="1"/>
  <c r="D348" i="4" s="1"/>
  <c r="F370" i="4"/>
  <c r="Q372" i="1"/>
  <c r="D370" i="4" s="1"/>
  <c r="F386" i="4"/>
  <c r="Q388" i="1"/>
  <c r="D386" i="4" s="1"/>
  <c r="L386" i="4" s="1"/>
  <c r="P386" i="4" s="1"/>
  <c r="Q386" i="4" s="1"/>
  <c r="F402" i="4"/>
  <c r="Q404" i="1"/>
  <c r="D402" i="4" s="1"/>
  <c r="F418" i="4"/>
  <c r="Q420" i="1"/>
  <c r="D418" i="4" s="1"/>
  <c r="F434" i="4"/>
  <c r="H381" i="4" s="1"/>
  <c r="J381" i="4" s="1"/>
  <c r="Q436" i="1"/>
  <c r="D434" i="4" s="1"/>
  <c r="L434" i="4" s="1"/>
  <c r="P434" i="4" s="1"/>
  <c r="Q434" i="4" s="1"/>
  <c r="F450" i="4"/>
  <c r="Q452" i="1"/>
  <c r="D450" i="4" s="1"/>
  <c r="F282" i="4"/>
  <c r="Q284" i="1"/>
  <c r="D282" i="4" s="1"/>
  <c r="L282" i="4" s="1"/>
  <c r="P282" i="4" s="1"/>
  <c r="Q282" i="4" s="1"/>
  <c r="F436" i="4"/>
  <c r="H436" i="4" s="1"/>
  <c r="J436" i="4" s="1"/>
  <c r="Q438" i="1"/>
  <c r="D436" i="4" s="1"/>
  <c r="F102" i="4"/>
  <c r="H102" i="4" s="1"/>
  <c r="J102" i="4" s="1"/>
  <c r="Q104" i="1"/>
  <c r="D102" i="4" s="1"/>
  <c r="F110" i="4"/>
  <c r="Q112" i="1"/>
  <c r="D110" i="4" s="1"/>
  <c r="L110" i="4" s="1"/>
  <c r="P110" i="4" s="1"/>
  <c r="Q110" i="4" s="1"/>
  <c r="F238" i="4"/>
  <c r="Q240" i="1"/>
  <c r="D238" i="4" s="1"/>
  <c r="F254" i="4"/>
  <c r="Q256" i="1"/>
  <c r="D254" i="4" s="1"/>
  <c r="F270" i="4"/>
  <c r="Q272" i="1"/>
  <c r="D270" i="4" s="1"/>
  <c r="F286" i="4"/>
  <c r="H286" i="4" s="1"/>
  <c r="J286" i="4" s="1"/>
  <c r="Q288" i="1"/>
  <c r="D286" i="4" s="1"/>
  <c r="F300" i="4"/>
  <c r="Q302" i="1"/>
  <c r="D300" i="4" s="1"/>
  <c r="F368" i="4"/>
  <c r="Q370" i="1"/>
  <c r="D368" i="4" s="1"/>
  <c r="F384" i="4"/>
  <c r="Q386" i="1"/>
  <c r="D384" i="4" s="1"/>
  <c r="F400" i="4"/>
  <c r="Q402" i="1"/>
  <c r="D400" i="4" s="1"/>
  <c r="L400" i="4" s="1"/>
  <c r="P400" i="4" s="1"/>
  <c r="Q400" i="4" s="1"/>
  <c r="F416" i="4"/>
  <c r="Q418" i="1"/>
  <c r="D416" i="4" s="1"/>
  <c r="L416" i="4" s="1"/>
  <c r="P416" i="4" s="1"/>
  <c r="Q416" i="4" s="1"/>
  <c r="F432" i="4"/>
  <c r="Q434" i="1"/>
  <c r="D432" i="4" s="1"/>
  <c r="F448" i="4"/>
  <c r="Q450" i="1"/>
  <c r="D448" i="4" s="1"/>
  <c r="L448" i="4" s="1"/>
  <c r="P448" i="4" s="1"/>
  <c r="Q448" i="4" s="1"/>
  <c r="F46" i="4"/>
  <c r="H472" i="4" s="1"/>
  <c r="J472" i="4" s="1"/>
  <c r="Q10" i="1"/>
  <c r="F32" i="4"/>
  <c r="Q47" i="1"/>
  <c r="F223" i="4"/>
  <c r="Q225" i="1"/>
  <c r="D223" i="4" s="1"/>
  <c r="L223" i="4" s="1"/>
  <c r="P223" i="4" s="1"/>
  <c r="Q223" i="4" s="1"/>
  <c r="F227" i="4"/>
  <c r="Q229" i="1"/>
  <c r="D227" i="4" s="1"/>
  <c r="L227" i="4" s="1"/>
  <c r="P227" i="4" s="1"/>
  <c r="Q227" i="4" s="1"/>
  <c r="F336" i="4"/>
  <c r="Q338" i="1"/>
  <c r="D336" i="4" s="1"/>
  <c r="F352" i="4"/>
  <c r="Q354" i="1"/>
  <c r="D352" i="4" s="1"/>
  <c r="L352" i="4" s="1"/>
  <c r="P352" i="4" s="1"/>
  <c r="Q352" i="4" s="1"/>
  <c r="F374" i="4"/>
  <c r="Q376" i="1"/>
  <c r="D374" i="4" s="1"/>
  <c r="F406" i="4"/>
  <c r="Q408" i="1"/>
  <c r="D406" i="4" s="1"/>
  <c r="F266" i="4"/>
  <c r="H213" i="4" s="1"/>
  <c r="J213" i="4" s="1"/>
  <c r="Q268" i="1"/>
  <c r="D266" i="4" s="1"/>
  <c r="F136" i="4"/>
  <c r="Q138" i="1"/>
  <c r="D136" i="4" s="1"/>
  <c r="L136" i="4" s="1"/>
  <c r="P136" i="4" s="1"/>
  <c r="Q136" i="4" s="1"/>
  <c r="F10" i="4"/>
  <c r="Q16" i="1"/>
  <c r="D10" i="4" s="1"/>
  <c r="F150" i="4"/>
  <c r="H150" i="4" s="1"/>
  <c r="J150" i="4" s="1"/>
  <c r="Q152" i="1"/>
  <c r="D150" i="4" s="1"/>
  <c r="F322" i="4"/>
  <c r="Q324" i="1"/>
  <c r="D322" i="4" s="1"/>
  <c r="L322" i="4" s="1"/>
  <c r="P322" i="4" s="1"/>
  <c r="Q322" i="4" s="1"/>
  <c r="F216" i="4"/>
  <c r="Q218" i="1"/>
  <c r="D216" i="4" s="1"/>
  <c r="F298" i="4"/>
  <c r="Q300" i="1"/>
  <c r="D298" i="4" s="1"/>
  <c r="F148" i="4"/>
  <c r="Q150" i="1"/>
  <c r="D148" i="4" s="1"/>
  <c r="L148" i="4" s="1"/>
  <c r="P148" i="4" s="1"/>
  <c r="Q148" i="4" s="1"/>
  <c r="F176" i="4"/>
  <c r="H176" i="4" s="1"/>
  <c r="J176" i="4" s="1"/>
  <c r="Q178" i="1"/>
  <c r="D176" i="4" s="1"/>
  <c r="F192" i="4"/>
  <c r="Q194" i="1"/>
  <c r="D192" i="4" s="1"/>
  <c r="L192" i="4" s="1"/>
  <c r="P192" i="4" s="1"/>
  <c r="Q192" i="4" s="1"/>
  <c r="F116" i="4"/>
  <c r="H116" i="4" s="1"/>
  <c r="J116" i="4" s="1"/>
  <c r="Q118" i="1"/>
  <c r="D116" i="4" s="1"/>
  <c r="F274" i="4"/>
  <c r="H274" i="4" s="1"/>
  <c r="J274" i="4" s="1"/>
  <c r="Q276" i="1"/>
  <c r="D274" i="4" s="1"/>
  <c r="F318" i="4"/>
  <c r="Q320" i="1"/>
  <c r="D318" i="4" s="1"/>
  <c r="L318" i="4" s="1"/>
  <c r="P318" i="4" s="1"/>
  <c r="Q318" i="4" s="1"/>
  <c r="F412" i="4"/>
  <c r="H412" i="4" s="1"/>
  <c r="J412" i="4" s="1"/>
  <c r="Q414" i="1"/>
  <c r="D412" i="4" s="1"/>
  <c r="F33" i="4"/>
  <c r="Q9" i="1"/>
  <c r="D33" i="4" s="1"/>
  <c r="F226" i="4"/>
  <c r="Q228" i="1"/>
  <c r="D226" i="4" s="1"/>
  <c r="F252" i="4"/>
  <c r="Q254" i="1"/>
  <c r="D252" i="4" s="1"/>
  <c r="L252" i="4" s="1"/>
  <c r="P252" i="4" s="1"/>
  <c r="Q252" i="4" s="1"/>
  <c r="L483" i="4" l="1"/>
  <c r="P483" i="4" s="1"/>
  <c r="Q483" i="4" s="1"/>
  <c r="E13" i="4"/>
  <c r="L13" i="4" s="1"/>
  <c r="P13" i="4" s="1"/>
  <c r="Q13" i="4" s="1"/>
  <c r="H453" i="4"/>
  <c r="J453" i="4" s="1"/>
  <c r="D5" i="4"/>
  <c r="L5" i="4" s="1"/>
  <c r="P5" i="4" s="1"/>
  <c r="Q5" i="4" s="1"/>
  <c r="L364" i="4"/>
  <c r="P364" i="4" s="1"/>
  <c r="Q364" i="4" s="1"/>
  <c r="L302" i="4"/>
  <c r="P302" i="4" s="1"/>
  <c r="Q302" i="4" s="1"/>
  <c r="E53" i="4"/>
  <c r="E17" i="4"/>
  <c r="H496" i="4"/>
  <c r="J496" i="4" s="1"/>
  <c r="H461" i="4"/>
  <c r="J461" i="4" s="1"/>
  <c r="E5" i="4"/>
  <c r="E49" i="4"/>
  <c r="E24" i="4"/>
  <c r="F20" i="4"/>
  <c r="E48" i="4"/>
  <c r="E44" i="4"/>
  <c r="D23" i="4"/>
  <c r="D7" i="4"/>
  <c r="D31" i="4"/>
  <c r="E14" i="4"/>
  <c r="E45" i="4"/>
  <c r="L127" i="4"/>
  <c r="P127" i="4" s="1"/>
  <c r="Q127" i="4" s="1"/>
  <c r="R127" i="4" s="1"/>
  <c r="H242" i="4"/>
  <c r="J242" i="4" s="1"/>
  <c r="H420" i="4"/>
  <c r="J420" i="4" s="1"/>
  <c r="H67" i="4"/>
  <c r="J67" i="4" s="1"/>
  <c r="H160" i="4"/>
  <c r="J160" i="4" s="1"/>
  <c r="H380" i="4"/>
  <c r="J380" i="4" s="1"/>
  <c r="H338" i="4"/>
  <c r="J338" i="4" s="1"/>
  <c r="H358" i="4"/>
  <c r="J358" i="4" s="1"/>
  <c r="H178" i="4"/>
  <c r="J178" i="4" s="1"/>
  <c r="H378" i="4"/>
  <c r="J378" i="4" s="1"/>
  <c r="H438" i="4"/>
  <c r="J438" i="4" s="1"/>
  <c r="H310" i="4"/>
  <c r="J310" i="4" s="1"/>
  <c r="H96" i="4"/>
  <c r="J96" i="4" s="1"/>
  <c r="H419" i="4"/>
  <c r="J419" i="4" s="1"/>
  <c r="H435" i="4"/>
  <c r="J435" i="4" s="1"/>
  <c r="H409" i="4"/>
  <c r="J409" i="4" s="1"/>
  <c r="H158" i="4"/>
  <c r="J158" i="4" s="1"/>
  <c r="H334" i="4"/>
  <c r="J334" i="4" s="1"/>
  <c r="R162" i="4"/>
  <c r="H64" i="4"/>
  <c r="J64" i="4" s="1"/>
  <c r="H72" i="4"/>
  <c r="J72" i="4" s="1"/>
  <c r="H166" i="4"/>
  <c r="J166" i="4" s="1"/>
  <c r="H112" i="4"/>
  <c r="J112" i="4" s="1"/>
  <c r="H360" i="4"/>
  <c r="J360" i="4" s="1"/>
  <c r="H414" i="4"/>
  <c r="J414" i="4" s="1"/>
  <c r="H284" i="4"/>
  <c r="J284" i="4" s="1"/>
  <c r="H437" i="4"/>
  <c r="J437" i="4" s="1"/>
  <c r="H441" i="4"/>
  <c r="J441" i="4" s="1"/>
  <c r="L445" i="4"/>
  <c r="P445" i="4" s="1"/>
  <c r="Q445" i="4" s="1"/>
  <c r="R445" i="4" s="1"/>
  <c r="H479" i="4"/>
  <c r="J479" i="4" s="1"/>
  <c r="H354" i="4"/>
  <c r="J354" i="4" s="1"/>
  <c r="H122" i="4"/>
  <c r="J122" i="4" s="1"/>
  <c r="H219" i="4"/>
  <c r="J219" i="4" s="1"/>
  <c r="H268" i="4"/>
  <c r="J268" i="4" s="1"/>
  <c r="H288" i="4"/>
  <c r="J288" i="4" s="1"/>
  <c r="H462" i="4"/>
  <c r="J462" i="4" s="1"/>
  <c r="H92" i="4"/>
  <c r="J92" i="4" s="1"/>
  <c r="L213" i="4"/>
  <c r="P213" i="4" s="1"/>
  <c r="Q213" i="4" s="1"/>
  <c r="H454" i="4"/>
  <c r="J454" i="4" s="1"/>
  <c r="H487" i="4"/>
  <c r="J487" i="4" s="1"/>
  <c r="H337" i="4"/>
  <c r="J337" i="4" s="1"/>
  <c r="H244" i="4"/>
  <c r="J244" i="4" s="1"/>
  <c r="H209" i="4"/>
  <c r="J209" i="4" s="1"/>
  <c r="H212" i="4"/>
  <c r="J212" i="4" s="1"/>
  <c r="H280" i="4"/>
  <c r="J280" i="4" s="1"/>
  <c r="H144" i="4"/>
  <c r="J144" i="4" s="1"/>
  <c r="H449" i="4"/>
  <c r="J449" i="4" s="1"/>
  <c r="H137" i="4"/>
  <c r="J137" i="4" s="1"/>
  <c r="H202" i="4"/>
  <c r="J202" i="4" s="1"/>
  <c r="R80" i="4"/>
  <c r="L113" i="4"/>
  <c r="P113" i="4" s="1"/>
  <c r="Q113" i="4" s="1"/>
  <c r="H474" i="4"/>
  <c r="J474" i="4" s="1"/>
  <c r="H486" i="4"/>
  <c r="J486" i="4" s="1"/>
  <c r="H117" i="4"/>
  <c r="J117" i="4" s="1"/>
  <c r="H120" i="4"/>
  <c r="J120" i="4" s="1"/>
  <c r="H324" i="4"/>
  <c r="J324" i="4" s="1"/>
  <c r="H258" i="4"/>
  <c r="J258" i="4" s="1"/>
  <c r="H482" i="4"/>
  <c r="J482" i="4" s="1"/>
  <c r="H465" i="4"/>
  <c r="J465" i="4" s="1"/>
  <c r="H467" i="4"/>
  <c r="J467" i="4" s="1"/>
  <c r="H495" i="4"/>
  <c r="J495" i="4" s="1"/>
  <c r="H216" i="4"/>
  <c r="J216" i="4" s="1"/>
  <c r="H300" i="4"/>
  <c r="J300" i="4" s="1"/>
  <c r="H217" i="4"/>
  <c r="J217" i="4" s="1"/>
  <c r="H238" i="4"/>
  <c r="J238" i="4" s="1"/>
  <c r="H179" i="4"/>
  <c r="J179" i="4" s="1"/>
  <c r="H210" i="4"/>
  <c r="J210" i="4" s="1"/>
  <c r="H198" i="4"/>
  <c r="J198" i="4" s="1"/>
  <c r="H350" i="4"/>
  <c r="J350" i="4" s="1"/>
  <c r="H473" i="4"/>
  <c r="J473" i="4" s="1"/>
  <c r="H407" i="4"/>
  <c r="J407" i="4" s="1"/>
  <c r="H425" i="4"/>
  <c r="J425" i="4" s="1"/>
  <c r="H463" i="4"/>
  <c r="J463" i="4" s="1"/>
  <c r="H340" i="4"/>
  <c r="J340" i="4" s="1"/>
  <c r="H234" i="4"/>
  <c r="J234" i="4" s="1"/>
  <c r="H318" i="4"/>
  <c r="J318" i="4" s="1"/>
  <c r="H298" i="4"/>
  <c r="J298" i="4" s="1"/>
  <c r="H254" i="4"/>
  <c r="J254" i="4" s="1"/>
  <c r="H386" i="4"/>
  <c r="J386" i="4" s="1"/>
  <c r="H348" i="4"/>
  <c r="J348" i="4" s="1"/>
  <c r="H250" i="4"/>
  <c r="J250" i="4" s="1"/>
  <c r="H177" i="4"/>
  <c r="J177" i="4" s="1"/>
  <c r="H373" i="4"/>
  <c r="J373" i="4" s="1"/>
  <c r="H118" i="4"/>
  <c r="J118" i="4" s="1"/>
  <c r="H207" i="4"/>
  <c r="J207" i="4" s="1"/>
  <c r="H477" i="4"/>
  <c r="J477" i="4" s="1"/>
  <c r="H77" i="4"/>
  <c r="J77" i="4" s="1"/>
  <c r="H369" i="4"/>
  <c r="J369" i="4" s="1"/>
  <c r="H89" i="4"/>
  <c r="J89" i="4" s="1"/>
  <c r="H342" i="4"/>
  <c r="J342" i="4" s="1"/>
  <c r="H278" i="4"/>
  <c r="J278" i="4" s="1"/>
  <c r="H444" i="4"/>
  <c r="J444" i="4" s="1"/>
  <c r="H26" i="4"/>
  <c r="J26" i="4" s="1"/>
  <c r="H251" i="4"/>
  <c r="J251" i="4" s="1"/>
  <c r="H364" i="4"/>
  <c r="J364" i="4" s="1"/>
  <c r="H302" i="4"/>
  <c r="J302" i="4" s="1"/>
  <c r="H468" i="4"/>
  <c r="J468" i="4" s="1"/>
  <c r="H208" i="4"/>
  <c r="J208" i="4" s="1"/>
  <c r="H65" i="4"/>
  <c r="J65" i="4" s="1"/>
  <c r="H292" i="4"/>
  <c r="J292" i="4" s="1"/>
  <c r="H427" i="4"/>
  <c r="J427" i="4" s="1"/>
  <c r="H48" i="4"/>
  <c r="J48" i="4" s="1"/>
  <c r="H470" i="4"/>
  <c r="J470" i="4" s="1"/>
  <c r="H476" i="4"/>
  <c r="J476" i="4" s="1"/>
  <c r="H455" i="4"/>
  <c r="J455" i="4" s="1"/>
  <c r="H489" i="4"/>
  <c r="J489" i="4" s="1"/>
  <c r="H47" i="4"/>
  <c r="J47" i="4" s="1"/>
  <c r="H73" i="4"/>
  <c r="J73" i="4" s="1"/>
  <c r="H81" i="4"/>
  <c r="J81" i="4" s="1"/>
  <c r="H85" i="4"/>
  <c r="J85" i="4" s="1"/>
  <c r="H349" i="4"/>
  <c r="J349" i="4" s="1"/>
  <c r="H167" i="4"/>
  <c r="J167" i="4" s="1"/>
  <c r="H345" i="4"/>
  <c r="J345" i="4" s="1"/>
  <c r="H259" i="4"/>
  <c r="J259" i="4" s="1"/>
  <c r="H123" i="4"/>
  <c r="J123" i="4" s="1"/>
  <c r="H311" i="4"/>
  <c r="J311" i="4" s="1"/>
  <c r="H255" i="4"/>
  <c r="J255" i="4" s="1"/>
  <c r="H193" i="4"/>
  <c r="J193" i="4" s="1"/>
  <c r="H371" i="4"/>
  <c r="J371" i="4" s="1"/>
  <c r="H333" i="4"/>
  <c r="J333" i="4" s="1"/>
  <c r="H478" i="4"/>
  <c r="J478" i="4" s="1"/>
  <c r="H383" i="4"/>
  <c r="J383" i="4" s="1"/>
  <c r="H305" i="4"/>
  <c r="J305" i="4" s="1"/>
  <c r="R94" i="4"/>
  <c r="H66" i="4"/>
  <c r="J66" i="4" s="1"/>
  <c r="H58" i="4"/>
  <c r="J58" i="4" s="1"/>
  <c r="H363" i="4"/>
  <c r="J363" i="4" s="1"/>
  <c r="H257" i="4"/>
  <c r="J257" i="4" s="1"/>
  <c r="H387" i="4"/>
  <c r="J387" i="4" s="1"/>
  <c r="H231" i="4"/>
  <c r="J231" i="4" s="1"/>
  <c r="H215" i="4"/>
  <c r="J215" i="4" s="1"/>
  <c r="H263" i="4"/>
  <c r="J263" i="4" s="1"/>
  <c r="H389" i="4"/>
  <c r="J389" i="4" s="1"/>
  <c r="H493" i="4"/>
  <c r="J493" i="4" s="1"/>
  <c r="H7" i="4"/>
  <c r="J7" i="4" s="1"/>
  <c r="H135" i="4"/>
  <c r="J135" i="4" s="1"/>
  <c r="H57" i="4"/>
  <c r="J57" i="4" s="1"/>
  <c r="H393" i="4"/>
  <c r="J393" i="4" s="1"/>
  <c r="H480" i="4"/>
  <c r="J480" i="4" s="1"/>
  <c r="H187" i="4"/>
  <c r="J187" i="4" s="1"/>
  <c r="H127" i="4"/>
  <c r="J127" i="4" s="1"/>
  <c r="H353" i="4"/>
  <c r="J353" i="4" s="1"/>
  <c r="H111" i="4"/>
  <c r="J111" i="4" s="1"/>
  <c r="H357" i="4"/>
  <c r="J357" i="4" s="1"/>
  <c r="H105" i="4"/>
  <c r="J105" i="4" s="1"/>
  <c r="H456" i="4"/>
  <c r="J456" i="4" s="1"/>
  <c r="H289" i="4"/>
  <c r="J289" i="4" s="1"/>
  <c r="H157" i="4"/>
  <c r="J157" i="4" s="1"/>
  <c r="H253" i="4"/>
  <c r="J253" i="4" s="1"/>
  <c r="H281" i="4"/>
  <c r="J281" i="4" s="1"/>
  <c r="H199" i="4"/>
  <c r="J199" i="4" s="1"/>
  <c r="H367" i="4"/>
  <c r="J367" i="4" s="1"/>
  <c r="H237" i="4"/>
  <c r="J237" i="4" s="1"/>
  <c r="H319" i="4"/>
  <c r="J319" i="4" s="1"/>
  <c r="H325" i="4"/>
  <c r="J325" i="4" s="1"/>
  <c r="H329" i="4"/>
  <c r="J329" i="4" s="1"/>
  <c r="H147" i="4"/>
  <c r="J147" i="4" s="1"/>
  <c r="H86" i="4"/>
  <c r="J86" i="4" s="1"/>
  <c r="H18" i="4"/>
  <c r="J18" i="4" s="1"/>
  <c r="H94" i="4"/>
  <c r="J94" i="4" s="1"/>
  <c r="H29" i="4"/>
  <c r="J29" i="4" s="1"/>
  <c r="H295" i="4"/>
  <c r="J295" i="4" s="1"/>
  <c r="H62" i="4"/>
  <c r="J62" i="4" s="1"/>
  <c r="H145" i="4"/>
  <c r="J145" i="4" s="1"/>
  <c r="H169" i="4"/>
  <c r="J169" i="4" s="1"/>
  <c r="H163" i="4"/>
  <c r="J163" i="4" s="1"/>
  <c r="H245" i="4"/>
  <c r="J245" i="4" s="1"/>
  <c r="H327" i="4"/>
  <c r="J327" i="4" s="1"/>
  <c r="R265" i="4"/>
  <c r="H97" i="4"/>
  <c r="J97" i="4" s="1"/>
  <c r="H174" i="4"/>
  <c r="J174" i="4" s="1"/>
  <c r="H235" i="4"/>
  <c r="J235" i="4" s="1"/>
  <c r="H321" i="4"/>
  <c r="J321" i="4" s="1"/>
  <c r="H121" i="4"/>
  <c r="J121" i="4" s="1"/>
  <c r="H279" i="4"/>
  <c r="J279" i="4" s="1"/>
  <c r="H149" i="4"/>
  <c r="J149" i="4" s="1"/>
  <c r="H307" i="4"/>
  <c r="J307" i="4" s="1"/>
  <c r="H165" i="4"/>
  <c r="J165" i="4" s="1"/>
  <c r="H107" i="4"/>
  <c r="J107" i="4" s="1"/>
  <c r="H379" i="4"/>
  <c r="J379" i="4" s="1"/>
  <c r="R109" i="4"/>
  <c r="H451" i="4"/>
  <c r="J451" i="4" s="1"/>
  <c r="R151" i="4"/>
  <c r="H301" i="4"/>
  <c r="J301" i="4" s="1"/>
  <c r="H203" i="4"/>
  <c r="J203" i="4" s="1"/>
  <c r="H385" i="4"/>
  <c r="J385" i="4" s="1"/>
  <c r="H303" i="4"/>
  <c r="J303" i="4" s="1"/>
  <c r="H261" i="4"/>
  <c r="J261" i="4" s="1"/>
  <c r="H82" i="4"/>
  <c r="J82" i="4" s="1"/>
  <c r="H70" i="4"/>
  <c r="J70" i="4" s="1"/>
  <c r="H113" i="4"/>
  <c r="J113" i="4" s="1"/>
  <c r="H78" i="4"/>
  <c r="J78" i="4" s="1"/>
  <c r="R333" i="4"/>
  <c r="H191" i="4"/>
  <c r="J191" i="4" s="1"/>
  <c r="H205" i="4"/>
  <c r="J205" i="4" s="1"/>
  <c r="H185" i="4"/>
  <c r="J185" i="4" s="1"/>
  <c r="H339" i="4"/>
  <c r="J339" i="4" s="1"/>
  <c r="H161" i="4"/>
  <c r="J161" i="4" s="1"/>
  <c r="H98" i="4"/>
  <c r="J98" i="4" s="1"/>
  <c r="H129" i="4"/>
  <c r="J129" i="4" s="1"/>
  <c r="H391" i="4"/>
  <c r="J391" i="4" s="1"/>
  <c r="H423" i="4"/>
  <c r="J423" i="4" s="1"/>
  <c r="H341" i="4"/>
  <c r="J341" i="4" s="1"/>
  <c r="H481" i="4"/>
  <c r="J481" i="4" s="1"/>
  <c r="H297" i="4"/>
  <c r="J297" i="4" s="1"/>
  <c r="H51" i="4"/>
  <c r="J51" i="4" s="1"/>
  <c r="R175" i="4"/>
  <c r="H331" i="4"/>
  <c r="J331" i="4" s="1"/>
  <c r="H464" i="4"/>
  <c r="J464" i="4" s="1"/>
  <c r="H115" i="4"/>
  <c r="J115" i="4" s="1"/>
  <c r="H299" i="4"/>
  <c r="J299" i="4" s="1"/>
  <c r="H131" i="4"/>
  <c r="J131" i="4" s="1"/>
  <c r="H347" i="4"/>
  <c r="J347" i="4" s="1"/>
  <c r="H323" i="4"/>
  <c r="J323" i="4" s="1"/>
  <c r="H173" i="4"/>
  <c r="J173" i="4" s="1"/>
  <c r="H143" i="4"/>
  <c r="J143" i="4" s="1"/>
  <c r="H335" i="4"/>
  <c r="J335" i="4" s="1"/>
  <c r="H90" i="4"/>
  <c r="J90" i="4" s="1"/>
  <c r="H291" i="4"/>
  <c r="J291" i="4" s="1"/>
  <c r="H119" i="4"/>
  <c r="J119" i="4" s="1"/>
  <c r="H189" i="4"/>
  <c r="J189" i="4" s="1"/>
  <c r="R86" i="4"/>
  <c r="H315" i="4"/>
  <c r="J315" i="4" s="1"/>
  <c r="H125" i="4"/>
  <c r="J125" i="4" s="1"/>
  <c r="H492" i="4"/>
  <c r="J492" i="4" s="1"/>
  <c r="H397" i="4"/>
  <c r="J397" i="4" s="1"/>
  <c r="H181" i="4"/>
  <c r="J181" i="4" s="1"/>
  <c r="H197" i="4"/>
  <c r="J197" i="4" s="1"/>
  <c r="H229" i="4"/>
  <c r="J229" i="4" s="1"/>
  <c r="H101" i="4"/>
  <c r="J101" i="4" s="1"/>
  <c r="H141" i="4"/>
  <c r="J141" i="4" s="1"/>
  <c r="H488" i="4"/>
  <c r="J488" i="4" s="1"/>
  <c r="H275" i="4"/>
  <c r="J275" i="4" s="1"/>
  <c r="H285" i="4"/>
  <c r="J285" i="4" s="1"/>
  <c r="H283" i="4"/>
  <c r="J283" i="4" s="1"/>
  <c r="H469" i="4"/>
  <c r="J469" i="4" s="1"/>
  <c r="H133" i="4"/>
  <c r="J133" i="4" s="1"/>
  <c r="H49" i="4"/>
  <c r="J49" i="4" s="1"/>
  <c r="H375" i="4"/>
  <c r="J375" i="4" s="1"/>
  <c r="H153" i="4"/>
  <c r="J153" i="4" s="1"/>
  <c r="L373" i="4"/>
  <c r="P373" i="4" s="1"/>
  <c r="Q373" i="4" s="1"/>
  <c r="R363" i="4" s="1"/>
  <c r="H6" i="4"/>
  <c r="J6" i="4" s="1"/>
  <c r="H36" i="4"/>
  <c r="J36" i="4" s="1"/>
  <c r="L369" i="4"/>
  <c r="P369" i="4" s="1"/>
  <c r="Q369" i="4" s="1"/>
  <c r="L216" i="4"/>
  <c r="P216" i="4" s="1"/>
  <c r="Q216" i="4" s="1"/>
  <c r="H192" i="4"/>
  <c r="J192" i="4" s="1"/>
  <c r="H106" i="4"/>
  <c r="J106" i="4" s="1"/>
  <c r="L115" i="4"/>
  <c r="P115" i="4" s="1"/>
  <c r="Q115" i="4" s="1"/>
  <c r="L245" i="4"/>
  <c r="P245" i="4" s="1"/>
  <c r="Q245" i="4" s="1"/>
  <c r="H410" i="4"/>
  <c r="J410" i="4" s="1"/>
  <c r="H23" i="4"/>
  <c r="J23" i="4" s="1"/>
  <c r="H35" i="4"/>
  <c r="J35" i="4" s="1"/>
  <c r="H37" i="4"/>
  <c r="J37" i="4" s="1"/>
  <c r="E22" i="4"/>
  <c r="L22" i="4" s="1"/>
  <c r="P22" i="4" s="1"/>
  <c r="Q22" i="4" s="1"/>
  <c r="H34" i="4"/>
  <c r="J34" i="4" s="1"/>
  <c r="H22" i="4"/>
  <c r="J22" i="4" s="1"/>
  <c r="D17" i="4"/>
  <c r="H12" i="4"/>
  <c r="J12" i="4" s="1"/>
  <c r="E43" i="4"/>
  <c r="D32" i="4"/>
  <c r="L32" i="4" s="1"/>
  <c r="P32" i="4" s="1"/>
  <c r="Q32" i="4" s="1"/>
  <c r="H10" i="4"/>
  <c r="J10" i="4" s="1"/>
  <c r="E9" i="4"/>
  <c r="H44" i="4"/>
  <c r="J44" i="4" s="1"/>
  <c r="H8" i="4"/>
  <c r="J8" i="4" s="1"/>
  <c r="E12" i="4"/>
  <c r="E30" i="4"/>
  <c r="E31" i="4"/>
  <c r="H30" i="4"/>
  <c r="J30" i="4" s="1"/>
  <c r="E35" i="4"/>
  <c r="H27" i="4"/>
  <c r="J27" i="4" s="1"/>
  <c r="H11" i="4"/>
  <c r="J11" i="4" s="1"/>
  <c r="L465" i="4"/>
  <c r="P465" i="4" s="1"/>
  <c r="Q465" i="4" s="1"/>
  <c r="E8" i="4"/>
  <c r="E25" i="4"/>
  <c r="E11" i="4"/>
  <c r="D19" i="4"/>
  <c r="D25" i="4"/>
  <c r="E7" i="4"/>
  <c r="L7" i="4" s="1"/>
  <c r="P7" i="4" s="1"/>
  <c r="Q7" i="4" s="1"/>
  <c r="D16" i="4"/>
  <c r="E27" i="4"/>
  <c r="E15" i="4"/>
  <c r="E26" i="4"/>
  <c r="L26" i="4" s="1"/>
  <c r="P26" i="4" s="1"/>
  <c r="Q26" i="4" s="1"/>
  <c r="D45" i="4"/>
  <c r="E56" i="4"/>
  <c r="D37" i="4"/>
  <c r="L37" i="4" s="1"/>
  <c r="P37" i="4" s="1"/>
  <c r="Q37" i="4" s="1"/>
  <c r="D51" i="4"/>
  <c r="E36" i="4"/>
  <c r="E29" i="4"/>
  <c r="L29" i="4" s="1"/>
  <c r="P29" i="4" s="1"/>
  <c r="Q29" i="4" s="1"/>
  <c r="F41" i="4"/>
  <c r="H490" i="4" s="1"/>
  <c r="J490" i="4" s="1"/>
  <c r="D28" i="4"/>
  <c r="D46" i="4"/>
  <c r="E41" i="4"/>
  <c r="D35" i="4"/>
  <c r="D15" i="4"/>
  <c r="D43" i="4"/>
  <c r="D55" i="4"/>
  <c r="D36" i="4"/>
  <c r="D44" i="4"/>
  <c r="E6" i="4"/>
  <c r="E10" i="4"/>
  <c r="L10" i="4" s="1"/>
  <c r="P10" i="4" s="1"/>
  <c r="Q10" i="4" s="1"/>
  <c r="E34" i="4"/>
  <c r="L34" i="4" s="1"/>
  <c r="P34" i="4" s="1"/>
  <c r="Q34" i="4" s="1"/>
  <c r="D49" i="4"/>
  <c r="D40" i="4"/>
  <c r="D4" i="4"/>
  <c r="D11" i="4"/>
  <c r="E19" i="4"/>
  <c r="D14" i="4"/>
  <c r="D48" i="4"/>
  <c r="D42" i="4"/>
  <c r="E4" i="4"/>
  <c r="D12" i="4"/>
  <c r="E50" i="4"/>
  <c r="L50" i="4" s="1"/>
  <c r="P50" i="4" s="1"/>
  <c r="Q50" i="4" s="1"/>
  <c r="D24" i="4"/>
  <c r="L24" i="4" s="1"/>
  <c r="P24" i="4" s="1"/>
  <c r="Q24" i="4" s="1"/>
  <c r="D30" i="4"/>
  <c r="E28" i="4"/>
  <c r="E46" i="4"/>
  <c r="E18" i="4"/>
  <c r="E51" i="4"/>
  <c r="L51" i="4" s="1"/>
  <c r="P51" i="4" s="1"/>
  <c r="Q51" i="4" s="1"/>
  <c r="E38" i="4"/>
  <c r="E33" i="4"/>
  <c r="L33" i="4" s="1"/>
  <c r="P33" i="4" s="1"/>
  <c r="Q33" i="4" s="1"/>
  <c r="D27" i="4"/>
  <c r="D39" i="4"/>
  <c r="D6" i="4"/>
  <c r="E20" i="4"/>
  <c r="E39" i="4"/>
  <c r="E40" i="4"/>
  <c r="D18" i="4"/>
  <c r="D9" i="4"/>
  <c r="D8" i="4"/>
  <c r="E42" i="4"/>
  <c r="D52" i="4"/>
  <c r="E16" i="4"/>
  <c r="H265" i="4"/>
  <c r="J265" i="4" s="1"/>
  <c r="H317" i="4"/>
  <c r="J317" i="4" s="1"/>
  <c r="H76" i="4"/>
  <c r="J76" i="4" s="1"/>
  <c r="L207" i="4"/>
  <c r="P207" i="4" s="1"/>
  <c r="Q207" i="4" s="1"/>
  <c r="L179" i="4"/>
  <c r="P179" i="4" s="1"/>
  <c r="Q179" i="4" s="1"/>
  <c r="L209" i="4"/>
  <c r="P209" i="4" s="1"/>
  <c r="Q209" i="4" s="1"/>
  <c r="L436" i="4"/>
  <c r="P436" i="4" s="1"/>
  <c r="Q436" i="4" s="1"/>
  <c r="L126" i="4"/>
  <c r="P126" i="4" s="1"/>
  <c r="Q126" i="4" s="1"/>
  <c r="H110" i="4"/>
  <c r="J110" i="4" s="1"/>
  <c r="L169" i="4"/>
  <c r="P169" i="4" s="1"/>
  <c r="Q169" i="4" s="1"/>
  <c r="R159" i="4" s="1"/>
  <c r="L462" i="4"/>
  <c r="P462" i="4" s="1"/>
  <c r="Q462" i="4" s="1"/>
  <c r="H25" i="4"/>
  <c r="J25" i="4" s="1"/>
  <c r="H372" i="4"/>
  <c r="J372" i="4" s="1"/>
  <c r="H196" i="4"/>
  <c r="J196" i="4" s="1"/>
  <c r="H54" i="4"/>
  <c r="J54" i="4" s="1"/>
  <c r="H352" i="4"/>
  <c r="J352" i="4" s="1"/>
  <c r="L160" i="4"/>
  <c r="P160" i="4" s="1"/>
  <c r="Q160" i="4" s="1"/>
  <c r="E55" i="4"/>
  <c r="L203" i="4"/>
  <c r="P203" i="4" s="1"/>
  <c r="Q203" i="4" s="1"/>
  <c r="R203" i="4" s="1"/>
  <c r="L258" i="4"/>
  <c r="P258" i="4" s="1"/>
  <c r="Q258" i="4" s="1"/>
  <c r="R205" i="4" s="1"/>
  <c r="L311" i="4"/>
  <c r="P311" i="4" s="1"/>
  <c r="Q311" i="4" s="1"/>
  <c r="H75" i="4"/>
  <c r="J75" i="4" s="1"/>
  <c r="L338" i="4"/>
  <c r="P338" i="4" s="1"/>
  <c r="Q338" i="4" s="1"/>
  <c r="H377" i="4"/>
  <c r="J377" i="4" s="1"/>
  <c r="L486" i="4"/>
  <c r="P486" i="4" s="1"/>
  <c r="Q486" i="4" s="1"/>
  <c r="H19" i="4"/>
  <c r="J19" i="4" s="1"/>
  <c r="D54" i="4"/>
  <c r="H42" i="4"/>
  <c r="J42" i="4" s="1"/>
  <c r="L165" i="4"/>
  <c r="P165" i="4" s="1"/>
  <c r="Q165" i="4" s="1"/>
  <c r="L143" i="4"/>
  <c r="P143" i="4" s="1"/>
  <c r="Q143" i="4" s="1"/>
  <c r="R143" i="4" s="1"/>
  <c r="H139" i="4"/>
  <c r="J139" i="4" s="1"/>
  <c r="L474" i="4"/>
  <c r="P474" i="4" s="1"/>
  <c r="Q474" i="4" s="1"/>
  <c r="L281" i="4"/>
  <c r="P281" i="4" s="1"/>
  <c r="Q281" i="4" s="1"/>
  <c r="L199" i="4"/>
  <c r="P199" i="4" s="1"/>
  <c r="Q199" i="4" s="1"/>
  <c r="R199" i="4" s="1"/>
  <c r="L154" i="4"/>
  <c r="P154" i="4" s="1"/>
  <c r="Q154" i="4" s="1"/>
  <c r="L112" i="4"/>
  <c r="P112" i="4" s="1"/>
  <c r="Q112" i="4" s="1"/>
  <c r="H171" i="4"/>
  <c r="J171" i="4" s="1"/>
  <c r="H361" i="4"/>
  <c r="J361" i="4" s="1"/>
  <c r="H313" i="4"/>
  <c r="J313" i="4" s="1"/>
  <c r="L411" i="4"/>
  <c r="P411" i="4" s="1"/>
  <c r="Q411" i="4" s="1"/>
  <c r="L93" i="4"/>
  <c r="P93" i="4" s="1"/>
  <c r="Q93" i="4" s="1"/>
  <c r="L360" i="4"/>
  <c r="P360" i="4" s="1"/>
  <c r="Q360" i="4" s="1"/>
  <c r="R307" i="4" s="1"/>
  <c r="L327" i="4"/>
  <c r="P327" i="4" s="1"/>
  <c r="Q327" i="4" s="1"/>
  <c r="L102" i="4"/>
  <c r="P102" i="4" s="1"/>
  <c r="Q102" i="4" s="1"/>
  <c r="R102" i="4" s="1"/>
  <c r="L23" i="4"/>
  <c r="P23" i="4" s="1"/>
  <c r="Q23" i="4" s="1"/>
  <c r="H243" i="4"/>
  <c r="J243" i="4" s="1"/>
  <c r="L334" i="4"/>
  <c r="P334" i="4" s="1"/>
  <c r="Q334" i="4" s="1"/>
  <c r="L428" i="4"/>
  <c r="P428" i="4" s="1"/>
  <c r="Q428" i="4" s="1"/>
  <c r="H156" i="4"/>
  <c r="J156" i="4" s="1"/>
  <c r="H346" i="4"/>
  <c r="J346" i="4" s="1"/>
  <c r="L291" i="4"/>
  <c r="P291" i="4" s="1"/>
  <c r="Q291" i="4" s="1"/>
  <c r="L456" i="4"/>
  <c r="P456" i="4" s="1"/>
  <c r="Q456" i="4" s="1"/>
  <c r="H99" i="4"/>
  <c r="J99" i="4" s="1"/>
  <c r="H256" i="4"/>
  <c r="J256" i="4" s="1"/>
  <c r="H140" i="4"/>
  <c r="J140" i="4" s="1"/>
  <c r="H175" i="4"/>
  <c r="J175" i="4" s="1"/>
  <c r="L441" i="4"/>
  <c r="P441" i="4" s="1"/>
  <c r="Q441" i="4" s="1"/>
  <c r="R441" i="4" s="1"/>
  <c r="H52" i="4"/>
  <c r="J52" i="4" s="1"/>
  <c r="H252" i="4"/>
  <c r="J252" i="4" s="1"/>
  <c r="L150" i="4"/>
  <c r="P150" i="4" s="1"/>
  <c r="Q150" i="4" s="1"/>
  <c r="R140" i="4" s="1"/>
  <c r="H134" i="4"/>
  <c r="J134" i="4" s="1"/>
  <c r="L202" i="4"/>
  <c r="P202" i="4" s="1"/>
  <c r="Q202" i="4" s="1"/>
  <c r="R202" i="4" s="1"/>
  <c r="L301" i="4"/>
  <c r="P301" i="4" s="1"/>
  <c r="Q301" i="4" s="1"/>
  <c r="H359" i="4"/>
  <c r="J359" i="4" s="1"/>
  <c r="H475" i="4"/>
  <c r="J475" i="4" s="1"/>
  <c r="L191" i="4"/>
  <c r="P191" i="4" s="1"/>
  <c r="Q191" i="4" s="1"/>
  <c r="L459" i="4"/>
  <c r="P459" i="4" s="1"/>
  <c r="Q459" i="4" s="1"/>
  <c r="H128" i="4"/>
  <c r="J128" i="4" s="1"/>
  <c r="L350" i="4"/>
  <c r="P350" i="4" s="1"/>
  <c r="Q350" i="4" s="1"/>
  <c r="R350" i="4" s="1"/>
  <c r="H63" i="4"/>
  <c r="J63" i="4" s="1"/>
  <c r="H17" i="4"/>
  <c r="J17" i="4" s="1"/>
  <c r="L235" i="4"/>
  <c r="P235" i="4" s="1"/>
  <c r="Q235" i="4" s="1"/>
  <c r="L68" i="4"/>
  <c r="P68" i="4" s="1"/>
  <c r="Q68" i="4" s="1"/>
  <c r="L435" i="4"/>
  <c r="P435" i="4" s="1"/>
  <c r="Q435" i="4" s="1"/>
  <c r="R435" i="4" s="1"/>
  <c r="H155" i="4"/>
  <c r="J155" i="4" s="1"/>
  <c r="L471" i="4"/>
  <c r="P471" i="4" s="1"/>
  <c r="Q471" i="4" s="1"/>
  <c r="H16" i="4"/>
  <c r="J16" i="4" s="1"/>
  <c r="L431" i="4"/>
  <c r="P431" i="4" s="1"/>
  <c r="Q431" i="4" s="1"/>
  <c r="L458" i="4"/>
  <c r="P458" i="4" s="1"/>
  <c r="Q458" i="4" s="1"/>
  <c r="H264" i="4"/>
  <c r="J264" i="4" s="1"/>
  <c r="H390" i="4"/>
  <c r="J390" i="4" s="1"/>
  <c r="L174" i="4"/>
  <c r="P174" i="4" s="1"/>
  <c r="Q174" i="4" s="1"/>
  <c r="H74" i="4"/>
  <c r="J74" i="4" s="1"/>
  <c r="L120" i="4"/>
  <c r="P120" i="4" s="1"/>
  <c r="Q120" i="4" s="1"/>
  <c r="R110" i="4" s="1"/>
  <c r="H80" i="4"/>
  <c r="J80" i="4" s="1"/>
  <c r="L470" i="4"/>
  <c r="P470" i="4" s="1"/>
  <c r="Q470" i="4" s="1"/>
  <c r="H460" i="4"/>
  <c r="J460" i="4" s="1"/>
  <c r="L187" i="4"/>
  <c r="P187" i="4" s="1"/>
  <c r="Q187" i="4" s="1"/>
  <c r="L357" i="4"/>
  <c r="P357" i="4" s="1"/>
  <c r="Q357" i="4" s="1"/>
  <c r="H247" i="4"/>
  <c r="J247" i="4" s="1"/>
  <c r="L496" i="4"/>
  <c r="P496" i="4" s="1"/>
  <c r="Q496" i="4" s="1"/>
  <c r="L389" i="4"/>
  <c r="P389" i="4" s="1"/>
  <c r="Q389" i="4" s="1"/>
  <c r="L292" i="4"/>
  <c r="P292" i="4" s="1"/>
  <c r="Q292" i="4" s="1"/>
  <c r="R282" i="4" s="1"/>
  <c r="L323" i="4"/>
  <c r="P323" i="4" s="1"/>
  <c r="Q323" i="4" s="1"/>
  <c r="L412" i="4"/>
  <c r="P412" i="4" s="1"/>
  <c r="Q412" i="4" s="1"/>
  <c r="L332" i="4"/>
  <c r="P332" i="4" s="1"/>
  <c r="Q332" i="4" s="1"/>
  <c r="R322" i="4" s="1"/>
  <c r="L344" i="4"/>
  <c r="P344" i="4" s="1"/>
  <c r="Q344" i="4" s="1"/>
  <c r="L262" i="4"/>
  <c r="P262" i="4" s="1"/>
  <c r="Q262" i="4" s="1"/>
  <c r="L132" i="4"/>
  <c r="P132" i="4" s="1"/>
  <c r="Q132" i="4" s="1"/>
  <c r="L144" i="4"/>
  <c r="P144" i="4" s="1"/>
  <c r="Q144" i="4" s="1"/>
  <c r="R144" i="4" s="1"/>
  <c r="L331" i="4"/>
  <c r="P331" i="4" s="1"/>
  <c r="Q331" i="4" s="1"/>
  <c r="L289" i="4"/>
  <c r="P289" i="4" s="1"/>
  <c r="Q289" i="4" s="1"/>
  <c r="L183" i="4"/>
  <c r="P183" i="4" s="1"/>
  <c r="Q183" i="4" s="1"/>
  <c r="L449" i="4"/>
  <c r="P449" i="4" s="1"/>
  <c r="Q449" i="4" s="1"/>
  <c r="L303" i="4"/>
  <c r="P303" i="4" s="1"/>
  <c r="Q303" i="4" s="1"/>
  <c r="L423" i="4"/>
  <c r="P423" i="4" s="1"/>
  <c r="Q423" i="4" s="1"/>
  <c r="R423" i="4" s="1"/>
  <c r="L64" i="4"/>
  <c r="P64" i="4" s="1"/>
  <c r="Q64" i="4" s="1"/>
  <c r="L484" i="4"/>
  <c r="P484" i="4" s="1"/>
  <c r="Q484" i="4" s="1"/>
  <c r="L468" i="4"/>
  <c r="P468" i="4" s="1"/>
  <c r="Q468" i="4" s="1"/>
  <c r="H201" i="4"/>
  <c r="J201" i="4" s="1"/>
  <c r="L473" i="4"/>
  <c r="P473" i="4" s="1"/>
  <c r="Q473" i="4" s="1"/>
  <c r="L111" i="4"/>
  <c r="P111" i="4" s="1"/>
  <c r="Q111" i="4" s="1"/>
  <c r="L401" i="4"/>
  <c r="P401" i="4" s="1"/>
  <c r="Q401" i="4" s="1"/>
  <c r="L274" i="4"/>
  <c r="P274" i="4" s="1"/>
  <c r="Q274" i="4" s="1"/>
  <c r="R264" i="4" s="1"/>
  <c r="L298" i="4"/>
  <c r="P298" i="4" s="1"/>
  <c r="Q298" i="4" s="1"/>
  <c r="H204" i="4"/>
  <c r="J204" i="4" s="1"/>
  <c r="L254" i="4"/>
  <c r="P254" i="4" s="1"/>
  <c r="Q254" i="4" s="1"/>
  <c r="R254" i="4" s="1"/>
  <c r="H282" i="4"/>
  <c r="J282" i="4" s="1"/>
  <c r="H228" i="4"/>
  <c r="J228" i="4" s="1"/>
  <c r="H206" i="4"/>
  <c r="J206" i="4" s="1"/>
  <c r="L122" i="4"/>
  <c r="P122" i="4" s="1"/>
  <c r="Q122" i="4" s="1"/>
  <c r="R122" i="4" s="1"/>
  <c r="L324" i="4"/>
  <c r="P324" i="4" s="1"/>
  <c r="Q324" i="4" s="1"/>
  <c r="R324" i="4" s="1"/>
  <c r="L152" i="4"/>
  <c r="P152" i="4" s="1"/>
  <c r="Q152" i="4" s="1"/>
  <c r="R152" i="4" s="1"/>
  <c r="H355" i="4"/>
  <c r="J355" i="4" s="1"/>
  <c r="L279" i="4"/>
  <c r="P279" i="4" s="1"/>
  <c r="Q279" i="4" s="1"/>
  <c r="L299" i="4"/>
  <c r="P299" i="4" s="1"/>
  <c r="Q299" i="4" s="1"/>
  <c r="R299" i="4" s="1"/>
  <c r="L131" i="4"/>
  <c r="P131" i="4" s="1"/>
  <c r="Q131" i="4" s="1"/>
  <c r="L383" i="4"/>
  <c r="P383" i="4" s="1"/>
  <c r="Q383" i="4" s="1"/>
  <c r="H351" i="4"/>
  <c r="J351" i="4" s="1"/>
  <c r="H109" i="4"/>
  <c r="J109" i="4" s="1"/>
  <c r="L129" i="4"/>
  <c r="P129" i="4" s="1"/>
  <c r="Q129" i="4" s="1"/>
  <c r="R119" i="4" s="1"/>
  <c r="L337" i="4"/>
  <c r="P337" i="4" s="1"/>
  <c r="Q337" i="4" s="1"/>
  <c r="L381" i="4"/>
  <c r="P381" i="4" s="1"/>
  <c r="Q381" i="4" s="1"/>
  <c r="L454" i="4"/>
  <c r="P454" i="4" s="1"/>
  <c r="Q454" i="4" s="1"/>
  <c r="R444" i="4" s="1"/>
  <c r="H396" i="4"/>
  <c r="J396" i="4" s="1"/>
  <c r="L404" i="4"/>
  <c r="P404" i="4" s="1"/>
  <c r="Q404" i="4" s="1"/>
  <c r="L410" i="4"/>
  <c r="P410" i="4" s="1"/>
  <c r="Q410" i="4" s="1"/>
  <c r="R400" i="4" s="1"/>
  <c r="L65" i="4"/>
  <c r="P65" i="4" s="1"/>
  <c r="Q65" i="4" s="1"/>
  <c r="L248" i="4"/>
  <c r="P248" i="4" s="1"/>
  <c r="Q248" i="4" s="1"/>
  <c r="R248" i="4" s="1"/>
  <c r="H45" i="4"/>
  <c r="J45" i="4" s="1"/>
  <c r="L285" i="4"/>
  <c r="P285" i="4" s="1"/>
  <c r="Q285" i="4" s="1"/>
  <c r="R285" i="4" s="1"/>
  <c r="L479" i="4"/>
  <c r="P479" i="4" s="1"/>
  <c r="Q479" i="4" s="1"/>
  <c r="H221" i="4"/>
  <c r="J221" i="4" s="1"/>
  <c r="L407" i="4"/>
  <c r="P407" i="4" s="1"/>
  <c r="Q407" i="4" s="1"/>
  <c r="H159" i="4"/>
  <c r="J159" i="4" s="1"/>
  <c r="L466" i="4"/>
  <c r="P466" i="4" s="1"/>
  <c r="Q466" i="4" s="1"/>
  <c r="H376" i="4"/>
  <c r="J376" i="4" s="1"/>
  <c r="L121" i="4"/>
  <c r="P121" i="4" s="1"/>
  <c r="Q121" i="4" s="1"/>
  <c r="H271" i="4"/>
  <c r="J271" i="4" s="1"/>
  <c r="H233" i="4"/>
  <c r="J233" i="4" s="1"/>
  <c r="L237" i="4"/>
  <c r="P237" i="4" s="1"/>
  <c r="Q237" i="4" s="1"/>
  <c r="L490" i="4"/>
  <c r="P490" i="4" s="1"/>
  <c r="Q490" i="4" s="1"/>
  <c r="L101" i="4"/>
  <c r="P101" i="4" s="1"/>
  <c r="Q101" i="4" s="1"/>
  <c r="R101" i="4" s="1"/>
  <c r="L234" i="4"/>
  <c r="P234" i="4" s="1"/>
  <c r="Q234" i="4" s="1"/>
  <c r="H164" i="4"/>
  <c r="J164" i="4" s="1"/>
  <c r="L394" i="4"/>
  <c r="P394" i="4" s="1"/>
  <c r="Q394" i="4" s="1"/>
  <c r="R394" i="4" s="1"/>
  <c r="L259" i="4"/>
  <c r="P259" i="4" s="1"/>
  <c r="Q259" i="4" s="1"/>
  <c r="R249" i="4" s="1"/>
  <c r="L238" i="4"/>
  <c r="P238" i="4" s="1"/>
  <c r="Q238" i="4" s="1"/>
  <c r="R238" i="4" s="1"/>
  <c r="L59" i="4"/>
  <c r="P59" i="4" s="1"/>
  <c r="Q59" i="4" s="1"/>
  <c r="L63" i="4"/>
  <c r="P63" i="4" s="1"/>
  <c r="Q63" i="4" s="1"/>
  <c r="L217" i="4"/>
  <c r="P217" i="4" s="1"/>
  <c r="Q217" i="4" s="1"/>
  <c r="R164" i="4" s="1"/>
  <c r="L76" i="4"/>
  <c r="P76" i="4" s="1"/>
  <c r="Q76" i="4" s="1"/>
  <c r="R66" i="4" s="1"/>
  <c r="L419" i="4"/>
  <c r="P419" i="4" s="1"/>
  <c r="Q419" i="4" s="1"/>
  <c r="H277" i="4"/>
  <c r="J277" i="4" s="1"/>
  <c r="L391" i="4"/>
  <c r="P391" i="4" s="1"/>
  <c r="Q391" i="4" s="1"/>
  <c r="R391" i="4" s="1"/>
  <c r="L430" i="4"/>
  <c r="P430" i="4" s="1"/>
  <c r="Q430" i="4" s="1"/>
  <c r="L390" i="4"/>
  <c r="P390" i="4" s="1"/>
  <c r="Q390" i="4" s="1"/>
  <c r="R390" i="4" s="1"/>
  <c r="L278" i="4"/>
  <c r="P278" i="4" s="1"/>
  <c r="Q278" i="4" s="1"/>
  <c r="L178" i="4"/>
  <c r="P178" i="4" s="1"/>
  <c r="Q178" i="4" s="1"/>
  <c r="R178" i="4" s="1"/>
  <c r="L442" i="4"/>
  <c r="P442" i="4" s="1"/>
  <c r="Q442" i="4" s="1"/>
  <c r="R442" i="4" s="1"/>
  <c r="L97" i="4"/>
  <c r="P97" i="4" s="1"/>
  <c r="Q97" i="4" s="1"/>
  <c r="H151" i="4"/>
  <c r="J151" i="4" s="1"/>
  <c r="L405" i="4"/>
  <c r="P405" i="4" s="1"/>
  <c r="Q405" i="4" s="1"/>
  <c r="H148" i="4"/>
  <c r="J148" i="4" s="1"/>
  <c r="L268" i="4"/>
  <c r="P268" i="4" s="1"/>
  <c r="Q268" i="4" s="1"/>
  <c r="L211" i="4"/>
  <c r="P211" i="4" s="1"/>
  <c r="Q211" i="4" s="1"/>
  <c r="R211" i="4" s="1"/>
  <c r="L319" i="4"/>
  <c r="P319" i="4" s="1"/>
  <c r="Q319" i="4" s="1"/>
  <c r="L329" i="4"/>
  <c r="P329" i="4" s="1"/>
  <c r="Q329" i="4" s="1"/>
  <c r="L477" i="4"/>
  <c r="P477" i="4" s="1"/>
  <c r="Q477" i="4" s="1"/>
  <c r="L158" i="4"/>
  <c r="P158" i="4" s="1"/>
  <c r="Q158" i="4" s="1"/>
  <c r="R148" i="4" s="1"/>
  <c r="L166" i="4"/>
  <c r="P166" i="4" s="1"/>
  <c r="Q166" i="4" s="1"/>
  <c r="L358" i="4"/>
  <c r="P358" i="4" s="1"/>
  <c r="Q358" i="4" s="1"/>
  <c r="H180" i="4"/>
  <c r="J180" i="4" s="1"/>
  <c r="L367" i="4"/>
  <c r="P367" i="4" s="1"/>
  <c r="Q367" i="4" s="1"/>
  <c r="L487" i="4"/>
  <c r="P487" i="4" s="1"/>
  <c r="Q487" i="4" s="1"/>
  <c r="L450" i="4"/>
  <c r="P450" i="4" s="1"/>
  <c r="Q450" i="4" s="1"/>
  <c r="L348" i="4"/>
  <c r="P348" i="4" s="1"/>
  <c r="Q348" i="4" s="1"/>
  <c r="R348" i="4" s="1"/>
  <c r="L250" i="4"/>
  <c r="P250" i="4" s="1"/>
  <c r="Q250" i="4" s="1"/>
  <c r="H195" i="4"/>
  <c r="J195" i="4" s="1"/>
  <c r="H236" i="4"/>
  <c r="J236" i="4" s="1"/>
  <c r="L380" i="4"/>
  <c r="P380" i="4" s="1"/>
  <c r="Q380" i="4" s="1"/>
  <c r="R380" i="4" s="1"/>
  <c r="L426" i="4"/>
  <c r="P426" i="4" s="1"/>
  <c r="Q426" i="4" s="1"/>
  <c r="R416" i="4" s="1"/>
  <c r="H248" i="4"/>
  <c r="J248" i="4" s="1"/>
  <c r="L366" i="4"/>
  <c r="P366" i="4" s="1"/>
  <c r="Q366" i="4" s="1"/>
  <c r="L321" i="4"/>
  <c r="P321" i="4" s="1"/>
  <c r="Q321" i="4" s="1"/>
  <c r="H343" i="4"/>
  <c r="J343" i="4" s="1"/>
  <c r="L427" i="4"/>
  <c r="P427" i="4" s="1"/>
  <c r="Q427" i="4" s="1"/>
  <c r="L267" i="4"/>
  <c r="P267" i="4" s="1"/>
  <c r="Q267" i="4" s="1"/>
  <c r="L300" i="4"/>
  <c r="P300" i="4" s="1"/>
  <c r="Q300" i="4" s="1"/>
  <c r="H418" i="4"/>
  <c r="J418" i="4" s="1"/>
  <c r="H168" i="4"/>
  <c r="J168" i="4" s="1"/>
  <c r="H388" i="4"/>
  <c r="J388" i="4" s="1"/>
  <c r="H190" i="4"/>
  <c r="J190" i="4" s="1"/>
  <c r="L73" i="4"/>
  <c r="P73" i="4" s="1"/>
  <c r="Q73" i="4" s="1"/>
  <c r="L242" i="4"/>
  <c r="P242" i="4" s="1"/>
  <c r="Q242" i="4" s="1"/>
  <c r="R242" i="4" s="1"/>
  <c r="L214" i="4"/>
  <c r="P214" i="4" s="1"/>
  <c r="Q214" i="4" s="1"/>
  <c r="H218" i="4"/>
  <c r="J218" i="4" s="1"/>
  <c r="H186" i="4"/>
  <c r="J186" i="4" s="1"/>
  <c r="H308" i="4"/>
  <c r="J308" i="4" s="1"/>
  <c r="H240" i="4"/>
  <c r="J240" i="4" s="1"/>
  <c r="H124" i="4"/>
  <c r="J124" i="4" s="1"/>
  <c r="L83" i="4"/>
  <c r="P83" i="4" s="1"/>
  <c r="Q83" i="4" s="1"/>
  <c r="R83" i="4" s="1"/>
  <c r="L67" i="4"/>
  <c r="P67" i="4" s="1"/>
  <c r="Q67" i="4" s="1"/>
  <c r="L222" i="4"/>
  <c r="P222" i="4" s="1"/>
  <c r="Q222" i="4" s="1"/>
  <c r="R212" i="4" s="1"/>
  <c r="H225" i="4"/>
  <c r="J225" i="4" s="1"/>
  <c r="H294" i="4"/>
  <c r="J294" i="4" s="1"/>
  <c r="L118" i="4"/>
  <c r="P118" i="4" s="1"/>
  <c r="Q118" i="4" s="1"/>
  <c r="R118" i="4" s="1"/>
  <c r="H366" i="4"/>
  <c r="J366" i="4" s="1"/>
  <c r="L393" i="4"/>
  <c r="P393" i="4" s="1"/>
  <c r="Q393" i="4" s="1"/>
  <c r="H249" i="4"/>
  <c r="J249" i="4" s="1"/>
  <c r="L421" i="4"/>
  <c r="P421" i="4" s="1"/>
  <c r="Q421" i="4" s="1"/>
  <c r="R421" i="4" s="1"/>
  <c r="L464" i="4"/>
  <c r="P464" i="4" s="1"/>
  <c r="Q464" i="4" s="1"/>
  <c r="H403" i="4"/>
  <c r="J403" i="4" s="1"/>
  <c r="L177" i="4"/>
  <c r="P177" i="4" s="1"/>
  <c r="Q177" i="4" s="1"/>
  <c r="H497" i="4"/>
  <c r="J497" i="4" s="1"/>
  <c r="L467" i="4"/>
  <c r="P467" i="4" s="1"/>
  <c r="Q467" i="4" s="1"/>
  <c r="H28" i="4"/>
  <c r="J28" i="4" s="1"/>
  <c r="H322" i="4"/>
  <c r="J322" i="4" s="1"/>
  <c r="H227" i="4"/>
  <c r="J227" i="4" s="1"/>
  <c r="H448" i="4"/>
  <c r="J448" i="4" s="1"/>
  <c r="H416" i="4"/>
  <c r="J416" i="4" s="1"/>
  <c r="L340" i="4"/>
  <c r="P340" i="4" s="1"/>
  <c r="Q340" i="4" s="1"/>
  <c r="L376" i="4"/>
  <c r="P376" i="4" s="1"/>
  <c r="Q376" i="4" s="1"/>
  <c r="L342" i="4"/>
  <c r="P342" i="4" s="1"/>
  <c r="Q342" i="4" s="1"/>
  <c r="L210" i="4"/>
  <c r="P210" i="4" s="1"/>
  <c r="Q210" i="4" s="1"/>
  <c r="L114" i="4"/>
  <c r="P114" i="4" s="1"/>
  <c r="Q114" i="4" s="1"/>
  <c r="R114" i="4" s="1"/>
  <c r="H328" i="4"/>
  <c r="J328" i="4" s="1"/>
  <c r="L85" i="4"/>
  <c r="P85" i="4" s="1"/>
  <c r="Q85" i="4" s="1"/>
  <c r="L284" i="4"/>
  <c r="P284" i="4" s="1"/>
  <c r="Q284" i="4" s="1"/>
  <c r="L320" i="4"/>
  <c r="P320" i="4" s="1"/>
  <c r="Q320" i="4" s="1"/>
  <c r="L425" i="4"/>
  <c r="P425" i="4" s="1"/>
  <c r="Q425" i="4" s="1"/>
  <c r="R425" i="4" s="1"/>
  <c r="L107" i="4"/>
  <c r="P107" i="4" s="1"/>
  <c r="Q107" i="4" s="1"/>
  <c r="R107" i="4" s="1"/>
  <c r="L413" i="4"/>
  <c r="P413" i="4" s="1"/>
  <c r="Q413" i="4" s="1"/>
  <c r="L117" i="4"/>
  <c r="P117" i="4" s="1"/>
  <c r="Q117" i="4" s="1"/>
  <c r="L82" i="4"/>
  <c r="P82" i="4" s="1"/>
  <c r="Q82" i="4" s="1"/>
  <c r="L125" i="4"/>
  <c r="P125" i="4" s="1"/>
  <c r="Q125" i="4" s="1"/>
  <c r="L463" i="4"/>
  <c r="P463" i="4" s="1"/>
  <c r="Q463" i="4" s="1"/>
  <c r="L257" i="4"/>
  <c r="P257" i="4" s="1"/>
  <c r="Q257" i="4" s="1"/>
  <c r="L226" i="4"/>
  <c r="P226" i="4" s="1"/>
  <c r="Q226" i="4" s="1"/>
  <c r="L368" i="4"/>
  <c r="P368" i="4" s="1"/>
  <c r="Q368" i="4" s="1"/>
  <c r="L286" i="4"/>
  <c r="P286" i="4" s="1"/>
  <c r="Q286" i="4" s="1"/>
  <c r="H434" i="4"/>
  <c r="J434" i="4" s="1"/>
  <c r="H188" i="4"/>
  <c r="J188" i="4" s="1"/>
  <c r="H104" i="4"/>
  <c r="J104" i="4" s="1"/>
  <c r="L420" i="4"/>
  <c r="P420" i="4" s="1"/>
  <c r="Q420" i="4" s="1"/>
  <c r="R420" i="4" s="1"/>
  <c r="L75" i="4"/>
  <c r="P75" i="4" s="1"/>
  <c r="Q75" i="4" s="1"/>
  <c r="L244" i="4"/>
  <c r="P244" i="4" s="1"/>
  <c r="Q244" i="4" s="1"/>
  <c r="R244" i="4" s="1"/>
  <c r="L353" i="4"/>
  <c r="P353" i="4" s="1"/>
  <c r="Q353" i="4" s="1"/>
  <c r="R343" i="4" s="1"/>
  <c r="H374" i="4"/>
  <c r="J374" i="4" s="1"/>
  <c r="H223" i="4"/>
  <c r="J223" i="4" s="1"/>
  <c r="H400" i="4"/>
  <c r="J400" i="4" s="1"/>
  <c r="H314" i="4"/>
  <c r="J314" i="4" s="1"/>
  <c r="L146" i="4"/>
  <c r="P146" i="4" s="1"/>
  <c r="Q146" i="4" s="1"/>
  <c r="R136" i="4" s="1"/>
  <c r="L95" i="4"/>
  <c r="P95" i="4" s="1"/>
  <c r="Q95" i="4" s="1"/>
  <c r="L260" i="4"/>
  <c r="P260" i="4" s="1"/>
  <c r="Q260" i="4" s="1"/>
  <c r="L100" i="4"/>
  <c r="P100" i="4" s="1"/>
  <c r="Q100" i="4" s="1"/>
  <c r="R100" i="4" s="1"/>
  <c r="L149" i="4"/>
  <c r="P149" i="4" s="1"/>
  <c r="Q149" i="4" s="1"/>
  <c r="R149" i="4" s="1"/>
  <c r="L173" i="4"/>
  <c r="P173" i="4" s="1"/>
  <c r="Q173" i="4" s="1"/>
  <c r="L70" i="4"/>
  <c r="P70" i="4" s="1"/>
  <c r="Q70" i="4" s="1"/>
  <c r="H56" i="4"/>
  <c r="J56" i="4" s="1"/>
  <c r="L84" i="4"/>
  <c r="P84" i="4" s="1"/>
  <c r="Q84" i="4" s="1"/>
  <c r="R84" i="4" s="1"/>
  <c r="L304" i="4"/>
  <c r="P304" i="4" s="1"/>
  <c r="Q304" i="4" s="1"/>
  <c r="H114" i="4"/>
  <c r="J114" i="4" s="1"/>
  <c r="H95" i="4"/>
  <c r="J95" i="4" s="1"/>
  <c r="L472" i="4"/>
  <c r="P472" i="4" s="1"/>
  <c r="Q472" i="4" s="1"/>
  <c r="L461" i="4"/>
  <c r="P461" i="4" s="1"/>
  <c r="Q461" i="4" s="1"/>
  <c r="L71" i="4"/>
  <c r="P71" i="4" s="1"/>
  <c r="Q71" i="4" s="1"/>
  <c r="R71" i="4" s="1"/>
  <c r="L438" i="4"/>
  <c r="P438" i="4" s="1"/>
  <c r="Q438" i="4" s="1"/>
  <c r="R438" i="4" s="1"/>
  <c r="H336" i="4"/>
  <c r="J336" i="4" s="1"/>
  <c r="H312" i="4"/>
  <c r="J312" i="4" s="1"/>
  <c r="L77" i="4"/>
  <c r="P77" i="4" s="1"/>
  <c r="Q77" i="4" s="1"/>
  <c r="H91" i="4"/>
  <c r="J91" i="4" s="1"/>
  <c r="L280" i="4"/>
  <c r="P280" i="4" s="1"/>
  <c r="Q280" i="4" s="1"/>
  <c r="H69" i="4"/>
  <c r="J69" i="4" s="1"/>
  <c r="H224" i="4"/>
  <c r="J224" i="4" s="1"/>
  <c r="L293" i="4"/>
  <c r="P293" i="4" s="1"/>
  <c r="Q293" i="4" s="1"/>
  <c r="R293" i="4" s="1"/>
  <c r="L92" i="4"/>
  <c r="P92" i="4" s="1"/>
  <c r="Q92" i="4" s="1"/>
  <c r="R92" i="4" s="1"/>
  <c r="E60" i="4"/>
  <c r="L60" i="4" s="1"/>
  <c r="P60" i="4" s="1"/>
  <c r="Q60" i="4" s="1"/>
  <c r="L176" i="4"/>
  <c r="P176" i="4" s="1"/>
  <c r="Q176" i="4" s="1"/>
  <c r="H136" i="4"/>
  <c r="J136" i="4" s="1"/>
  <c r="H200" i="4"/>
  <c r="J200" i="4" s="1"/>
  <c r="H382" i="4"/>
  <c r="J382" i="4" s="1"/>
  <c r="H446" i="4"/>
  <c r="J446" i="4" s="1"/>
  <c r="H304" i="4"/>
  <c r="J304" i="4" s="1"/>
  <c r="L184" i="4"/>
  <c r="P184" i="4" s="1"/>
  <c r="Q184" i="4" s="1"/>
  <c r="H440" i="4"/>
  <c r="J440" i="4" s="1"/>
  <c r="H408" i="4"/>
  <c r="J408" i="4" s="1"/>
  <c r="H146" i="4"/>
  <c r="J146" i="4" s="1"/>
  <c r="H100" i="4"/>
  <c r="J100" i="4" s="1"/>
  <c r="L103" i="4"/>
  <c r="P103" i="4" s="1"/>
  <c r="Q103" i="4" s="1"/>
  <c r="R103" i="4" s="1"/>
  <c r="L392" i="4"/>
  <c r="P392" i="4" s="1"/>
  <c r="Q392" i="4" s="1"/>
  <c r="E54" i="4"/>
  <c r="D57" i="4"/>
  <c r="L57" i="4" s="1"/>
  <c r="P57" i="4" s="1"/>
  <c r="Q57" i="4" s="1"/>
  <c r="R57" i="4" s="1"/>
  <c r="D53" i="4"/>
  <c r="L53" i="4" s="1"/>
  <c r="P53" i="4" s="1"/>
  <c r="Q53" i="4" s="1"/>
  <c r="L384" i="4"/>
  <c r="P384" i="4" s="1"/>
  <c r="Q384" i="4" s="1"/>
  <c r="H59" i="4"/>
  <c r="J59" i="4" s="1"/>
  <c r="L354" i="4"/>
  <c r="P354" i="4" s="1"/>
  <c r="Q354" i="4" s="1"/>
  <c r="H214" i="4"/>
  <c r="J214" i="4" s="1"/>
  <c r="H220" i="4"/>
  <c r="J220" i="4" s="1"/>
  <c r="L290" i="4"/>
  <c r="P290" i="4" s="1"/>
  <c r="Q290" i="4" s="1"/>
  <c r="R290" i="4" s="1"/>
  <c r="H130" i="4"/>
  <c r="J130" i="4" s="1"/>
  <c r="H68" i="4"/>
  <c r="J68" i="4" s="1"/>
  <c r="D56" i="4"/>
  <c r="L56" i="4" s="1"/>
  <c r="P56" i="4" s="1"/>
  <c r="Q56" i="4" s="1"/>
  <c r="L371" i="4"/>
  <c r="P371" i="4" s="1"/>
  <c r="Q371" i="4" s="1"/>
  <c r="H46" i="4"/>
  <c r="J46" i="4" s="1"/>
  <c r="E52" i="4"/>
  <c r="L406" i="4"/>
  <c r="P406" i="4" s="1"/>
  <c r="Q406" i="4" s="1"/>
  <c r="R406" i="4" s="1"/>
  <c r="H61" i="4"/>
  <c r="J61" i="4" s="1"/>
  <c r="L288" i="4"/>
  <c r="P288" i="4" s="1"/>
  <c r="Q288" i="4" s="1"/>
  <c r="R288" i="4" s="1"/>
  <c r="H232" i="4"/>
  <c r="J232" i="4" s="1"/>
  <c r="L208" i="4"/>
  <c r="P208" i="4" s="1"/>
  <c r="Q208" i="4" s="1"/>
  <c r="H53" i="4"/>
  <c r="J53" i="4" s="1"/>
  <c r="H260" i="4"/>
  <c r="J260" i="4" s="1"/>
  <c r="L399" i="4"/>
  <c r="P399" i="4" s="1"/>
  <c r="Q399" i="4" s="1"/>
  <c r="R399" i="4" s="1"/>
  <c r="L194" i="4"/>
  <c r="P194" i="4" s="1"/>
  <c r="Q194" i="4" s="1"/>
  <c r="R194" i="4" s="1"/>
  <c r="L310" i="4"/>
  <c r="P310" i="4" s="1"/>
  <c r="Q310" i="4" s="1"/>
  <c r="R310" i="4" s="1"/>
  <c r="L105" i="4"/>
  <c r="P105" i="4" s="1"/>
  <c r="Q105" i="4" s="1"/>
  <c r="H273" i="4"/>
  <c r="J273" i="4" s="1"/>
  <c r="L261" i="4"/>
  <c r="P261" i="4" s="1"/>
  <c r="Q261" i="4" s="1"/>
  <c r="L437" i="4"/>
  <c r="P437" i="4" s="1"/>
  <c r="Q437" i="4" s="1"/>
  <c r="L314" i="4"/>
  <c r="P314" i="4" s="1"/>
  <c r="Q314" i="4" s="1"/>
  <c r="L99" i="4"/>
  <c r="P99" i="4" s="1"/>
  <c r="Q99" i="4" s="1"/>
  <c r="R99" i="4" s="1"/>
  <c r="H424" i="4"/>
  <c r="J424" i="4" s="1"/>
  <c r="H262" i="4"/>
  <c r="J262" i="4" s="1"/>
  <c r="H326" i="4"/>
  <c r="J326" i="4" s="1"/>
  <c r="H287" i="4"/>
  <c r="J287" i="4" s="1"/>
  <c r="H293" i="4"/>
  <c r="J293" i="4" s="1"/>
  <c r="H239" i="4"/>
  <c r="J239" i="4" s="1"/>
  <c r="H88" i="4"/>
  <c r="J88" i="4" s="1"/>
  <c r="L190" i="4"/>
  <c r="P190" i="4" s="1"/>
  <c r="Q190" i="4" s="1"/>
  <c r="R190" i="4" s="1"/>
  <c r="H83" i="4"/>
  <c r="J83" i="4" s="1"/>
  <c r="L446" i="4"/>
  <c r="P446" i="4" s="1"/>
  <c r="Q446" i="4" s="1"/>
  <c r="R446" i="4" s="1"/>
  <c r="L440" i="4"/>
  <c r="P440" i="4" s="1"/>
  <c r="Q440" i="4" s="1"/>
  <c r="R440" i="4" s="1"/>
  <c r="L246" i="4"/>
  <c r="P246" i="4" s="1"/>
  <c r="Q246" i="4" s="1"/>
  <c r="L378" i="4"/>
  <c r="P378" i="4" s="1"/>
  <c r="Q378" i="4" s="1"/>
  <c r="H306" i="4"/>
  <c r="J306" i="4" s="1"/>
  <c r="L414" i="4"/>
  <c r="P414" i="4" s="1"/>
  <c r="Q414" i="4" s="1"/>
  <c r="L79" i="4"/>
  <c r="P79" i="4" s="1"/>
  <c r="Q79" i="4" s="1"/>
  <c r="L270" i="4"/>
  <c r="P270" i="4" s="1"/>
  <c r="Q270" i="4" s="1"/>
  <c r="H450" i="4"/>
  <c r="J450" i="4" s="1"/>
  <c r="L134" i="4"/>
  <c r="P134" i="4" s="1"/>
  <c r="Q134" i="4" s="1"/>
  <c r="L91" i="4"/>
  <c r="P91" i="4" s="1"/>
  <c r="Q91" i="4" s="1"/>
  <c r="L198" i="4"/>
  <c r="P198" i="4" s="1"/>
  <c r="Q198" i="4" s="1"/>
  <c r="R198" i="4" s="1"/>
  <c r="L316" i="4"/>
  <c r="P316" i="4" s="1"/>
  <c r="Q316" i="4" s="1"/>
  <c r="R316" i="4" s="1"/>
  <c r="L294" i="4"/>
  <c r="P294" i="4" s="1"/>
  <c r="Q294" i="4" s="1"/>
  <c r="L123" i="4"/>
  <c r="P123" i="4" s="1"/>
  <c r="Q123" i="4" s="1"/>
  <c r="L417" i="4"/>
  <c r="P417" i="4" s="1"/>
  <c r="Q417" i="4" s="1"/>
  <c r="L379" i="4"/>
  <c r="P379" i="4" s="1"/>
  <c r="Q379" i="4" s="1"/>
  <c r="H241" i="4"/>
  <c r="J241" i="4" s="1"/>
  <c r="H31" i="4"/>
  <c r="J31" i="4" s="1"/>
  <c r="H93" i="4"/>
  <c r="J93" i="4" s="1"/>
  <c r="L330" i="4"/>
  <c r="P330" i="4" s="1"/>
  <c r="Q330" i="4" s="1"/>
  <c r="L296" i="4"/>
  <c r="P296" i="4" s="1"/>
  <c r="Q296" i="4" s="1"/>
  <c r="L398" i="4"/>
  <c r="P398" i="4" s="1"/>
  <c r="Q398" i="4" s="1"/>
  <c r="R398" i="4" s="1"/>
  <c r="L266" i="4"/>
  <c r="P266" i="4" s="1"/>
  <c r="Q266" i="4" s="1"/>
  <c r="R266" i="4" s="1"/>
  <c r="L402" i="4"/>
  <c r="P402" i="4" s="1"/>
  <c r="Q402" i="4" s="1"/>
  <c r="R402" i="4" s="1"/>
  <c r="L135" i="4"/>
  <c r="P135" i="4" s="1"/>
  <c r="Q135" i="4" s="1"/>
  <c r="R135" i="4" s="1"/>
  <c r="L276" i="4"/>
  <c r="P276" i="4" s="1"/>
  <c r="Q276" i="4" s="1"/>
  <c r="L424" i="4"/>
  <c r="P424" i="4" s="1"/>
  <c r="Q424" i="4" s="1"/>
  <c r="R424" i="4" s="1"/>
  <c r="L130" i="4"/>
  <c r="P130" i="4" s="1"/>
  <c r="Q130" i="4" s="1"/>
  <c r="R130" i="4" s="1"/>
  <c r="H316" i="4"/>
  <c r="J316" i="4" s="1"/>
  <c r="H398" i="4"/>
  <c r="J398" i="4" s="1"/>
  <c r="L439" i="4"/>
  <c r="P439" i="4" s="1"/>
  <c r="Q439" i="4" s="1"/>
  <c r="R439" i="4" s="1"/>
  <c r="H33" i="4"/>
  <c r="J33" i="4" s="1"/>
  <c r="H170" i="4"/>
  <c r="J170" i="4" s="1"/>
  <c r="H246" i="4"/>
  <c r="J246" i="4" s="1"/>
  <c r="H79" i="4"/>
  <c r="J79" i="4" s="1"/>
  <c r="L349" i="4"/>
  <c r="P349" i="4" s="1"/>
  <c r="Q349" i="4" s="1"/>
  <c r="L253" i="4"/>
  <c r="P253" i="4" s="1"/>
  <c r="Q253" i="4" s="1"/>
  <c r="R253" i="4" s="1"/>
  <c r="H384" i="4"/>
  <c r="J384" i="4" s="1"/>
  <c r="H296" i="4"/>
  <c r="J296" i="4" s="1"/>
  <c r="L308" i="4"/>
  <c r="P308" i="4" s="1"/>
  <c r="Q308" i="4" s="1"/>
  <c r="R308" i="4" s="1"/>
  <c r="H172" i="4"/>
  <c r="J172" i="4" s="1"/>
  <c r="H226" i="4"/>
  <c r="J226" i="4" s="1"/>
  <c r="L116" i="4"/>
  <c r="P116" i="4" s="1"/>
  <c r="Q116" i="4" s="1"/>
  <c r="R116" i="4" s="1"/>
  <c r="H266" i="4"/>
  <c r="J266" i="4" s="1"/>
  <c r="L374" i="4"/>
  <c r="P374" i="4" s="1"/>
  <c r="Q374" i="4" s="1"/>
  <c r="L336" i="4"/>
  <c r="P336" i="4" s="1"/>
  <c r="Q336" i="4" s="1"/>
  <c r="R336" i="4" s="1"/>
  <c r="L432" i="4"/>
  <c r="P432" i="4" s="1"/>
  <c r="Q432" i="4" s="1"/>
  <c r="R432" i="4" s="1"/>
  <c r="L195" i="4"/>
  <c r="P195" i="4" s="1"/>
  <c r="Q195" i="4" s="1"/>
  <c r="R195" i="4" s="1"/>
  <c r="L236" i="4"/>
  <c r="P236" i="4" s="1"/>
  <c r="Q236" i="4" s="1"/>
  <c r="H230" i="4"/>
  <c r="J230" i="4" s="1"/>
  <c r="H194" i="4"/>
  <c r="J194" i="4" s="1"/>
  <c r="H162" i="4"/>
  <c r="J162" i="4" s="1"/>
  <c r="L328" i="4"/>
  <c r="P328" i="4" s="1"/>
  <c r="Q328" i="4" s="1"/>
  <c r="R328" i="4" s="1"/>
  <c r="H55" i="4"/>
  <c r="J55" i="4" s="1"/>
  <c r="H395" i="4"/>
  <c r="J395" i="4" s="1"/>
  <c r="L239" i="4"/>
  <c r="P239" i="4" s="1"/>
  <c r="Q239" i="4" s="1"/>
  <c r="R239" i="4" s="1"/>
  <c r="L429" i="4"/>
  <c r="P429" i="4" s="1"/>
  <c r="Q429" i="4" s="1"/>
  <c r="R429" i="4" s="1"/>
  <c r="H267" i="4"/>
  <c r="J267" i="4" s="1"/>
  <c r="L347" i="4"/>
  <c r="P347" i="4" s="1"/>
  <c r="Q347" i="4" s="1"/>
  <c r="R347" i="4" s="1"/>
  <c r="H417" i="4"/>
  <c r="J417" i="4" s="1"/>
  <c r="L273" i="4"/>
  <c r="P273" i="4" s="1"/>
  <c r="Q273" i="4" s="1"/>
  <c r="R273" i="4" s="1"/>
  <c r="L325" i="4"/>
  <c r="P325" i="4" s="1"/>
  <c r="Q325" i="4" s="1"/>
  <c r="R325" i="4" s="1"/>
  <c r="H406" i="4"/>
  <c r="J406" i="4" s="1"/>
  <c r="L206" i="4"/>
  <c r="P206" i="4" s="1"/>
  <c r="Q206" i="4" s="1"/>
  <c r="R196" i="4" s="1"/>
  <c r="H430" i="4"/>
  <c r="J430" i="4" s="1"/>
  <c r="L186" i="4"/>
  <c r="P186" i="4" s="1"/>
  <c r="Q186" i="4" s="1"/>
  <c r="R133" i="4" s="1"/>
  <c r="L240" i="4"/>
  <c r="P240" i="4" s="1"/>
  <c r="Q240" i="4" s="1"/>
  <c r="R240" i="4" s="1"/>
  <c r="L422" i="4"/>
  <c r="P422" i="4" s="1"/>
  <c r="Q422" i="4" s="1"/>
  <c r="R422" i="4" s="1"/>
  <c r="L232" i="4"/>
  <c r="P232" i="4" s="1"/>
  <c r="Q232" i="4" s="1"/>
  <c r="R232" i="4" s="1"/>
  <c r="H320" i="4"/>
  <c r="J320" i="4" s="1"/>
  <c r="H365" i="4"/>
  <c r="J365" i="4" s="1"/>
  <c r="L230" i="4"/>
  <c r="P230" i="4" s="1"/>
  <c r="Q230" i="4" s="1"/>
  <c r="R230" i="4" s="1"/>
  <c r="L362" i="4"/>
  <c r="P362" i="4" s="1"/>
  <c r="Q362" i="4" s="1"/>
  <c r="R309" i="4" s="1"/>
  <c r="L69" i="4"/>
  <c r="P69" i="4" s="1"/>
  <c r="Q69" i="4" s="1"/>
  <c r="R69" i="4" s="1"/>
  <c r="L224" i="4"/>
  <c r="P224" i="4" s="1"/>
  <c r="Q224" i="4" s="1"/>
  <c r="R224" i="4" s="1"/>
  <c r="L87" i="4"/>
  <c r="P87" i="4" s="1"/>
  <c r="Q87" i="4" s="1"/>
  <c r="R87" i="4" s="1"/>
  <c r="L157" i="4"/>
  <c r="P157" i="4" s="1"/>
  <c r="Q157" i="4" s="1"/>
  <c r="R147" i="4" s="1"/>
  <c r="H269" i="4"/>
  <c r="J269" i="4" s="1"/>
  <c r="H402" i="4"/>
  <c r="J402" i="4" s="1"/>
  <c r="L89" i="4"/>
  <c r="P89" i="4" s="1"/>
  <c r="Q89" i="4" s="1"/>
  <c r="L312" i="4"/>
  <c r="P312" i="4" s="1"/>
  <c r="Q312" i="4" s="1"/>
  <c r="H276" i="4"/>
  <c r="J276" i="4" s="1"/>
  <c r="L108" i="4"/>
  <c r="P108" i="4" s="1"/>
  <c r="Q108" i="4" s="1"/>
  <c r="R108" i="4" s="1"/>
  <c r="H432" i="4"/>
  <c r="J432" i="4" s="1"/>
  <c r="L170" i="4"/>
  <c r="P170" i="4" s="1"/>
  <c r="Q170" i="4" s="1"/>
  <c r="R170" i="4" s="1"/>
  <c r="L382" i="4"/>
  <c r="P382" i="4" s="1"/>
  <c r="Q382" i="4" s="1"/>
  <c r="L356" i="4"/>
  <c r="P356" i="4" s="1"/>
  <c r="Q356" i="4" s="1"/>
  <c r="R356" i="4" s="1"/>
  <c r="H392" i="4"/>
  <c r="J392" i="4" s="1"/>
  <c r="H426" i="4"/>
  <c r="J426" i="4" s="1"/>
  <c r="H5" i="4"/>
  <c r="J5" i="4" s="1"/>
  <c r="H71" i="4"/>
  <c r="J71" i="4" s="1"/>
  <c r="L415" i="4"/>
  <c r="P415" i="4" s="1"/>
  <c r="Q415" i="4" s="1"/>
  <c r="R415" i="4" s="1"/>
  <c r="L269" i="4"/>
  <c r="P269" i="4" s="1"/>
  <c r="Q269" i="4" s="1"/>
  <c r="R269" i="4" s="1"/>
  <c r="H270" i="4"/>
  <c r="J270" i="4" s="1"/>
  <c r="L218" i="4"/>
  <c r="P218" i="4" s="1"/>
  <c r="Q218" i="4" s="1"/>
  <c r="R218" i="4" s="1"/>
  <c r="L225" i="4"/>
  <c r="P225" i="4" s="1"/>
  <c r="Q225" i="4" s="1"/>
  <c r="H142" i="4"/>
  <c r="J142" i="4" s="1"/>
  <c r="H415" i="4"/>
  <c r="J415" i="4" s="1"/>
  <c r="H370" i="4"/>
  <c r="J370" i="4" s="1"/>
  <c r="L182" i="4"/>
  <c r="P182" i="4" s="1"/>
  <c r="Q182" i="4" s="1"/>
  <c r="H422" i="4"/>
  <c r="J422" i="4" s="1"/>
  <c r="H330" i="4"/>
  <c r="J330" i="4" s="1"/>
  <c r="L345" i="4"/>
  <c r="P345" i="4" s="1"/>
  <c r="Q345" i="4" s="1"/>
  <c r="R335" i="4" s="1"/>
  <c r="F21" i="4"/>
  <c r="H39" i="4" s="1"/>
  <c r="J39" i="4" s="1"/>
  <c r="Q22" i="1"/>
  <c r="D21" i="4" s="1"/>
  <c r="L21" i="4" s="1"/>
  <c r="P21" i="4" s="1"/>
  <c r="Q21" i="4" s="1"/>
  <c r="L138" i="4"/>
  <c r="P138" i="4" s="1"/>
  <c r="Q138" i="4" s="1"/>
  <c r="R138" i="4" s="1"/>
  <c r="L272" i="4"/>
  <c r="P272" i="4" s="1"/>
  <c r="Q272" i="4" s="1"/>
  <c r="H87" i="4"/>
  <c r="J87" i="4" s="1"/>
  <c r="L395" i="4"/>
  <c r="P395" i="4" s="1"/>
  <c r="Q395" i="4" s="1"/>
  <c r="R395" i="4" s="1"/>
  <c r="L365" i="4"/>
  <c r="P365" i="4" s="1"/>
  <c r="Q365" i="4" s="1"/>
  <c r="R355" i="4" s="1"/>
  <c r="L47" i="4"/>
  <c r="P47" i="4" s="1"/>
  <c r="Q47" i="4" s="1"/>
  <c r="H368" i="4"/>
  <c r="J368" i="4" s="1"/>
  <c r="L418" i="4"/>
  <c r="P418" i="4" s="1"/>
  <c r="Q418" i="4" s="1"/>
  <c r="R418" i="4" s="1"/>
  <c r="H182" i="4"/>
  <c r="J182" i="4" s="1"/>
  <c r="H362" i="4"/>
  <c r="J362" i="4" s="1"/>
  <c r="L142" i="4"/>
  <c r="P142" i="4" s="1"/>
  <c r="Q142" i="4" s="1"/>
  <c r="H272" i="4"/>
  <c r="J272" i="4" s="1"/>
  <c r="L370" i="4"/>
  <c r="P370" i="4" s="1"/>
  <c r="Q370" i="4" s="1"/>
  <c r="R370" i="4" s="1"/>
  <c r="L220" i="4"/>
  <c r="P220" i="4" s="1"/>
  <c r="Q220" i="4" s="1"/>
  <c r="H429" i="4"/>
  <c r="J429" i="4" s="1"/>
  <c r="L17" i="4" l="1"/>
  <c r="P17" i="4" s="1"/>
  <c r="Q17" i="4" s="1"/>
  <c r="L52" i="4"/>
  <c r="P52" i="4" s="1"/>
  <c r="Q52" i="4" s="1"/>
  <c r="L48" i="4"/>
  <c r="P48" i="4" s="1"/>
  <c r="Q48" i="4" s="1"/>
  <c r="L55" i="4"/>
  <c r="P55" i="4" s="1"/>
  <c r="Q55" i="4" s="1"/>
  <c r="L49" i="4"/>
  <c r="P49" i="4" s="1"/>
  <c r="Q49" i="4" s="1"/>
  <c r="L44" i="4"/>
  <c r="P44" i="4" s="1"/>
  <c r="Q44" i="4" s="1"/>
  <c r="R302" i="4"/>
  <c r="R154" i="4"/>
  <c r="L14" i="4"/>
  <c r="P14" i="4" s="1"/>
  <c r="Q14" i="4" s="1"/>
  <c r="H50" i="4"/>
  <c r="J50" i="4" s="1"/>
  <c r="H20" i="4"/>
  <c r="J20" i="4" s="1"/>
  <c r="L9" i="4"/>
  <c r="P9" i="4" s="1"/>
  <c r="Q9" i="4" s="1"/>
  <c r="R53" i="4" s="1"/>
  <c r="H43" i="4"/>
  <c r="J43" i="4" s="1"/>
  <c r="H459" i="4"/>
  <c r="J459" i="4" s="1"/>
  <c r="H485" i="4"/>
  <c r="J485" i="4" s="1"/>
  <c r="L45" i="4"/>
  <c r="P45" i="4" s="1"/>
  <c r="Q45" i="4" s="1"/>
  <c r="L31" i="4"/>
  <c r="P31" i="4" s="1"/>
  <c r="Q31" i="4" s="1"/>
  <c r="D20" i="4"/>
  <c r="L20" i="4" s="1"/>
  <c r="P20" i="4" s="1"/>
  <c r="Q20" i="4" s="1"/>
  <c r="R184" i="4"/>
  <c r="R280" i="4"/>
  <c r="R286" i="4"/>
  <c r="R210" i="4"/>
  <c r="R247" i="4"/>
  <c r="R59" i="4"/>
  <c r="R298" i="4"/>
  <c r="R132" i="4"/>
  <c r="R412" i="4"/>
  <c r="R334" i="4"/>
  <c r="R192" i="4"/>
  <c r="R128" i="4"/>
  <c r="R326" i="4"/>
  <c r="R222" i="4"/>
  <c r="R214" i="4"/>
  <c r="R358" i="4"/>
  <c r="R430" i="4"/>
  <c r="R234" i="4"/>
  <c r="R262" i="4"/>
  <c r="R174" i="4"/>
  <c r="R409" i="4"/>
  <c r="R436" i="4"/>
  <c r="R115" i="4"/>
  <c r="R139" i="4"/>
  <c r="R188" i="4"/>
  <c r="R392" i="4"/>
  <c r="R176" i="4"/>
  <c r="R260" i="4"/>
  <c r="R427" i="4"/>
  <c r="R166" i="4"/>
  <c r="R319" i="4"/>
  <c r="R405" i="4"/>
  <c r="R381" i="4"/>
  <c r="R344" i="4"/>
  <c r="R311" i="4"/>
  <c r="R160" i="4"/>
  <c r="H40" i="4"/>
  <c r="J40" i="4" s="1"/>
  <c r="R74" i="4"/>
  <c r="R106" i="4"/>
  <c r="R180" i="4"/>
  <c r="R256" i="4"/>
  <c r="R79" i="4"/>
  <c r="R60" i="4"/>
  <c r="R95" i="4"/>
  <c r="R75" i="4"/>
  <c r="R73" i="4"/>
  <c r="R407" i="4"/>
  <c r="R404" i="4"/>
  <c r="R111" i="4"/>
  <c r="R332" i="4"/>
  <c r="R428" i="4"/>
  <c r="H15" i="4"/>
  <c r="J15" i="4" s="1"/>
  <c r="R229" i="4"/>
  <c r="R98" i="4"/>
  <c r="R252" i="4"/>
  <c r="R168" i="4"/>
  <c r="R306" i="4"/>
  <c r="R382" i="4"/>
  <c r="R417" i="4"/>
  <c r="R270" i="4"/>
  <c r="R378" i="4"/>
  <c r="R236" i="4"/>
  <c r="R276" i="4"/>
  <c r="R246" i="4"/>
  <c r="R173" i="4"/>
  <c r="H24" i="4"/>
  <c r="J24" i="4" s="1"/>
  <c r="H38" i="4"/>
  <c r="J38" i="4" s="1"/>
  <c r="R250" i="4"/>
  <c r="R125" i="4"/>
  <c r="R366" i="4"/>
  <c r="R274" i="4"/>
  <c r="H457" i="4"/>
  <c r="J457" i="4" s="1"/>
  <c r="L12" i="4"/>
  <c r="P12" i="4" s="1"/>
  <c r="Q12" i="4" s="1"/>
  <c r="R345" i="4"/>
  <c r="R413" i="4"/>
  <c r="R278" i="4"/>
  <c r="R121" i="4"/>
  <c r="R383" i="4"/>
  <c r="R150" i="4"/>
  <c r="R368" i="4"/>
  <c r="R91" i="4"/>
  <c r="R304" i="4"/>
  <c r="R226" i="4"/>
  <c r="R97" i="4"/>
  <c r="R157" i="4"/>
  <c r="R182" i="4"/>
  <c r="R225" i="4"/>
  <c r="R206" i="4"/>
  <c r="R134" i="4"/>
  <c r="R414" i="4"/>
  <c r="R314" i="4"/>
  <c r="R105" i="4"/>
  <c r="R354" i="4"/>
  <c r="R146" i="4"/>
  <c r="R320" i="4"/>
  <c r="R67" i="4"/>
  <c r="R76" i="4"/>
  <c r="R330" i="4"/>
  <c r="R437" i="4"/>
  <c r="R284" i="4"/>
  <c r="R272" i="4"/>
  <c r="R426" i="4"/>
  <c r="R142" i="4"/>
  <c r="R374" i="4"/>
  <c r="R123" i="4"/>
  <c r="R126" i="4"/>
  <c r="R483" i="4"/>
  <c r="R365" i="4"/>
  <c r="R5" i="4"/>
  <c r="R220" i="4"/>
  <c r="R349" i="4"/>
  <c r="R340" i="4"/>
  <c r="H41" i="4"/>
  <c r="J41" i="4" s="1"/>
  <c r="H484" i="4"/>
  <c r="J484" i="4" s="1"/>
  <c r="H21" i="4"/>
  <c r="J21" i="4" s="1"/>
  <c r="H466" i="4"/>
  <c r="J466" i="4" s="1"/>
  <c r="R279" i="4"/>
  <c r="H32" i="4"/>
  <c r="J32" i="4" s="1"/>
  <c r="H13" i="4"/>
  <c r="J13" i="4" s="1"/>
  <c r="H9" i="4"/>
  <c r="J9" i="4" s="1"/>
  <c r="H14" i="4"/>
  <c r="J14" i="4" s="1"/>
  <c r="R89" i="4"/>
  <c r="R82" i="4"/>
  <c r="R376" i="4"/>
  <c r="R267" i="4"/>
  <c r="R63" i="4"/>
  <c r="R337" i="4"/>
  <c r="R389" i="4"/>
  <c r="R187" i="4"/>
  <c r="R120" i="4"/>
  <c r="R235" i="4"/>
  <c r="R93" i="4"/>
  <c r="R281" i="4"/>
  <c r="R165" i="4"/>
  <c r="R169" i="4"/>
  <c r="R209" i="4"/>
  <c r="R369" i="4"/>
  <c r="R193" i="4"/>
  <c r="R156" i="4"/>
  <c r="H491" i="4"/>
  <c r="J491" i="4" s="1"/>
  <c r="R72" i="4"/>
  <c r="R113" i="4"/>
  <c r="R397" i="4"/>
  <c r="R341" i="4"/>
  <c r="H494" i="4"/>
  <c r="J494" i="4" s="1"/>
  <c r="R145" i="4"/>
  <c r="R364" i="4"/>
  <c r="R61" i="4"/>
  <c r="R227" i="4"/>
  <c r="R141" i="4"/>
  <c r="R305" i="4"/>
  <c r="R231" i="4"/>
  <c r="R351" i="4"/>
  <c r="R228" i="4"/>
  <c r="R221" i="4"/>
  <c r="R296" i="4"/>
  <c r="R294" i="4"/>
  <c r="R257" i="4"/>
  <c r="R117" i="4"/>
  <c r="R50" i="4"/>
  <c r="R268" i="4"/>
  <c r="R419" i="4"/>
  <c r="R237" i="4"/>
  <c r="R129" i="4"/>
  <c r="R131" i="4"/>
  <c r="R64" i="4"/>
  <c r="R183" i="4"/>
  <c r="R301" i="4"/>
  <c r="R411" i="4"/>
  <c r="R112" i="4"/>
  <c r="R474" i="4"/>
  <c r="R258" i="4"/>
  <c r="R179" i="4"/>
  <c r="R90" i="4"/>
  <c r="R443" i="4"/>
  <c r="R277" i="4"/>
  <c r="R433" i="4"/>
  <c r="R243" i="4"/>
  <c r="R233" i="4"/>
  <c r="R377" i="4"/>
  <c r="R81" i="4"/>
  <c r="R295" i="4"/>
  <c r="R361" i="4"/>
  <c r="R372" i="4"/>
  <c r="R263" i="4"/>
  <c r="R215" i="4"/>
  <c r="R287" i="4"/>
  <c r="R185" i="4"/>
  <c r="R204" i="4"/>
  <c r="R251" i="4"/>
  <c r="R434" i="4"/>
  <c r="R186" i="4"/>
  <c r="R379" i="4"/>
  <c r="R371" i="4"/>
  <c r="R177" i="4"/>
  <c r="R329" i="4"/>
  <c r="R65" i="4"/>
  <c r="R289" i="4"/>
  <c r="R323" i="4"/>
  <c r="R431" i="4"/>
  <c r="R191" i="4"/>
  <c r="R291" i="4"/>
  <c r="R327" i="4"/>
  <c r="R338" i="4"/>
  <c r="R207" i="4"/>
  <c r="R275" i="4"/>
  <c r="R161" i="4"/>
  <c r="R62" i="4"/>
  <c r="R171" i="4"/>
  <c r="R167" i="4"/>
  <c r="R386" i="4"/>
  <c r="R78" i="4"/>
  <c r="R451" i="4"/>
  <c r="R375" i="4"/>
  <c r="R317" i="4"/>
  <c r="R189" i="4"/>
  <c r="R137" i="4"/>
  <c r="R153" i="4"/>
  <c r="R271" i="4"/>
  <c r="R172" i="4"/>
  <c r="R104" i="4"/>
  <c r="R197" i="4"/>
  <c r="R352" i="4"/>
  <c r="R124" i="4"/>
  <c r="R312" i="4"/>
  <c r="R362" i="4"/>
  <c r="R261" i="4"/>
  <c r="R208" i="4"/>
  <c r="R384" i="4"/>
  <c r="R77" i="4"/>
  <c r="R70" i="4"/>
  <c r="R353" i="4"/>
  <c r="R85" i="4"/>
  <c r="R342" i="4"/>
  <c r="R393" i="4"/>
  <c r="R300" i="4"/>
  <c r="R321" i="4"/>
  <c r="R367" i="4"/>
  <c r="R158" i="4"/>
  <c r="R217" i="4"/>
  <c r="R259" i="4"/>
  <c r="R410" i="4"/>
  <c r="R401" i="4"/>
  <c r="R303" i="4"/>
  <c r="R331" i="4"/>
  <c r="R292" i="4"/>
  <c r="R357" i="4"/>
  <c r="R68" i="4"/>
  <c r="R360" i="4"/>
  <c r="R245" i="4"/>
  <c r="R216" i="4"/>
  <c r="R373" i="4"/>
  <c r="R219" i="4"/>
  <c r="R359" i="4"/>
  <c r="R387" i="4"/>
  <c r="R58" i="4"/>
  <c r="R385" i="4"/>
  <c r="R96" i="4"/>
  <c r="R313" i="4"/>
  <c r="R403" i="4"/>
  <c r="R346" i="4"/>
  <c r="R223" i="4"/>
  <c r="R457" i="4"/>
  <c r="R155" i="4"/>
  <c r="R339" i="4"/>
  <c r="R213" i="4"/>
  <c r="R297" i="4"/>
  <c r="R201" i="4"/>
  <c r="R315" i="4"/>
  <c r="R255" i="4"/>
  <c r="R408" i="4"/>
  <c r="R396" i="4"/>
  <c r="R388" i="4"/>
  <c r="R163" i="4"/>
  <c r="R181" i="4"/>
  <c r="R241" i="4"/>
  <c r="R283" i="4"/>
  <c r="R200" i="4"/>
  <c r="R318" i="4"/>
  <c r="L43" i="4"/>
  <c r="P43" i="4" s="1"/>
  <c r="Q43" i="4" s="1"/>
  <c r="L46" i="4"/>
  <c r="P46" i="4" s="1"/>
  <c r="Q46" i="4" s="1"/>
  <c r="L39" i="4"/>
  <c r="P39" i="4" s="1"/>
  <c r="Q39" i="4" s="1"/>
  <c r="R10" i="4" s="1"/>
  <c r="L4" i="4"/>
  <c r="P4" i="4" s="1"/>
  <c r="Q4" i="4" s="1"/>
  <c r="L16" i="4"/>
  <c r="P16" i="4" s="1"/>
  <c r="Q16" i="4" s="1"/>
  <c r="R16" i="4" s="1"/>
  <c r="L11" i="4"/>
  <c r="P11" i="4" s="1"/>
  <c r="Q11" i="4" s="1"/>
  <c r="R49" i="4" s="1"/>
  <c r="L40" i="4"/>
  <c r="P40" i="4" s="1"/>
  <c r="Q40" i="4" s="1"/>
  <c r="L36" i="4"/>
  <c r="P36" i="4" s="1"/>
  <c r="Q36" i="4" s="1"/>
  <c r="R492" i="4" s="1"/>
  <c r="L8" i="4"/>
  <c r="P8" i="4" s="1"/>
  <c r="Q8" i="4" s="1"/>
  <c r="R477" i="4" s="1"/>
  <c r="L15" i="4"/>
  <c r="P15" i="4" s="1"/>
  <c r="Q15" i="4" s="1"/>
  <c r="R493" i="4" s="1"/>
  <c r="L35" i="4"/>
  <c r="P35" i="4" s="1"/>
  <c r="Q35" i="4" s="1"/>
  <c r="L19" i="4"/>
  <c r="P19" i="4" s="1"/>
  <c r="Q19" i="4" s="1"/>
  <c r="L30" i="4"/>
  <c r="P30" i="4" s="1"/>
  <c r="Q30" i="4" s="1"/>
  <c r="R55" i="4" s="1"/>
  <c r="L27" i="4"/>
  <c r="P27" i="4" s="1"/>
  <c r="Q27" i="4" s="1"/>
  <c r="L28" i="4"/>
  <c r="P28" i="4" s="1"/>
  <c r="Q28" i="4" s="1"/>
  <c r="L25" i="4"/>
  <c r="P25" i="4" s="1"/>
  <c r="Q25" i="4" s="1"/>
  <c r="D41" i="4"/>
  <c r="L41" i="4" s="1"/>
  <c r="P41" i="4" s="1"/>
  <c r="Q41" i="4" s="1"/>
  <c r="L18" i="4"/>
  <c r="P18" i="4" s="1"/>
  <c r="Q18" i="4" s="1"/>
  <c r="R455" i="4" s="1"/>
  <c r="D38" i="4"/>
  <c r="L38" i="4" s="1"/>
  <c r="P38" i="4" s="1"/>
  <c r="Q38" i="4" s="1"/>
  <c r="R489" i="4" s="1"/>
  <c r="L6" i="4"/>
  <c r="P6" i="4" s="1"/>
  <c r="Q6" i="4" s="1"/>
  <c r="R31" i="4" s="1"/>
  <c r="L42" i="4"/>
  <c r="P42" i="4" s="1"/>
  <c r="Q42" i="4" s="1"/>
  <c r="R48" i="4" s="1"/>
  <c r="L54" i="4"/>
  <c r="P54" i="4" s="1"/>
  <c r="Q54" i="4" s="1"/>
  <c r="R29" i="4" l="1"/>
  <c r="R27" i="4"/>
  <c r="R17" i="4"/>
  <c r="R26" i="4"/>
  <c r="R9" i="4"/>
  <c r="R448" i="4"/>
  <c r="R475" i="4"/>
  <c r="R479" i="4"/>
  <c r="R21" i="4"/>
  <c r="R495" i="4"/>
  <c r="R15" i="4"/>
  <c r="R450" i="4"/>
  <c r="R8" i="4"/>
  <c r="R23" i="4"/>
  <c r="R34" i="4"/>
  <c r="R12" i="4"/>
  <c r="R30" i="4"/>
  <c r="R36" i="4"/>
  <c r="R454" i="4"/>
  <c r="R453" i="4"/>
  <c r="R487" i="4"/>
  <c r="R494" i="4"/>
  <c r="R468" i="4"/>
  <c r="R466" i="4"/>
  <c r="R24" i="4"/>
  <c r="R14" i="4"/>
  <c r="R42" i="4"/>
  <c r="R25" i="4"/>
  <c r="R19" i="4"/>
  <c r="R20" i="4"/>
  <c r="R485" i="4"/>
  <c r="R459" i="4"/>
  <c r="R473" i="4"/>
  <c r="R478" i="4"/>
  <c r="R471" i="4"/>
  <c r="R43" i="4"/>
  <c r="R488" i="4"/>
  <c r="R482" i="4"/>
  <c r="R497" i="4"/>
  <c r="R480" i="4"/>
  <c r="R464" i="4"/>
  <c r="R51" i="4"/>
  <c r="R37" i="4"/>
  <c r="R44" i="4"/>
  <c r="R22" i="4"/>
  <c r="R46" i="4"/>
  <c r="R52" i="4"/>
  <c r="R4" i="4"/>
  <c r="R47" i="4"/>
  <c r="R35" i="4"/>
  <c r="R40" i="4"/>
  <c r="R13" i="4"/>
  <c r="R39" i="4"/>
  <c r="R7" i="4"/>
  <c r="R33" i="4"/>
  <c r="R45" i="4"/>
  <c r="R32" i="4"/>
  <c r="R56" i="4"/>
  <c r="R18" i="4"/>
  <c r="R469" i="4"/>
  <c r="R11" i="4"/>
  <c r="R452" i="4"/>
  <c r="R41" i="4"/>
  <c r="R491" i="4"/>
  <c r="R463" i="4"/>
  <c r="R458" i="4"/>
  <c r="R486" i="4"/>
  <c r="R490" i="4"/>
  <c r="R465" i="4"/>
  <c r="R470" i="4"/>
  <c r="R496" i="4"/>
  <c r="R472" i="4"/>
  <c r="R449" i="4"/>
  <c r="R6" i="4"/>
  <c r="R38" i="4"/>
  <c r="R460" i="4"/>
  <c r="R28" i="4"/>
  <c r="R481" i="4"/>
  <c r="R462" i="4"/>
  <c r="R467" i="4"/>
  <c r="R456" i="4"/>
  <c r="R484" i="4"/>
  <c r="R461" i="4"/>
  <c r="R54" i="4"/>
  <c r="R476" i="4"/>
</calcChain>
</file>

<file path=xl/comments1.xml><?xml version="1.0" encoding="utf-8"?>
<comments xmlns="http://schemas.openxmlformats.org/spreadsheetml/2006/main">
  <authors>
    <author>laurent lair</author>
  </authors>
  <commentList>
    <comment ref="CX3" authorId="0" shapeId="0">
      <text>
        <r>
          <rPr>
            <b/>
            <sz val="9"/>
            <color indexed="81"/>
            <rFont val="Tahoma"/>
            <family val="2"/>
          </rPr>
          <t>laurent lair:</t>
        </r>
        <r>
          <rPr>
            <sz val="9"/>
            <color indexed="81"/>
            <rFont val="Tahoma"/>
            <family val="2"/>
          </rPr>
          <t xml:space="preserve">
Les locations (comptes 613)
Le loyer versé qu’il soit mobilier (location d’un véhicule, d’un matériel) ou immobilier (location de locaux à usage professionnel) est une charge et doit être enregistré en compte 613 (et plus exactement en compte 6132 pour les locations immobilières et le compte 6135 pour les locations mobilières). La comptabilisation des locations mobilières et immobilières suit un schéma précis.
Remarque : le dépôt de garantie éventuellement versé au début de la location (par exemple, la caution de 3 mois de loyers dans le cadre d’un bail commercial) constitue une immobilisation financière qu’il convient d’enregistrer en compte 275.
Les charges locatives (comptes 614)
Doivent être comptabilisées dans le compte 614 toutes les charges résultant d’un contrat de location (bail commercial, bail professionnel) conclu entre un propriétaire et son locataire, quelle que soit la nature des dépenses (électricité, gaz, taxe foncière, taxe d’enlèvement des ordures ménagères). Pour plus d’informations : la comptabilisation des charges locatives et de copropriété. Lorsqu’elles sont prises à la charge de l’entreprise de manière directe (C’est en général le cas lorsque l’entreprise est propriétaire de ses locaux par exemple), elles doivent être comptabilisées dans le compte 60 « Achats » (pour plus d’informations : comptabiliser une facture d’eau, d’électricité ou de gaz).
Les travaux d’entretien et de réparations (comptes 615)</t>
        </r>
      </text>
    </comment>
    <comment ref="DD3" authorId="0" shapeId="0">
      <text>
        <r>
          <rPr>
            <b/>
            <sz val="9"/>
            <color indexed="81"/>
            <rFont val="Tahoma"/>
            <family val="2"/>
          </rPr>
          <t>laurent lair:</t>
        </r>
        <r>
          <rPr>
            <sz val="9"/>
            <color indexed="81"/>
            <rFont val="Tahoma"/>
            <family val="2"/>
          </rPr>
          <t xml:space="preserve">
Ce poste de charges comprend l’ensemble des dépenses liées à l’entretien et à la réparation des locaux professionnels (compte 6152) mais aussi de tout bien matériel appartenant à l’entreprise (compte 6155). Figurent également dans ce poste les prestations de maintenance informatique (compte 6156).
Remarque : lorsque des dépenses ont pour effet d’augmenter la durée de vie (au-delà de 12 mois) d’un bien figurant à l’actif de la société, celles-ci doivent être comptabilisées en immobilisation et non en compte 615. Le compte 615 peut également être utilisé dans certains cas afin de comptabiliser les franchises d’assurance.</t>
        </r>
      </text>
    </comment>
    <comment ref="GF3" authorId="0" shapeId="0">
      <text>
        <r>
          <rPr>
            <b/>
            <sz val="9"/>
            <color indexed="81"/>
            <rFont val="Tahoma"/>
            <family val="2"/>
          </rPr>
          <t>laurent lair:</t>
        </r>
        <r>
          <rPr>
            <sz val="9"/>
            <color indexed="81"/>
            <rFont val="Tahoma"/>
            <family val="2"/>
          </rPr>
          <t xml:space="preserve">
+ résultat des exercices antérieurs compte 672</t>
        </r>
      </text>
    </comment>
    <comment ref="B5" authorId="0" shapeId="0">
      <text>
        <r>
          <rPr>
            <b/>
            <sz val="9"/>
            <color indexed="81"/>
            <rFont val="Tahoma"/>
            <family val="2"/>
          </rPr>
          <t>laurent lair:</t>
        </r>
        <r>
          <rPr>
            <sz val="9"/>
            <color indexed="81"/>
            <rFont val="Tahoma"/>
            <family val="2"/>
          </rPr>
          <t xml:space="preserve">
Nom du cinéma
</t>
        </r>
      </text>
    </comment>
    <comment ref="F5" authorId="0" shapeId="0">
      <text>
        <r>
          <rPr>
            <b/>
            <sz val="9"/>
            <color indexed="81"/>
            <rFont val="Tahoma"/>
            <family val="2"/>
          </rPr>
          <t>laurent lair:</t>
        </r>
        <r>
          <rPr>
            <sz val="9"/>
            <color indexed="81"/>
            <rFont val="Tahoma"/>
            <family val="2"/>
          </rPr>
          <t xml:space="preserve">
Durée de l'exercice
</t>
        </r>
      </text>
    </comment>
    <comment ref="R5" authorId="0" shapeId="0">
      <text>
        <r>
          <rPr>
            <b/>
            <sz val="9"/>
            <color indexed="81"/>
            <rFont val="Tahoma"/>
            <family val="2"/>
          </rPr>
          <t>laurent lair:</t>
        </r>
        <r>
          <rPr>
            <sz val="9"/>
            <color indexed="81"/>
            <rFont val="Tahoma"/>
            <family val="2"/>
          </rPr>
          <t xml:space="preserve">
Total du chiffre d'affaire net + Autres produits d'exploitation situé à la suite </t>
        </r>
      </text>
    </comment>
    <comment ref="T5" authorId="0" shapeId="0">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AC5" authorId="0" shapeId="0">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AF5" authorId="0" shapeId="0">
      <text>
        <r>
          <rPr>
            <b/>
            <sz val="9"/>
            <color indexed="81"/>
            <rFont val="Tahoma"/>
            <family val="2"/>
          </rPr>
          <t>laurent lair:</t>
        </r>
        <r>
          <rPr>
            <sz val="9"/>
            <color indexed="81"/>
            <rFont val="Tahoma"/>
            <family val="2"/>
          </rPr>
          <t xml:space="preserve">
Recettes déccouverte du monde</t>
        </r>
      </text>
    </comment>
    <comment ref="AL5" authorId="0" shapeId="0">
      <text>
        <r>
          <rPr>
            <b/>
            <sz val="9"/>
            <color indexed="81"/>
            <rFont val="Tahoma"/>
            <family val="2"/>
          </rPr>
          <t>laurent lair:</t>
        </r>
        <r>
          <rPr>
            <sz val="9"/>
            <color indexed="81"/>
            <rFont val="Tahoma"/>
            <family val="2"/>
          </rPr>
          <t xml:space="preserve">
compte 708: produits de service des activités annexes ( location de sallet, pub etc…)</t>
        </r>
      </text>
    </comment>
    <comment ref="AN5" authorId="0" shapeId="0">
      <text>
        <r>
          <rPr>
            <b/>
            <sz val="9"/>
            <color indexed="81"/>
            <rFont val="Tahoma"/>
            <family val="2"/>
          </rPr>
          <t>laurent lair:</t>
        </r>
        <r>
          <rPr>
            <sz val="9"/>
            <color indexed="81"/>
            <rFont val="Tahoma"/>
            <family val="2"/>
          </rPr>
          <t xml:space="preserve">
Compte: 7082 (apporteur d'affaire)</t>
        </r>
      </text>
    </comment>
    <comment ref="AO5" authorId="0" shapeId="0">
      <text>
        <r>
          <rPr>
            <b/>
            <sz val="9"/>
            <color indexed="81"/>
            <rFont val="Tahoma"/>
            <family val="2"/>
          </rPr>
          <t>laurent lair:</t>
        </r>
        <r>
          <rPr>
            <sz val="9"/>
            <color indexed="81"/>
            <rFont val="Tahoma"/>
            <family val="2"/>
          </rPr>
          <t xml:space="preserve">
Compte 7088</t>
        </r>
      </text>
    </comment>
    <comment ref="AP5" authorId="0" shapeId="0">
      <text>
        <r>
          <rPr>
            <b/>
            <sz val="9"/>
            <color indexed="81"/>
            <rFont val="Tahoma"/>
            <family val="2"/>
          </rPr>
          <t>laurent lair:</t>
        </r>
        <r>
          <rPr>
            <sz val="9"/>
            <color indexed="81"/>
            <rFont val="Tahoma"/>
            <family val="2"/>
          </rPr>
          <t xml:space="preserve">
compte 7083</t>
        </r>
      </text>
    </comment>
    <comment ref="BA5" authorId="0" shapeId="0">
      <text>
        <r>
          <rPr>
            <b/>
            <sz val="9"/>
            <color indexed="81"/>
            <rFont val="Tahoma"/>
            <family val="2"/>
          </rPr>
          <t>laurent lair:</t>
        </r>
        <r>
          <rPr>
            <sz val="9"/>
            <color indexed="81"/>
            <rFont val="Tahoma"/>
            <family val="2"/>
          </rPr>
          <t xml:space="preserve">
compte: 79</t>
        </r>
      </text>
    </comment>
    <comment ref="BB5" authorId="0" shapeId="0">
      <text>
        <r>
          <rPr>
            <b/>
            <sz val="9"/>
            <color indexed="81"/>
            <rFont val="Tahoma"/>
            <family val="2"/>
          </rPr>
          <t>laurent lair:</t>
        </r>
        <r>
          <rPr>
            <sz val="9"/>
            <color indexed="81"/>
            <rFont val="Tahoma"/>
            <family val="2"/>
          </rPr>
          <t xml:space="preserve">
compte 79</t>
        </r>
      </text>
    </comment>
    <comment ref="CJ5" authorId="0" shapeId="0">
      <text>
        <r>
          <rPr>
            <b/>
            <sz val="9"/>
            <color indexed="81"/>
            <rFont val="Tahoma"/>
            <family val="2"/>
          </rPr>
          <t>laurent lair:</t>
        </r>
        <r>
          <rPr>
            <sz val="9"/>
            <color indexed="81"/>
            <rFont val="Tahoma"/>
            <family val="2"/>
          </rPr>
          <t xml:space="preserve">
Compte: 604</t>
        </r>
      </text>
    </comment>
    <comment ref="CK5" authorId="0" shapeId="0">
      <text>
        <r>
          <rPr>
            <b/>
            <sz val="9"/>
            <color indexed="81"/>
            <rFont val="Tahoma"/>
            <family val="2"/>
          </rPr>
          <t>laurent lair:</t>
        </r>
        <r>
          <rPr>
            <sz val="9"/>
            <color indexed="81"/>
            <rFont val="Tahoma"/>
            <family val="2"/>
          </rPr>
          <t xml:space="preserve">
604
</t>
        </r>
      </text>
    </comment>
    <comment ref="CQ5" authorId="0" shapeId="0">
      <text>
        <r>
          <rPr>
            <b/>
            <sz val="9"/>
            <color indexed="81"/>
            <rFont val="Tahoma"/>
            <family val="2"/>
          </rPr>
          <t>laurent lair:</t>
        </r>
        <r>
          <rPr>
            <sz val="9"/>
            <color indexed="81"/>
            <rFont val="Tahoma"/>
            <family val="2"/>
          </rPr>
          <t xml:space="preserve">
Compte 6061</t>
        </r>
      </text>
    </comment>
    <comment ref="CU5" authorId="0" shapeId="0">
      <text>
        <r>
          <rPr>
            <b/>
            <sz val="9"/>
            <color indexed="81"/>
            <rFont val="Tahoma"/>
            <family val="2"/>
          </rPr>
          <t>laurent lair:</t>
        </r>
        <r>
          <rPr>
            <sz val="9"/>
            <color indexed="81"/>
            <rFont val="Tahoma"/>
            <family val="2"/>
          </rPr>
          <t xml:space="preserve">
Compte: )6063</t>
        </r>
      </text>
    </comment>
    <comment ref="CY5" authorId="0" shapeId="0">
      <text>
        <r>
          <rPr>
            <b/>
            <sz val="9"/>
            <color indexed="81"/>
            <rFont val="Tahoma"/>
            <family val="2"/>
          </rPr>
          <t>laurent lair:</t>
        </r>
        <r>
          <rPr>
            <sz val="9"/>
            <color indexed="81"/>
            <rFont val="Tahoma"/>
            <family val="2"/>
          </rPr>
          <t xml:space="preserve">
Compte: 611</t>
        </r>
      </text>
    </comment>
    <comment ref="CZ5" authorId="0" shapeId="0">
      <text>
        <r>
          <rPr>
            <b/>
            <sz val="9"/>
            <color indexed="81"/>
            <rFont val="Tahoma"/>
            <family val="2"/>
          </rPr>
          <t>laurent lair:</t>
        </r>
        <r>
          <rPr>
            <sz val="9"/>
            <color indexed="81"/>
            <rFont val="Tahoma"/>
            <family val="2"/>
          </rPr>
          <t xml:space="preserve">
Compte 6132</t>
        </r>
      </text>
    </comment>
    <comment ref="DA5" authorId="0" shapeId="0">
      <text>
        <r>
          <rPr>
            <b/>
            <sz val="9"/>
            <color indexed="81"/>
            <rFont val="Tahoma"/>
            <family val="2"/>
          </rPr>
          <t>laurent lair:</t>
        </r>
        <r>
          <rPr>
            <sz val="9"/>
            <color indexed="81"/>
            <rFont val="Tahoma"/>
            <family val="2"/>
          </rPr>
          <t xml:space="preserve">
Compte: 6135</t>
        </r>
      </text>
    </comment>
    <comment ref="DB5" authorId="0" shapeId="0">
      <text>
        <r>
          <rPr>
            <b/>
            <sz val="9"/>
            <color indexed="81"/>
            <rFont val="Tahoma"/>
            <family val="2"/>
          </rPr>
          <t>laurent lair:</t>
        </r>
        <r>
          <rPr>
            <sz val="9"/>
            <color indexed="81"/>
            <rFont val="Tahoma"/>
            <family val="2"/>
          </rPr>
          <t xml:space="preserve">
Location de services de transactions monétaires ( TPE) et maintenance </t>
        </r>
      </text>
    </comment>
    <comment ref="DD5" authorId="0" shapeId="0">
      <text>
        <r>
          <rPr>
            <b/>
            <sz val="9"/>
            <color indexed="81"/>
            <rFont val="Tahoma"/>
            <family val="2"/>
          </rPr>
          <t>laurent lair:</t>
        </r>
        <r>
          <rPr>
            <sz val="9"/>
            <color indexed="81"/>
            <rFont val="Tahoma"/>
            <family val="2"/>
          </rPr>
          <t xml:space="preserve">
Peut contenir des frais services sous traités </t>
        </r>
      </text>
    </comment>
    <comment ref="DE5" authorId="0" shapeId="0">
      <text>
        <r>
          <rPr>
            <b/>
            <sz val="9"/>
            <color indexed="81"/>
            <rFont val="Tahoma"/>
            <family val="2"/>
          </rPr>
          <t>laurent lair:</t>
        </r>
        <r>
          <rPr>
            <sz val="9"/>
            <color indexed="81"/>
            <rFont val="Tahoma"/>
            <family val="2"/>
          </rPr>
          <t xml:space="preserve">
</t>
        </r>
      </text>
    </comment>
    <comment ref="DF5" authorId="0" shapeId="0">
      <text>
        <r>
          <rPr>
            <b/>
            <sz val="9"/>
            <color indexed="81"/>
            <rFont val="Tahoma"/>
            <family val="2"/>
          </rPr>
          <t>laurent lair:</t>
        </r>
        <r>
          <rPr>
            <sz val="9"/>
            <color indexed="81"/>
            <rFont val="Tahoma"/>
            <family val="2"/>
          </rPr>
          <t xml:space="preserve">
Espaces verts, parking etc..</t>
        </r>
      </text>
    </comment>
    <comment ref="DG5" authorId="0" shapeId="0">
      <text>
        <r>
          <rPr>
            <b/>
            <sz val="9"/>
            <color indexed="81"/>
            <rFont val="Tahoma"/>
            <family val="2"/>
          </rPr>
          <t>laurent lair:</t>
        </r>
        <r>
          <rPr>
            <sz val="9"/>
            <color indexed="81"/>
            <rFont val="Tahoma"/>
            <family val="2"/>
          </rPr>
          <t xml:space="preserve">
Travaux installations électrique, agencement, etc...</t>
        </r>
      </text>
    </comment>
    <comment ref="DQ5" authorId="0" shapeId="0">
      <text>
        <r>
          <rPr>
            <b/>
            <sz val="9"/>
            <color indexed="81"/>
            <rFont val="Tahoma"/>
            <family val="2"/>
          </rPr>
          <t>laurent lair:</t>
        </r>
        <r>
          <rPr>
            <sz val="9"/>
            <color indexed="81"/>
            <rFont val="Tahoma"/>
            <family val="2"/>
          </rPr>
          <t xml:space="preserve">
compte: 616</t>
        </r>
      </text>
    </comment>
    <comment ref="DR5" authorId="0" shapeId="0">
      <text>
        <r>
          <rPr>
            <b/>
            <sz val="9"/>
            <color indexed="81"/>
            <rFont val="Tahoma"/>
            <family val="2"/>
          </rPr>
          <t>laurent lair:</t>
        </r>
        <r>
          <rPr>
            <sz val="9"/>
            <color indexed="81"/>
            <rFont val="Tahoma"/>
            <family val="2"/>
          </rPr>
          <t xml:space="preserve">
compte 6185</t>
        </r>
      </text>
    </comment>
    <comment ref="DX5" authorId="0" shapeId="0">
      <text>
        <r>
          <rPr>
            <b/>
            <sz val="9"/>
            <color indexed="81"/>
            <rFont val="Tahoma"/>
            <family val="2"/>
          </rPr>
          <t>laurent lair:</t>
        </r>
        <r>
          <rPr>
            <sz val="9"/>
            <color indexed="81"/>
            <rFont val="Tahoma"/>
            <family val="2"/>
          </rPr>
          <t xml:space="preserve">
Compte: 6221</t>
        </r>
      </text>
    </comment>
    <comment ref="DY5" authorId="0" shapeId="0">
      <text>
        <r>
          <rPr>
            <b/>
            <sz val="9"/>
            <color indexed="81"/>
            <rFont val="Tahoma"/>
            <family val="2"/>
          </rPr>
          <t>laurent lair:</t>
        </r>
        <r>
          <rPr>
            <sz val="9"/>
            <color indexed="81"/>
            <rFont val="Tahoma"/>
            <family val="2"/>
          </rPr>
          <t xml:space="preserve">
compte :6222</t>
        </r>
      </text>
    </comment>
    <comment ref="DZ5" authorId="0" shapeId="0">
      <text>
        <r>
          <rPr>
            <b/>
            <sz val="9"/>
            <color indexed="81"/>
            <rFont val="Tahoma"/>
            <family val="2"/>
          </rPr>
          <t>laurent lair:</t>
        </r>
        <r>
          <rPr>
            <sz val="9"/>
            <color indexed="81"/>
            <rFont val="Tahoma"/>
            <family val="2"/>
          </rPr>
          <t xml:space="preserve">
laurent lair:
ou honoraires cac          ( comissaire au compte )</t>
        </r>
      </text>
    </comment>
    <comment ref="EA5" authorId="0" shapeId="0">
      <text>
        <r>
          <rPr>
            <b/>
            <sz val="9"/>
            <color indexed="81"/>
            <rFont val="Tahoma"/>
            <family val="2"/>
          </rPr>
          <t>laurent lair:</t>
        </r>
        <r>
          <rPr>
            <sz val="9"/>
            <color indexed="81"/>
            <rFont val="Tahoma"/>
            <family val="2"/>
          </rPr>
          <t xml:space="preserve">
+ frais d'acte contentieux (6227)</t>
        </r>
      </text>
    </comment>
    <comment ref="ED5" authorId="0" shapeId="0">
      <text>
        <r>
          <rPr>
            <b/>
            <sz val="9"/>
            <color indexed="81"/>
            <rFont val="Tahoma"/>
            <family val="2"/>
          </rPr>
          <t>laurent lair:</t>
        </r>
        <r>
          <rPr>
            <sz val="9"/>
            <color indexed="81"/>
            <rFont val="Tahoma"/>
            <family val="2"/>
          </rPr>
          <t xml:space="preserve">
affichage dans les rues 
comptes :623</t>
        </r>
      </text>
    </comment>
    <comment ref="EE5" authorId="0" shapeId="0">
      <text>
        <r>
          <rPr>
            <b/>
            <sz val="9"/>
            <color indexed="81"/>
            <rFont val="Tahoma"/>
            <family val="2"/>
          </rPr>
          <t>laurent lair:</t>
        </r>
        <r>
          <rPr>
            <sz val="9"/>
            <color indexed="81"/>
            <rFont val="Tahoma"/>
            <family val="2"/>
          </rPr>
          <t xml:space="preserve">
Annonce et pub journaux internet etc.. 
Compte:623</t>
        </r>
      </text>
    </comment>
    <comment ref="EG5" authorId="0" shapeId="0">
      <text>
        <r>
          <rPr>
            <b/>
            <sz val="9"/>
            <color indexed="81"/>
            <rFont val="Tahoma"/>
            <family val="2"/>
          </rPr>
          <t>laurent lair:</t>
        </r>
        <r>
          <rPr>
            <sz val="9"/>
            <color indexed="81"/>
            <rFont val="Tahoma"/>
            <family val="2"/>
          </rPr>
          <t xml:space="preserve">
6231</t>
        </r>
      </text>
    </comment>
    <comment ref="FK5" authorId="0" shapeId="0">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FL5" authorId="0" shapeId="0">
      <text>
        <r>
          <rPr>
            <b/>
            <sz val="9"/>
            <color indexed="81"/>
            <rFont val="Tahoma"/>
            <family val="2"/>
          </rPr>
          <t>laurent lair:</t>
        </r>
        <r>
          <rPr>
            <sz val="9"/>
            <color indexed="81"/>
            <rFont val="Tahoma"/>
            <family val="2"/>
          </rPr>
          <t xml:space="preserve">
Compte :63512</t>
        </r>
      </text>
    </comment>
    <comment ref="BR6" authorId="0" shapeId="0">
      <text>
        <r>
          <rPr>
            <b/>
            <sz val="9"/>
            <color indexed="81"/>
            <rFont val="Tahoma"/>
            <family val="2"/>
          </rPr>
          <t>laurent lair:</t>
        </r>
        <r>
          <rPr>
            <sz val="9"/>
            <color indexed="81"/>
            <rFont val="Tahoma"/>
            <family val="2"/>
          </rPr>
          <t xml:space="preserve">
Différence de 105273 du à la TSA</t>
        </r>
      </text>
    </comment>
    <comment ref="AD7" authorId="0" shapeId="0">
      <text>
        <r>
          <rPr>
            <b/>
            <sz val="9"/>
            <color indexed="81"/>
            <rFont val="Tahoma"/>
            <family val="2"/>
          </rPr>
          <t>laurent lair:
TSA déduite</t>
        </r>
      </text>
    </comment>
    <comment ref="BR7" authorId="0" shapeId="0">
      <text>
        <r>
          <rPr>
            <b/>
            <sz val="9"/>
            <color indexed="81"/>
            <rFont val="Tahoma"/>
            <family val="2"/>
          </rPr>
          <t>laurent lair:</t>
        </r>
        <r>
          <rPr>
            <sz val="9"/>
            <color indexed="81"/>
            <rFont val="Tahoma"/>
            <family val="2"/>
          </rPr>
          <t xml:space="preserve">
Différence de 97854 du à la TSA</t>
        </r>
      </text>
    </comment>
    <comment ref="AI31" authorId="0" shapeId="0">
      <text>
        <r>
          <rPr>
            <b/>
            <sz val="9"/>
            <color indexed="81"/>
            <rFont val="Tahoma"/>
            <family val="2"/>
          </rPr>
          <t>laurent lair:</t>
        </r>
        <r>
          <rPr>
            <sz val="9"/>
            <color indexed="81"/>
            <rFont val="Tahoma"/>
            <family val="2"/>
          </rPr>
          <t xml:space="preserve">
entrée CF CE scolaire</t>
        </r>
      </text>
    </comment>
    <comment ref="AC33" authorId="0" shapeId="0">
      <text>
        <r>
          <rPr>
            <b/>
            <sz val="9"/>
            <color indexed="81"/>
            <rFont val="Tahoma"/>
            <family val="2"/>
          </rPr>
          <t>laurent lair:</t>
        </r>
        <r>
          <rPr>
            <sz val="9"/>
            <color indexed="81"/>
            <rFont val="Tahoma"/>
            <family val="2"/>
          </rPr>
          <t xml:space="preserve">
TSA déduite
</t>
        </r>
      </text>
    </comment>
    <comment ref="DV33" authorId="0" shapeId="0">
      <text>
        <r>
          <rPr>
            <b/>
            <sz val="9"/>
            <color indexed="81"/>
            <rFont val="Tahoma"/>
            <family val="2"/>
          </rPr>
          <t>laurent lair:</t>
        </r>
        <r>
          <rPr>
            <sz val="9"/>
            <color indexed="81"/>
            <rFont val="Tahoma"/>
            <family val="2"/>
          </rPr>
          <t xml:space="preserve">
prestation conférencier pourl les deux annnées
</t>
        </r>
      </text>
    </comment>
    <comment ref="Q54" authorId="0" shapeId="0">
      <text>
        <r>
          <rPr>
            <b/>
            <sz val="9"/>
            <color indexed="81"/>
            <rFont val="Tahoma"/>
            <family val="2"/>
          </rPr>
          <t>laurent lair:</t>
        </r>
        <r>
          <rPr>
            <sz val="9"/>
            <color indexed="81"/>
            <rFont val="Tahoma"/>
            <family val="2"/>
          </rPr>
          <t xml:space="preserve">
décalage du à la on prise en compte du bar à soupe et de la TSA , plus les frais de photocopieurs concernant une autre activité
</t>
        </r>
      </text>
    </comment>
    <comment ref="AD54" authorId="0" shapeId="0">
      <text>
        <r>
          <rPr>
            <b/>
            <sz val="9"/>
            <color indexed="81"/>
            <rFont val="Tahoma"/>
            <family val="2"/>
          </rPr>
          <t>laurent lair:</t>
        </r>
        <r>
          <rPr>
            <sz val="9"/>
            <color indexed="81"/>
            <rFont val="Tahoma"/>
            <family val="2"/>
          </rPr>
          <t xml:space="preserve">
tsa déduite</t>
        </r>
      </text>
    </comment>
  </commentList>
</comments>
</file>

<file path=xl/comments2.xml><?xml version="1.0" encoding="utf-8"?>
<comments xmlns="http://schemas.openxmlformats.org/spreadsheetml/2006/main">
  <authors>
    <author>laurent lair</author>
  </authors>
  <commentList>
    <comment ref="B3" authorId="0" shapeId="0">
      <text>
        <r>
          <rPr>
            <b/>
            <sz val="9"/>
            <color indexed="81"/>
            <rFont val="Tahoma"/>
            <family val="2"/>
          </rPr>
          <t>laurent lair:</t>
        </r>
        <r>
          <rPr>
            <sz val="9"/>
            <color indexed="81"/>
            <rFont val="Tahoma"/>
            <family val="2"/>
          </rPr>
          <t xml:space="preserve">
Nom du cinéma
</t>
        </r>
      </text>
    </comment>
    <comment ref="F3" authorId="0" shapeId="0">
      <text>
        <r>
          <rPr>
            <b/>
            <sz val="9"/>
            <color indexed="81"/>
            <rFont val="Tahoma"/>
            <family val="2"/>
          </rPr>
          <t>laurent lair:</t>
        </r>
        <r>
          <rPr>
            <sz val="9"/>
            <color indexed="81"/>
            <rFont val="Tahoma"/>
            <family val="2"/>
          </rPr>
          <t xml:space="preserve">
Total du chiffre d'affaire net + Autres produits d'exploitation situé à la suite </t>
        </r>
      </text>
    </comment>
  </commentList>
</comments>
</file>

<file path=xl/comments3.xml><?xml version="1.0" encoding="utf-8"?>
<comments xmlns="http://schemas.openxmlformats.org/spreadsheetml/2006/main">
  <authors>
    <author>laurent lair</author>
  </authors>
  <commentList>
    <comment ref="A30" authorId="0" shapeId="0">
      <text>
        <r>
          <rPr>
            <b/>
            <sz val="9"/>
            <color indexed="81"/>
            <rFont val="Tahoma"/>
            <family val="2"/>
          </rPr>
          <t>laurent lair:</t>
        </r>
        <r>
          <rPr>
            <sz val="9"/>
            <color indexed="81"/>
            <rFont val="Tahoma"/>
            <family val="2"/>
          </rPr>
          <t xml:space="preserve">
EBE/CA</t>
        </r>
      </text>
    </comment>
    <comment ref="A31" authorId="0" shapeId="0">
      <text>
        <r>
          <rPr>
            <b/>
            <sz val="9"/>
            <color indexed="81"/>
            <rFont val="Tahoma"/>
            <family val="2"/>
          </rPr>
          <t>laurent lair:</t>
        </r>
        <r>
          <rPr>
            <sz val="9"/>
            <color indexed="81"/>
            <rFont val="Tahoma"/>
            <family val="2"/>
          </rPr>
          <t xml:space="preserve">
CAF/CA</t>
        </r>
      </text>
    </comment>
    <comment ref="A33" authorId="0" shapeId="0">
      <text>
        <r>
          <rPr>
            <b/>
            <sz val="9"/>
            <color indexed="81"/>
            <rFont val="Tahoma"/>
            <family val="2"/>
          </rPr>
          <t>laurent lair:</t>
        </r>
        <r>
          <rPr>
            <sz val="9"/>
            <color indexed="81"/>
            <rFont val="Tahoma"/>
            <family val="2"/>
          </rPr>
          <t xml:space="preserve">
Résultat d'exploitation /CA</t>
        </r>
      </text>
    </comment>
    <comment ref="A34" authorId="0" shapeId="0">
      <text>
        <r>
          <rPr>
            <b/>
            <sz val="9"/>
            <color indexed="81"/>
            <rFont val="Tahoma"/>
            <family val="2"/>
          </rPr>
          <t>laurent lair:</t>
        </r>
        <r>
          <rPr>
            <sz val="9"/>
            <color indexed="81"/>
            <rFont val="Tahoma"/>
            <family val="2"/>
          </rPr>
          <t xml:space="preserve">
Résultat net /CA</t>
        </r>
      </text>
    </comment>
    <comment ref="A39" authorId="0" shapeId="0">
      <text>
        <r>
          <rPr>
            <b/>
            <sz val="9"/>
            <color indexed="81"/>
            <rFont val="Tahoma"/>
            <family val="2"/>
          </rPr>
          <t>laurent lair:</t>
        </r>
        <r>
          <rPr>
            <sz val="9"/>
            <color indexed="81"/>
            <rFont val="Tahoma"/>
            <family val="2"/>
          </rPr>
          <t xml:space="preserve">
CA/ nombre de salariés</t>
        </r>
      </text>
    </comment>
    <comment ref="A40" authorId="0" shapeId="0">
      <text>
        <r>
          <rPr>
            <b/>
            <sz val="9"/>
            <color indexed="81"/>
            <rFont val="Tahoma"/>
            <family val="2"/>
          </rPr>
          <t>laurent lair:</t>
        </r>
        <r>
          <rPr>
            <sz val="9"/>
            <color indexed="81"/>
            <rFont val="Tahoma"/>
            <family val="2"/>
          </rPr>
          <t xml:space="preserve">
VA/Charges de personnel</t>
        </r>
      </text>
    </comment>
    <comment ref="A41" authorId="0" shapeId="0">
      <text>
        <r>
          <rPr>
            <b/>
            <sz val="9"/>
            <color indexed="81"/>
            <rFont val="Tahoma"/>
            <family val="2"/>
          </rPr>
          <t>laurent lair:</t>
        </r>
        <r>
          <rPr>
            <sz val="9"/>
            <color indexed="81"/>
            <rFont val="Tahoma"/>
            <family val="2"/>
          </rPr>
          <t xml:space="preserve">
Valeur ajouté / nombre de salarié</t>
        </r>
      </text>
    </comment>
  </commentList>
</comments>
</file>

<file path=xl/comments4.xml><?xml version="1.0" encoding="utf-8"?>
<comments xmlns="http://schemas.openxmlformats.org/spreadsheetml/2006/main">
  <authors>
    <author>laurent lair</author>
  </authors>
  <commentList>
    <comment ref="R11" authorId="0" shapeId="0">
      <text>
        <r>
          <rPr>
            <b/>
            <sz val="9"/>
            <color indexed="81"/>
            <rFont val="Tahoma"/>
            <family val="2"/>
          </rPr>
          <t>laurent lair:</t>
        </r>
        <r>
          <rPr>
            <sz val="9"/>
            <color indexed="81"/>
            <rFont val="Tahoma"/>
            <family val="2"/>
          </rPr>
          <t xml:space="preserve">
affichage dans les rues 
comptes :623</t>
        </r>
      </text>
    </comment>
    <comment ref="R13" authorId="0" shapeId="0">
      <text>
        <r>
          <rPr>
            <b/>
            <sz val="9"/>
            <color indexed="81"/>
            <rFont val="Tahoma"/>
            <family val="2"/>
          </rPr>
          <t>laurent lair:</t>
        </r>
        <r>
          <rPr>
            <sz val="9"/>
            <color indexed="81"/>
            <rFont val="Tahoma"/>
            <family val="2"/>
          </rPr>
          <t xml:space="preserve">
6231</t>
        </r>
      </text>
    </comment>
    <comment ref="R14" authorId="0" shapeId="0">
      <text>
        <r>
          <rPr>
            <b/>
            <sz val="9"/>
            <color indexed="81"/>
            <rFont val="Tahoma"/>
            <family val="2"/>
          </rPr>
          <t>laurent lair:</t>
        </r>
        <r>
          <rPr>
            <sz val="9"/>
            <color indexed="81"/>
            <rFont val="Tahoma"/>
            <family val="2"/>
          </rPr>
          <t xml:space="preserve">
Annonce et pub journaux internet etc.. 
Compte:623</t>
        </r>
      </text>
    </comment>
    <comment ref="R30" authorId="0" shapeId="0">
      <text>
        <r>
          <rPr>
            <b/>
            <sz val="9"/>
            <color indexed="81"/>
            <rFont val="Tahoma"/>
            <family val="2"/>
          </rPr>
          <t>laurent lair:</t>
        </r>
        <r>
          <rPr>
            <sz val="9"/>
            <color indexed="81"/>
            <rFont val="Tahoma"/>
            <family val="2"/>
          </rPr>
          <t xml:space="preserve">
Compte: 6221</t>
        </r>
      </text>
    </comment>
    <comment ref="R31" authorId="0" shapeId="0">
      <text>
        <r>
          <rPr>
            <b/>
            <sz val="9"/>
            <color indexed="81"/>
            <rFont val="Tahoma"/>
            <family val="2"/>
          </rPr>
          <t>laurent lair:</t>
        </r>
        <r>
          <rPr>
            <sz val="9"/>
            <color indexed="81"/>
            <rFont val="Tahoma"/>
            <family val="2"/>
          </rPr>
          <t xml:space="preserve">
compte :6222</t>
        </r>
      </text>
    </comment>
    <comment ref="R32" authorId="0" shapeId="0">
      <text>
        <r>
          <rPr>
            <b/>
            <sz val="9"/>
            <color indexed="81"/>
            <rFont val="Tahoma"/>
            <family val="2"/>
          </rPr>
          <t>laurent lair:</t>
        </r>
        <r>
          <rPr>
            <sz val="9"/>
            <color indexed="81"/>
            <rFont val="Tahoma"/>
            <family val="2"/>
          </rPr>
          <t xml:space="preserve">
Compte: 7082 (apporteur d'affaire)</t>
        </r>
      </text>
    </comment>
    <comment ref="R37" authorId="0" shapeId="0">
      <text>
        <r>
          <rPr>
            <b/>
            <sz val="9"/>
            <color indexed="81"/>
            <rFont val="Tahoma"/>
            <family val="2"/>
          </rPr>
          <t>laurent lair:</t>
        </r>
        <r>
          <rPr>
            <sz val="9"/>
            <color indexed="81"/>
            <rFont val="Tahoma"/>
            <family val="2"/>
          </rPr>
          <t xml:space="preserve">
Cotisation sur la valeur ajoutée + cotisation foncière= contribution économique territoriale
compte :635111</t>
        </r>
      </text>
    </comment>
    <comment ref="R38" authorId="0" shapeId="0">
      <text>
        <r>
          <rPr>
            <b/>
            <sz val="9"/>
            <color indexed="81"/>
            <rFont val="Tahoma"/>
            <family val="2"/>
          </rPr>
          <t>laurent lair:</t>
        </r>
        <r>
          <rPr>
            <sz val="9"/>
            <color indexed="81"/>
            <rFont val="Tahoma"/>
            <family val="2"/>
          </rPr>
          <t xml:space="preserve">
compte 6185</t>
        </r>
      </text>
    </comment>
    <comment ref="R47" authorId="0" shapeId="0">
      <text>
        <r>
          <rPr>
            <b/>
            <sz val="9"/>
            <color indexed="81"/>
            <rFont val="Tahoma"/>
            <family val="2"/>
          </rPr>
          <t>laurent lair:</t>
        </r>
        <r>
          <rPr>
            <sz val="9"/>
            <color indexed="81"/>
            <rFont val="Tahoma"/>
            <family val="2"/>
          </rPr>
          <t xml:space="preserve">
Espaces verts, parking etc..</t>
        </r>
      </text>
    </comment>
    <comment ref="R48" authorId="0" shapeId="0">
      <text>
        <r>
          <rPr>
            <b/>
            <sz val="9"/>
            <color indexed="81"/>
            <rFont val="Tahoma"/>
            <family val="2"/>
          </rPr>
          <t>laurent lair:</t>
        </r>
        <r>
          <rPr>
            <sz val="9"/>
            <color indexed="81"/>
            <rFont val="Tahoma"/>
            <family val="2"/>
          </rPr>
          <t xml:space="preserve">
Travaux installations électrique, agencement, etc...</t>
        </r>
      </text>
    </comment>
    <comment ref="R51" authorId="0" shapeId="0">
      <text>
        <r>
          <rPr>
            <b/>
            <sz val="9"/>
            <color indexed="81"/>
            <rFont val="Tahoma"/>
            <family val="2"/>
          </rPr>
          <t>laurent lair:</t>
        </r>
        <r>
          <rPr>
            <sz val="9"/>
            <color indexed="81"/>
            <rFont val="Tahoma"/>
            <family val="2"/>
          </rPr>
          <t xml:space="preserve">
Peut contenir des frais services sous traités </t>
        </r>
      </text>
    </comment>
    <comment ref="R55" authorId="0" shapeId="0">
      <text>
        <r>
          <rPr>
            <b/>
            <sz val="9"/>
            <color indexed="81"/>
            <rFont val="Tahoma"/>
            <family val="2"/>
          </rPr>
          <t>laurent lair:</t>
        </r>
        <r>
          <rPr>
            <sz val="9"/>
            <color indexed="81"/>
            <rFont val="Tahoma"/>
            <family val="2"/>
          </rPr>
          <t xml:space="preserve">
Compte 6061</t>
        </r>
      </text>
    </comment>
    <comment ref="R65" authorId="0" shapeId="0">
      <text>
        <r>
          <rPr>
            <b/>
            <sz val="9"/>
            <color indexed="81"/>
            <rFont val="Tahoma"/>
            <family val="2"/>
          </rPr>
          <t>laurent lair:</t>
        </r>
        <r>
          <rPr>
            <sz val="9"/>
            <color indexed="81"/>
            <rFont val="Tahoma"/>
            <family val="2"/>
          </rPr>
          <t xml:space="preserve">
laurent lair:
ou honoraires cac          ( comissaire au compte )</t>
        </r>
      </text>
    </comment>
    <comment ref="R66" authorId="0" shapeId="0">
      <text>
        <r>
          <rPr>
            <b/>
            <sz val="9"/>
            <color indexed="81"/>
            <rFont val="Tahoma"/>
            <family val="2"/>
          </rPr>
          <t>laurent lair:</t>
        </r>
        <r>
          <rPr>
            <sz val="9"/>
            <color indexed="81"/>
            <rFont val="Tahoma"/>
            <family val="2"/>
          </rPr>
          <t xml:space="preserve">
+ frais d'acte contentieux (6227)</t>
        </r>
      </text>
    </comment>
    <comment ref="R72" authorId="0" shapeId="0">
      <text>
        <r>
          <rPr>
            <b/>
            <sz val="9"/>
            <color indexed="81"/>
            <rFont val="Tahoma"/>
            <family val="2"/>
          </rPr>
          <t>laurent lair:</t>
        </r>
        <r>
          <rPr>
            <sz val="9"/>
            <color indexed="81"/>
            <rFont val="Tahoma"/>
            <family val="2"/>
          </rPr>
          <t xml:space="preserve">
604
</t>
        </r>
      </text>
    </comment>
    <comment ref="R73" authorId="0" shapeId="0">
      <text>
        <r>
          <rPr>
            <b/>
            <sz val="9"/>
            <color indexed="81"/>
            <rFont val="Tahoma"/>
            <family val="2"/>
          </rPr>
          <t>laurent lair:</t>
        </r>
        <r>
          <rPr>
            <sz val="9"/>
            <color indexed="81"/>
            <rFont val="Tahoma"/>
            <family val="2"/>
          </rPr>
          <t xml:space="preserve">
Compte 7088</t>
        </r>
      </text>
    </comment>
    <comment ref="R74" authorId="0" shapeId="0">
      <text>
        <r>
          <rPr>
            <b/>
            <sz val="9"/>
            <color indexed="81"/>
            <rFont val="Tahoma"/>
            <family val="2"/>
          </rPr>
          <t>laurent lair:</t>
        </r>
        <r>
          <rPr>
            <sz val="9"/>
            <color indexed="81"/>
            <rFont val="Tahoma"/>
            <family val="2"/>
          </rPr>
          <t xml:space="preserve">
Compte 6132</t>
        </r>
      </text>
    </comment>
    <comment ref="R76" authorId="0" shapeId="0">
      <text>
        <r>
          <rPr>
            <b/>
            <sz val="9"/>
            <color indexed="81"/>
            <rFont val="Tahoma"/>
            <family val="2"/>
          </rPr>
          <t>laurent lair:</t>
        </r>
        <r>
          <rPr>
            <sz val="9"/>
            <color indexed="81"/>
            <rFont val="Tahoma"/>
            <family val="2"/>
          </rPr>
          <t xml:space="preserve">
Compte: 6135</t>
        </r>
      </text>
    </comment>
    <comment ref="R77" authorId="0" shapeId="0">
      <text>
        <r>
          <rPr>
            <b/>
            <sz val="9"/>
            <color indexed="81"/>
            <rFont val="Tahoma"/>
            <family val="2"/>
          </rPr>
          <t>laurent lair:</t>
        </r>
        <r>
          <rPr>
            <sz val="9"/>
            <color indexed="81"/>
            <rFont val="Tahoma"/>
            <family val="2"/>
          </rPr>
          <t xml:space="preserve">
Location de services de transactions monétaires ( TPE) et maintenance </t>
        </r>
      </text>
    </comment>
    <comment ref="R85" authorId="0" shapeId="0">
      <text>
        <r>
          <rPr>
            <b/>
            <sz val="9"/>
            <color indexed="81"/>
            <rFont val="Tahoma"/>
            <family val="2"/>
          </rPr>
          <t>laurent lair:</t>
        </r>
        <r>
          <rPr>
            <sz val="9"/>
            <color indexed="81"/>
            <rFont val="Tahoma"/>
            <family val="2"/>
          </rPr>
          <t xml:space="preserve">
</t>
        </r>
      </text>
    </comment>
    <comment ref="R89" authorId="0" shapeId="0">
      <text>
        <r>
          <rPr>
            <b/>
            <sz val="9"/>
            <color indexed="81"/>
            <rFont val="Tahoma"/>
            <family val="2"/>
          </rPr>
          <t>laurent lair:</t>
        </r>
        <r>
          <rPr>
            <sz val="9"/>
            <color indexed="81"/>
            <rFont val="Tahoma"/>
            <family val="2"/>
          </rPr>
          <t xml:space="preserve">
Compte: )6063</t>
        </r>
      </text>
    </comment>
    <comment ref="R91" authorId="0" shapeId="0">
      <text>
        <r>
          <rPr>
            <b/>
            <sz val="9"/>
            <color indexed="81"/>
            <rFont val="Tahoma"/>
            <family val="2"/>
          </rPr>
          <t>laurent lair:</t>
        </r>
        <r>
          <rPr>
            <sz val="9"/>
            <color indexed="81"/>
            <rFont val="Tahoma"/>
            <family val="2"/>
          </rPr>
          <t xml:space="preserve">
Compte: 604</t>
        </r>
      </text>
    </comment>
    <comment ref="R93" authorId="0" shapeId="0">
      <text>
        <r>
          <rPr>
            <b/>
            <sz val="9"/>
            <color indexed="81"/>
            <rFont val="Tahoma"/>
            <family val="2"/>
          </rPr>
          <t>laurent lair:</t>
        </r>
        <r>
          <rPr>
            <sz val="9"/>
            <color indexed="81"/>
            <rFont val="Tahoma"/>
            <family val="2"/>
          </rPr>
          <t xml:space="preserve">
compte: 616</t>
        </r>
      </text>
    </comment>
    <comment ref="R94" authorId="0" shapeId="0">
      <text>
        <r>
          <rPr>
            <b/>
            <sz val="9"/>
            <color indexed="81"/>
            <rFont val="Tahoma"/>
            <family val="2"/>
          </rPr>
          <t>laurent lair:</t>
        </r>
        <r>
          <rPr>
            <sz val="9"/>
            <color indexed="81"/>
            <rFont val="Tahoma"/>
            <family val="2"/>
          </rPr>
          <t xml:space="preserve">
compte 708: produits de service des activités annexes ( location de sallet, pub etc…)</t>
        </r>
      </text>
    </comment>
    <comment ref="R106" authorId="0" shapeId="0">
      <text>
        <r>
          <rPr>
            <b/>
            <sz val="9"/>
            <color indexed="81"/>
            <rFont val="Tahoma"/>
            <family val="2"/>
          </rPr>
          <t>laurent lair:</t>
        </r>
        <r>
          <rPr>
            <sz val="9"/>
            <color indexed="81"/>
            <rFont val="Tahoma"/>
            <family val="2"/>
          </rPr>
          <t xml:space="preserve">
Recettes déccouverte du monde</t>
        </r>
      </text>
    </comment>
    <comment ref="R111" authorId="0" shapeId="0">
      <text>
        <r>
          <rPr>
            <b/>
            <sz val="9"/>
            <color indexed="81"/>
            <rFont val="Tahoma"/>
            <family val="2"/>
          </rPr>
          <t>laurent lair:</t>
        </r>
        <r>
          <rPr>
            <sz val="9"/>
            <color indexed="81"/>
            <rFont val="Tahoma"/>
            <family val="2"/>
          </rPr>
          <t xml:space="preserve">
compte: 79</t>
        </r>
      </text>
    </comment>
    <comment ref="R120" authorId="0" shapeId="0">
      <text>
        <r>
          <rPr>
            <b/>
            <sz val="9"/>
            <color indexed="81"/>
            <rFont val="Tahoma"/>
            <family val="2"/>
          </rPr>
          <t>laurent lair:</t>
        </r>
        <r>
          <rPr>
            <sz val="9"/>
            <color indexed="81"/>
            <rFont val="Tahoma"/>
            <family val="2"/>
          </rPr>
          <t xml:space="preserve">
compte 7083</t>
        </r>
      </text>
    </comment>
    <comment ref="R122" authorId="0" shapeId="0">
      <text>
        <r>
          <rPr>
            <b/>
            <sz val="9"/>
            <color indexed="81"/>
            <rFont val="Tahoma"/>
            <family val="2"/>
          </rPr>
          <t>laurent lair:</t>
        </r>
        <r>
          <rPr>
            <sz val="9"/>
            <color indexed="81"/>
            <rFont val="Tahoma"/>
            <family val="2"/>
          </rPr>
          <t xml:space="preserve">
Compte: 611</t>
        </r>
      </text>
    </comment>
    <comment ref="R130" authorId="0" shapeId="0">
      <text>
        <r>
          <rPr>
            <b/>
            <sz val="9"/>
            <color indexed="81"/>
            <rFont val="Tahoma"/>
            <family val="2"/>
          </rPr>
          <t>laurent lair:</t>
        </r>
        <r>
          <rPr>
            <sz val="9"/>
            <color indexed="81"/>
            <rFont val="Tahoma"/>
            <family val="2"/>
          </rPr>
          <t xml:space="preserve">
Compte :63512</t>
        </r>
      </text>
    </comment>
    <comment ref="R137" authorId="0" shapeId="0">
      <text>
        <r>
          <rPr>
            <b/>
            <sz val="9"/>
            <color indexed="81"/>
            <rFont val="Tahoma"/>
            <family val="2"/>
          </rPr>
          <t>laurent lair:</t>
        </r>
        <r>
          <rPr>
            <sz val="9"/>
            <color indexed="81"/>
            <rFont val="Tahoma"/>
            <family val="2"/>
          </rPr>
          <t xml:space="preserve">
</t>
        </r>
        <r>
          <rPr>
            <b/>
            <sz val="9"/>
            <color indexed="81"/>
            <rFont val="Tahoma"/>
            <family val="2"/>
          </rPr>
          <t>Compte 706</t>
        </r>
        <r>
          <rPr>
            <sz val="9"/>
            <color indexed="81"/>
            <rFont val="Tahoma"/>
            <family val="2"/>
          </rPr>
          <t>: prestation de service ( reccette guichet )</t>
        </r>
      </text>
    </comment>
    <comment ref="R139" authorId="0" shapeId="0">
      <text>
        <r>
          <rPr>
            <b/>
            <sz val="9"/>
            <color indexed="81"/>
            <rFont val="Tahoma"/>
            <family val="2"/>
          </rPr>
          <t>laurent lair:</t>
        </r>
        <r>
          <rPr>
            <sz val="9"/>
            <color indexed="81"/>
            <rFont val="Tahoma"/>
            <family val="2"/>
          </rPr>
          <t xml:space="preserve">
</t>
        </r>
        <r>
          <rPr>
            <b/>
            <sz val="9"/>
            <color indexed="81"/>
            <rFont val="Tahoma"/>
            <family val="2"/>
          </rPr>
          <t>Compte 707</t>
        </r>
        <r>
          <rPr>
            <sz val="9"/>
            <color indexed="81"/>
            <rFont val="Tahoma"/>
            <family val="2"/>
          </rPr>
          <t xml:space="preserve">: ventes de marchandises </t>
        </r>
      </text>
    </comment>
    <comment ref="R140" authorId="0" shapeId="0">
      <text>
        <r>
          <rPr>
            <b/>
            <sz val="9"/>
            <color indexed="81"/>
            <rFont val="Tahoma"/>
            <family val="2"/>
          </rPr>
          <t>laurent lair:</t>
        </r>
        <r>
          <rPr>
            <sz val="9"/>
            <color indexed="81"/>
            <rFont val="Tahoma"/>
            <family val="2"/>
          </rPr>
          <t xml:space="preserve">
compte 79</t>
        </r>
      </text>
    </comment>
  </commentList>
</comments>
</file>

<file path=xl/sharedStrings.xml><?xml version="1.0" encoding="utf-8"?>
<sst xmlns="http://schemas.openxmlformats.org/spreadsheetml/2006/main" count="903" uniqueCount="601">
  <si>
    <t>Nombre de salles</t>
  </si>
  <si>
    <t>Fauteuils</t>
  </si>
  <si>
    <t>VILLE</t>
  </si>
  <si>
    <t>Subventions d'exploitation</t>
  </si>
  <si>
    <t>Reprises provisions</t>
  </si>
  <si>
    <t>Autres produits</t>
  </si>
  <si>
    <t>Achats de marchandises</t>
  </si>
  <si>
    <t>Variation de stock</t>
  </si>
  <si>
    <t>Autres achats et charges externes</t>
  </si>
  <si>
    <t>Charges sociales</t>
  </si>
  <si>
    <t>Internet</t>
  </si>
  <si>
    <t>Taxe d'apprentissage</t>
  </si>
  <si>
    <t xml:space="preserve">NUMERO </t>
  </si>
  <si>
    <t xml:space="preserve">RUE </t>
  </si>
  <si>
    <t xml:space="preserve">CODE POSTAL </t>
  </si>
  <si>
    <t>mois</t>
  </si>
  <si>
    <t>année</t>
  </si>
  <si>
    <t>Jours</t>
  </si>
  <si>
    <t>M.</t>
  </si>
  <si>
    <t>Mme</t>
  </si>
  <si>
    <t>MOIS EX</t>
  </si>
  <si>
    <t xml:space="preserve"> Autres produits d'exploitation</t>
  </si>
  <si>
    <t>Produits financiers</t>
  </si>
  <si>
    <t xml:space="preserve">Autres intérets et prod assimiles </t>
  </si>
  <si>
    <t>Produit nets sur cession valeurs mobilieres</t>
  </si>
  <si>
    <t>Produits exceptionnels</t>
  </si>
  <si>
    <t>produit exceptionnels de getion</t>
  </si>
  <si>
    <t>produits exceptionnels en capital</t>
  </si>
  <si>
    <t xml:space="preserve">Total des comptes des produits </t>
  </si>
  <si>
    <t xml:space="preserve">Total des comptes de charges </t>
  </si>
  <si>
    <t>Achats</t>
  </si>
  <si>
    <t>Achats de matières premières et appro</t>
  </si>
  <si>
    <t xml:space="preserve">Produit des activités annexes </t>
  </si>
  <si>
    <t>Location de salle</t>
  </si>
  <si>
    <t>Publicité écran locale</t>
  </si>
  <si>
    <t>Achats confiserie</t>
  </si>
  <si>
    <t>Achats boisson</t>
  </si>
  <si>
    <t>Variation stock confiserie</t>
  </si>
  <si>
    <t>Variation stock boissons</t>
  </si>
  <si>
    <t>Variation stock lunette 3D</t>
  </si>
  <si>
    <t xml:space="preserve">Prest/
programmation </t>
  </si>
  <si>
    <t>Location de films en salle</t>
  </si>
  <si>
    <t>Matières et fournitures non stockées</t>
  </si>
  <si>
    <t>Fourniture eau</t>
  </si>
  <si>
    <t xml:space="preserve">Electricité </t>
  </si>
  <si>
    <t>Chiffre d'affaire net</t>
  </si>
  <si>
    <t>708: produits des activités annexes</t>
  </si>
  <si>
    <t>Autres produits d'exploitations</t>
  </si>
  <si>
    <t>77:Produits exceptionnels</t>
  </si>
  <si>
    <t xml:space="preserve">60:Achats </t>
  </si>
  <si>
    <t>607: Achats de marchandises</t>
  </si>
  <si>
    <t>Civilité</t>
  </si>
  <si>
    <t>Locations</t>
  </si>
  <si>
    <t>Location Mobilière</t>
  </si>
  <si>
    <t>Maintenance</t>
  </si>
  <si>
    <t>Entretien et réparation matériel (mobilier)</t>
  </si>
  <si>
    <t>Nettoyage  des locaux (intérieurs)</t>
  </si>
  <si>
    <t xml:space="preserve">entretien des espaces extérieurs </t>
  </si>
  <si>
    <t xml:space="preserve">Entretien et réparation immobiler  </t>
  </si>
  <si>
    <t>Entretien, nettoyage et réparations immobilier</t>
  </si>
  <si>
    <t>Entretien et réparation matériel de projection</t>
  </si>
  <si>
    <t>Maintenance matériel de projection</t>
  </si>
  <si>
    <t>Prime d'assurance et documentation diverses</t>
  </si>
  <si>
    <t>Publicité,relations extérieur</t>
  </si>
  <si>
    <t>Frais de déplacement</t>
  </si>
  <si>
    <t>personnel extérieur</t>
  </si>
  <si>
    <t xml:space="preserve"> Rémunéraition honoraires</t>
  </si>
  <si>
    <t>Honoraires comptables</t>
  </si>
  <si>
    <t>Honoraires Juridique</t>
  </si>
  <si>
    <t>Frais postaux, télécommunications</t>
  </si>
  <si>
    <t>Telephone</t>
  </si>
  <si>
    <t>Services bancaires et assimilés</t>
  </si>
  <si>
    <t>Frais sur CB</t>
  </si>
  <si>
    <t>60 à 62 : Autres achats et charges externes</t>
  </si>
  <si>
    <t>Impots, taxes et versements assimilés</t>
  </si>
  <si>
    <t>Impots et taxes 
sur rémunération</t>
  </si>
  <si>
    <t>Formation professionnelle continue</t>
  </si>
  <si>
    <t>Autres Impots et taxes</t>
  </si>
  <si>
    <t>Taxe foncière</t>
  </si>
  <si>
    <t>Cotisations CNC</t>
  </si>
  <si>
    <t>633 à 637: Impôts taxes et versements assimilés</t>
  </si>
  <si>
    <t>Charges de personnel</t>
  </si>
  <si>
    <t xml:space="preserve">Salaires et traitements </t>
  </si>
  <si>
    <t>641 à 647: Charges personnels</t>
  </si>
  <si>
    <t>Dotations d'exploitation</t>
  </si>
  <si>
    <t>68: Dotations d'exploitations</t>
  </si>
  <si>
    <t xml:space="preserve">Autres charges </t>
  </si>
  <si>
    <t>SPRE rémunération</t>
  </si>
  <si>
    <t>Charges 
financières</t>
  </si>
  <si>
    <t>Total charges d'exploitation</t>
  </si>
  <si>
    <t>Intérets sur emprunts</t>
  </si>
  <si>
    <t>67:Charges exceptionnelles</t>
  </si>
  <si>
    <t>Charges exceptionnelles</t>
  </si>
  <si>
    <t>Charges exceptionnelles 
sur opérations de gestion</t>
  </si>
  <si>
    <t>Achats d'études et de prestations de services</t>
  </si>
  <si>
    <t>Date de début d'exercice</t>
  </si>
  <si>
    <t xml:space="preserve">Date de fin d'exercice </t>
  </si>
  <si>
    <t>Année d'exercice</t>
  </si>
  <si>
    <t>Publicité écran  nationale</t>
  </si>
  <si>
    <t>Nombre de salle</t>
  </si>
  <si>
    <t>RAISON SOCIALE</t>
  </si>
  <si>
    <t>ADRESSE</t>
  </si>
  <si>
    <t>Dates d'exploitation</t>
  </si>
  <si>
    <t xml:space="preserve">n°complexe ou n°auto </t>
  </si>
  <si>
    <t>SEANCES</t>
  </si>
  <si>
    <t>ENTREES</t>
  </si>
  <si>
    <t>RECETTES</t>
  </si>
  <si>
    <t>Identification</t>
  </si>
  <si>
    <t>Caractéristiques</t>
  </si>
  <si>
    <t>Données</t>
  </si>
  <si>
    <t xml:space="preserve">Total vente marchandises </t>
  </si>
  <si>
    <t>Frais de gestion</t>
  </si>
  <si>
    <t>76: Produits financiers</t>
  </si>
  <si>
    <t>Achats 
affiches</t>
  </si>
  <si>
    <t xml:space="preserve">Transfert de charges </t>
  </si>
  <si>
    <t>Subventions d'exploitation cinema</t>
  </si>
  <si>
    <t>Location spectacle</t>
  </si>
  <si>
    <t>Location Immob, parking</t>
  </si>
  <si>
    <t>Animations diverses</t>
  </si>
  <si>
    <t>Entretien cabine</t>
  </si>
  <si>
    <t>Autres ou non précisé</t>
  </si>
  <si>
    <t xml:space="preserve">Autres ou non précisé </t>
  </si>
  <si>
    <t xml:space="preserve">Autres ou 
non précisé 
</t>
  </si>
  <si>
    <t>Affichages ponctuels et permanents</t>
  </si>
  <si>
    <t>Autres ou non préciés</t>
  </si>
  <si>
    <t xml:space="preserve">65:Autres charges </t>
  </si>
  <si>
    <t xml:space="preserve">Charges exceptionnelles 
sur opérations en capital </t>
  </si>
  <si>
    <t xml:space="preserve">Pub sur programme ou pub non précisé </t>
  </si>
  <si>
    <t>Somme publicité (nationale + locale + programme)</t>
  </si>
  <si>
    <t>Subventions invest.résultat</t>
  </si>
  <si>
    <t>Produits cession éléments actif</t>
  </si>
  <si>
    <t xml:space="preserve">Autres ou maintenance  non précisée </t>
  </si>
  <si>
    <t xml:space="preserve">Autres ou honoraires
 non précisé </t>
  </si>
  <si>
    <t>Publications, impressions
(programme)</t>
  </si>
  <si>
    <t>Postaux</t>
  </si>
  <si>
    <t>Cotisations</t>
  </si>
  <si>
    <t xml:space="preserve">SPRE, SACEM non précisé </t>
  </si>
  <si>
    <t xml:space="preserve">Reprises provisions et transfert de charges </t>
  </si>
  <si>
    <t>Gaz</t>
  </si>
  <si>
    <t>Subventions ART et ESSAI</t>
  </si>
  <si>
    <t>Somme SACEM,SPRE</t>
  </si>
  <si>
    <t>Autres ou non précisé 2</t>
  </si>
  <si>
    <t>Autres ou non précisé 3</t>
  </si>
  <si>
    <t>Autres ou non précisé 4</t>
  </si>
  <si>
    <t>Autres ou non précisé 5</t>
  </si>
  <si>
    <t>Autres ou non précisé 6</t>
  </si>
  <si>
    <t>Autres ou non précisé 7</t>
  </si>
  <si>
    <t>Autres ou non précisé 8</t>
  </si>
  <si>
    <t>Autres ou non précisé 9</t>
  </si>
  <si>
    <t>Autres ou non précisé 10</t>
  </si>
  <si>
    <t>Autres ou non précisé 11</t>
  </si>
  <si>
    <t>Autres ou non précisé 12</t>
  </si>
  <si>
    <t>Autres ou non précisé 13</t>
  </si>
  <si>
    <t>Autres ou non précisé 14</t>
  </si>
  <si>
    <t>Autres ou 
non précisé 15</t>
  </si>
  <si>
    <t>Autres ou 
non précisé 
17</t>
  </si>
  <si>
    <t>Autres ou non précisé21</t>
  </si>
  <si>
    <t>Autres ou non précisé22</t>
  </si>
  <si>
    <t>Autres ou non précisé23</t>
  </si>
  <si>
    <t>Autres ou non précisé24</t>
  </si>
  <si>
    <t>Autres ou non précisé25</t>
  </si>
  <si>
    <t>Vente lunette</t>
  </si>
  <si>
    <t>Commission et courtage</t>
  </si>
  <si>
    <t>Sous-traitance</t>
  </si>
  <si>
    <t>CVAE+CFE=CET</t>
  </si>
  <si>
    <t>Reprises sur provisions et transferts de charges</t>
  </si>
  <si>
    <t>Location lunette</t>
  </si>
  <si>
    <t>Energie (non précisé)</t>
  </si>
  <si>
    <t>Amortissements immobilisations incorporelles &amp;  corporelles</t>
  </si>
  <si>
    <t>TSA (non comprises)</t>
  </si>
  <si>
    <t>Total vente alimentaire HT</t>
  </si>
  <si>
    <t>Total achat conf+boiss</t>
  </si>
  <si>
    <t>SEMAINES</t>
  </si>
  <si>
    <t xml:space="preserve">Recette ddm HT </t>
  </si>
  <si>
    <t>Vente affiche</t>
  </si>
  <si>
    <t>Vente boisson</t>
  </si>
  <si>
    <t>Vente confiserie</t>
  </si>
  <si>
    <t>personnel détaché</t>
  </si>
  <si>
    <t>Comission et courtage sur ventes</t>
  </si>
  <si>
    <t>Comission et courtage sur achats</t>
  </si>
  <si>
    <t>622: Rémunération honoraires</t>
  </si>
  <si>
    <t>Annonce et insertion</t>
  </si>
  <si>
    <t>606: Achats non stockés de matières et fournitures</t>
  </si>
  <si>
    <t>626: Frais postaux et télécommunications</t>
  </si>
  <si>
    <t>641 à 642</t>
  </si>
  <si>
    <t>642 à 647</t>
  </si>
  <si>
    <t xml:space="preserve">Produit </t>
  </si>
  <si>
    <t>Charges</t>
  </si>
  <si>
    <t>66:Charges financières</t>
  </si>
  <si>
    <t>6256,16+798</t>
  </si>
  <si>
    <t>Prime d'assurance et multirisque et autres assurances</t>
  </si>
  <si>
    <t xml:space="preserve">documentation et autres </t>
  </si>
  <si>
    <t>Autres charges 
exceptionnelles</t>
  </si>
  <si>
    <t>Dot aux amort
 et prov excep</t>
  </si>
  <si>
    <t>Frais 3D/lunette</t>
  </si>
  <si>
    <t>Recettes chèques cinema</t>
  </si>
  <si>
    <t>Télécommunication et postaux non précisée</t>
  </si>
  <si>
    <t>Location services monétiques
(TPE)</t>
  </si>
  <si>
    <t>627: Frais bancaires (hors intérêts)</t>
  </si>
  <si>
    <t>Contribution/supplément prestation 3D</t>
  </si>
  <si>
    <t>Contributions aux déploiements numériques( VPF)</t>
  </si>
  <si>
    <t>ticket/carte/abonnement périmé</t>
  </si>
  <si>
    <t>Fournitures administratives et billeterie</t>
  </si>
  <si>
    <t>Energie et eau</t>
  </si>
  <si>
    <t>Mission et reception</t>
  </si>
  <si>
    <t>Cotisations2</t>
  </si>
  <si>
    <t>Droits d'auteurs SACEM + cotisations SACEM</t>
  </si>
  <si>
    <t>624: frais de 
transports sur achats/films</t>
  </si>
  <si>
    <t>Transports sur films</t>
  </si>
  <si>
    <t xml:space="preserve">autres </t>
  </si>
  <si>
    <t>Entretiens et réparation véhicule</t>
  </si>
  <si>
    <t>Carburants</t>
  </si>
  <si>
    <t>625: Frais de restauration, déplacement et véhicule</t>
  </si>
  <si>
    <t>Frais de séminaire et colloque</t>
  </si>
  <si>
    <t>Vente + location lunnette 3D</t>
  </si>
  <si>
    <t>Total Produits d'exploitation</t>
  </si>
  <si>
    <t xml:space="preserve">Chiffre d'affaires nets </t>
  </si>
  <si>
    <t xml:space="preserve">Total production vendue de services </t>
  </si>
  <si>
    <t xml:space="preserve">Recettes spectacle </t>
  </si>
  <si>
    <t xml:space="preserve">Recette guichet </t>
  </si>
  <si>
    <t>Total Comptes 7</t>
  </si>
  <si>
    <t xml:space="preserve">Sécurité, gardiannage </t>
  </si>
  <si>
    <t>Autres ou non précisé2</t>
  </si>
  <si>
    <t>Total Charges  6</t>
  </si>
  <si>
    <t>Résultat d'exploitation</t>
  </si>
  <si>
    <t xml:space="preserve">Résultat financier </t>
  </si>
  <si>
    <t>Résultat exceptionnel</t>
  </si>
  <si>
    <t xml:space="preserve">Résultat net </t>
  </si>
  <si>
    <t>Valeur ajoutée</t>
  </si>
  <si>
    <t>Résultat courant avant impôt</t>
  </si>
  <si>
    <t>EBE</t>
  </si>
  <si>
    <t>Résultat net</t>
  </si>
  <si>
    <t>Résultat courant avant impôts</t>
  </si>
  <si>
    <t>Soldes Intermédiares de gestion</t>
  </si>
  <si>
    <t>Formules</t>
  </si>
  <si>
    <t>Résultat d'exploitation:</t>
  </si>
  <si>
    <t>Utilité</t>
  </si>
  <si>
    <t>--------------------------------------</t>
  </si>
  <si>
    <r>
      <rPr>
        <b/>
        <sz val="12"/>
        <color theme="1"/>
        <rFont val="Calibri"/>
        <family val="2"/>
        <scheme val="minor"/>
      </rPr>
      <t>:</t>
    </r>
    <r>
      <rPr>
        <sz val="12"/>
        <color theme="1"/>
        <rFont val="Calibri"/>
        <family val="2"/>
        <scheme val="minor"/>
      </rPr>
      <t xml:space="preserve">Résultat net 
</t>
    </r>
    <r>
      <rPr>
        <b/>
        <sz val="12"/>
        <color theme="1"/>
        <rFont val="Calibri"/>
        <family val="2"/>
        <scheme val="minor"/>
      </rPr>
      <t>+</t>
    </r>
    <r>
      <rPr>
        <sz val="12"/>
        <color theme="1"/>
        <rFont val="Calibri"/>
        <family val="2"/>
        <scheme val="minor"/>
      </rPr>
      <t xml:space="preserve"> Impôts sur les bénéfices 
</t>
    </r>
    <r>
      <rPr>
        <b/>
        <sz val="12"/>
        <color theme="1"/>
        <rFont val="Calibri"/>
        <family val="2"/>
        <scheme val="minor"/>
      </rPr>
      <t xml:space="preserve">+ </t>
    </r>
    <r>
      <rPr>
        <sz val="12"/>
        <color theme="1"/>
        <rFont val="Calibri"/>
        <family val="2"/>
        <scheme val="minor"/>
      </rPr>
      <t xml:space="preserve">dotations d'exploitation 
</t>
    </r>
    <r>
      <rPr>
        <b/>
        <sz val="12"/>
        <color theme="1"/>
        <rFont val="Calibri"/>
        <family val="2"/>
        <scheme val="minor"/>
      </rPr>
      <t>+</t>
    </r>
    <r>
      <rPr>
        <sz val="12"/>
        <color theme="1"/>
        <rFont val="Calibri"/>
        <family val="2"/>
        <scheme val="minor"/>
      </rPr>
      <t xml:space="preserve">Charges exceptionnels
</t>
    </r>
    <r>
      <rPr>
        <b/>
        <sz val="12"/>
        <color theme="1"/>
        <rFont val="Calibri"/>
        <family val="2"/>
        <scheme val="minor"/>
      </rPr>
      <t>+</t>
    </r>
    <r>
      <rPr>
        <sz val="12"/>
        <color theme="1"/>
        <rFont val="Calibri"/>
        <family val="2"/>
        <scheme val="minor"/>
      </rPr>
      <t xml:space="preserve">Charges financières + Autres charges 
</t>
    </r>
    <r>
      <rPr>
        <b/>
        <sz val="12"/>
        <color theme="1"/>
        <rFont val="Calibri"/>
        <family val="2"/>
        <scheme val="minor"/>
      </rPr>
      <t>+</t>
    </r>
    <r>
      <rPr>
        <sz val="12"/>
        <color theme="1"/>
        <rFont val="Calibri"/>
        <family val="2"/>
        <scheme val="minor"/>
      </rPr>
      <t xml:space="preserve"> Charges de personnel+ Impôts et…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t>
    </r>
    <r>
      <rPr>
        <sz val="12"/>
        <color theme="1"/>
        <rFont val="Calibri"/>
        <family val="2"/>
        <scheme val="minor"/>
      </rPr>
      <t xml:space="preserve">Produits exceptionnels
</t>
    </r>
    <r>
      <rPr>
        <b/>
        <sz val="12"/>
        <color theme="1"/>
        <rFont val="Calibri"/>
        <family val="2"/>
        <scheme val="minor"/>
      </rPr>
      <t>+</t>
    </r>
    <r>
      <rPr>
        <sz val="12"/>
        <color theme="1"/>
        <rFont val="Calibri"/>
        <family val="2"/>
        <scheme val="minor"/>
      </rPr>
      <t xml:space="preserve"> Produits financiers 
</t>
    </r>
    <r>
      <rPr>
        <b/>
        <sz val="12"/>
        <color theme="1"/>
        <rFont val="Calibri"/>
        <family val="2"/>
        <scheme val="minor"/>
      </rPr>
      <t>+</t>
    </r>
    <r>
      <rPr>
        <sz val="12"/>
        <color theme="1"/>
        <rFont val="Calibri"/>
        <family val="2"/>
        <scheme val="minor"/>
      </rPr>
      <t xml:space="preserve"> Autres produits</t>
    </r>
    <r>
      <rPr>
        <b/>
        <sz val="12"/>
        <color theme="1"/>
        <rFont val="Calibri"/>
        <family val="2"/>
        <scheme val="minor"/>
      </rPr>
      <t>)</t>
    </r>
    <r>
      <rPr>
        <sz val="12"/>
        <color theme="1"/>
        <rFont val="Calibri"/>
        <family val="2"/>
        <scheme val="minor"/>
      </rPr>
      <t xml:space="preserve">
</t>
    </r>
    <r>
      <rPr>
        <u/>
        <sz val="12"/>
        <color theme="1"/>
        <rFont val="Calibri"/>
        <family val="2"/>
        <scheme val="minor"/>
      </rPr>
      <t>Résultat net+69+68+67+66+65+64+63-(77+76+autres produits)</t>
    </r>
  </si>
  <si>
    <r>
      <rPr>
        <b/>
        <sz val="12"/>
        <color theme="1"/>
        <rFont val="Calibri"/>
        <family val="2"/>
        <scheme val="minor"/>
      </rPr>
      <t>:</t>
    </r>
    <r>
      <rPr>
        <sz val="12"/>
        <color theme="1"/>
        <rFont val="Calibri"/>
        <family val="2"/>
        <scheme val="minor"/>
      </rPr>
      <t xml:space="preserve">Valeur ajoutée
</t>
    </r>
    <r>
      <rPr>
        <b/>
        <sz val="12"/>
        <color theme="1"/>
        <rFont val="Calibri"/>
        <family val="2"/>
        <scheme val="minor"/>
      </rPr>
      <t>+</t>
    </r>
    <r>
      <rPr>
        <sz val="12"/>
        <color theme="1"/>
        <rFont val="Calibri"/>
        <family val="2"/>
        <scheme val="minor"/>
      </rPr>
      <t xml:space="preserve"> Subventions d'exploitation- Impôts et..
</t>
    </r>
    <r>
      <rPr>
        <b/>
        <sz val="12"/>
        <color theme="1"/>
        <rFont val="Calibri"/>
        <family val="2"/>
        <scheme val="minor"/>
      </rPr>
      <t xml:space="preserve">- </t>
    </r>
    <r>
      <rPr>
        <sz val="12"/>
        <color theme="1"/>
        <rFont val="Calibri"/>
        <family val="2"/>
        <scheme val="minor"/>
      </rPr>
      <t xml:space="preserve">Charges de personnel
</t>
    </r>
    <r>
      <rPr>
        <b/>
        <sz val="12"/>
        <color theme="1"/>
        <rFont val="Calibri"/>
        <family val="2"/>
        <scheme val="minor"/>
      </rPr>
      <t>:</t>
    </r>
    <r>
      <rPr>
        <u/>
        <sz val="12"/>
        <color theme="1"/>
        <rFont val="Calibri"/>
        <family val="2"/>
        <scheme val="minor"/>
      </rPr>
      <t>VA+74(Sub)-63-64</t>
    </r>
    <r>
      <rPr>
        <sz val="12"/>
        <color theme="1"/>
        <rFont val="Calibri"/>
        <family val="2"/>
        <scheme val="minor"/>
      </rPr>
      <t xml:space="preserve">
</t>
    </r>
  </si>
  <si>
    <r>
      <rPr>
        <b/>
        <sz val="12"/>
        <color theme="1"/>
        <rFont val="Calibri"/>
        <family val="2"/>
        <scheme val="minor"/>
      </rPr>
      <t>:</t>
    </r>
    <r>
      <rPr>
        <sz val="12"/>
        <color theme="1"/>
        <rFont val="Calibri"/>
        <family val="2"/>
        <scheme val="minor"/>
      </rPr>
      <t xml:space="preserve">total produits d'exploitation
</t>
    </r>
    <r>
      <rPr>
        <b/>
        <sz val="12"/>
        <color theme="1"/>
        <rFont val="Calibri"/>
        <family val="2"/>
        <scheme val="minor"/>
      </rPr>
      <t xml:space="preserve">- </t>
    </r>
    <r>
      <rPr>
        <sz val="12"/>
        <color theme="1"/>
        <rFont val="Calibri"/>
        <family val="2"/>
        <scheme val="minor"/>
      </rPr>
      <t>total charges d'exploitation</t>
    </r>
  </si>
  <si>
    <r>
      <t xml:space="preserve">Résultat d'exploitation
</t>
    </r>
    <r>
      <rPr>
        <b/>
        <sz val="12"/>
        <color theme="1"/>
        <rFont val="Calibri"/>
        <family val="2"/>
        <scheme val="minor"/>
      </rPr>
      <t>+</t>
    </r>
    <r>
      <rPr>
        <sz val="12"/>
        <color theme="1"/>
        <rFont val="Calibri"/>
        <family val="2"/>
        <scheme val="minor"/>
      </rPr>
      <t xml:space="preserve"> (résultat financier)</t>
    </r>
  </si>
  <si>
    <r>
      <t xml:space="preserve">total produits
</t>
    </r>
    <r>
      <rPr>
        <b/>
        <sz val="12"/>
        <color theme="1"/>
        <rFont val="Calibri"/>
        <family val="2"/>
        <scheme val="minor"/>
      </rPr>
      <t>-</t>
    </r>
    <r>
      <rPr>
        <sz val="12"/>
        <color theme="1"/>
        <rFont val="Calibri"/>
        <family val="2"/>
        <scheme val="minor"/>
      </rPr>
      <t xml:space="preserve"> total charges</t>
    </r>
  </si>
  <si>
    <r>
      <t xml:space="preserve">EBE:
</t>
    </r>
    <r>
      <rPr>
        <b/>
        <u/>
        <sz val="11"/>
        <rFont val="Calibri"/>
        <family val="2"/>
        <scheme val="minor"/>
      </rPr>
      <t>Comptes EBE:</t>
    </r>
  </si>
  <si>
    <r>
      <t xml:space="preserve">Résultat financier :
</t>
    </r>
    <r>
      <rPr>
        <b/>
        <u/>
        <sz val="11"/>
        <rFont val="Calibri"/>
        <family val="2"/>
        <scheme val="minor"/>
      </rPr>
      <t>Compte résultat financier :</t>
    </r>
  </si>
  <si>
    <r>
      <t xml:space="preserve">Produits financiers 
</t>
    </r>
    <r>
      <rPr>
        <b/>
        <sz val="12"/>
        <color theme="1"/>
        <rFont val="Calibri"/>
        <family val="2"/>
        <scheme val="minor"/>
      </rPr>
      <t xml:space="preserve">- </t>
    </r>
    <r>
      <rPr>
        <sz val="12"/>
        <color theme="1"/>
        <rFont val="Calibri"/>
        <family val="2"/>
        <scheme val="minor"/>
      </rPr>
      <t xml:space="preserve">Charges financières
</t>
    </r>
    <r>
      <rPr>
        <u/>
        <sz val="12"/>
        <color theme="1"/>
        <rFont val="Calibri"/>
        <family val="2"/>
        <scheme val="minor"/>
      </rPr>
      <t>76-66</t>
    </r>
  </si>
  <si>
    <r>
      <t xml:space="preserve">Chiffre d'affaire:
</t>
    </r>
    <r>
      <rPr>
        <b/>
        <u/>
        <sz val="11"/>
        <rFont val="Calibri"/>
        <family val="2"/>
        <scheme val="minor"/>
      </rPr>
      <t>comptes chiffre d'affaire:</t>
    </r>
  </si>
  <si>
    <r>
      <t xml:space="preserve">Produits d'exploitation:
</t>
    </r>
    <r>
      <rPr>
        <b/>
        <u/>
        <sz val="11"/>
        <rFont val="Calibri"/>
        <family val="2"/>
        <scheme val="minor"/>
      </rPr>
      <t>comptes produits d'exploitation:</t>
    </r>
  </si>
  <si>
    <r>
      <t xml:space="preserve">:Chiffre d'affaire 
</t>
    </r>
    <r>
      <rPr>
        <b/>
        <sz val="12"/>
        <color theme="1"/>
        <rFont val="Calibri"/>
        <family val="2"/>
        <scheme val="minor"/>
      </rPr>
      <t>+</t>
    </r>
    <r>
      <rPr>
        <sz val="12"/>
        <color theme="1"/>
        <rFont val="Calibri"/>
        <family val="2"/>
        <scheme val="minor"/>
      </rPr>
      <t xml:space="preserve"> autres produits d'exploitation
</t>
    </r>
    <r>
      <rPr>
        <u/>
        <sz val="12"/>
        <color theme="1"/>
        <rFont val="Calibri"/>
        <family val="2"/>
        <scheme val="minor"/>
      </rPr>
      <t>70+74+75+78+79</t>
    </r>
  </si>
  <si>
    <r>
      <t xml:space="preserve">Charges d'exploitation:
</t>
    </r>
    <r>
      <rPr>
        <b/>
        <i/>
        <u/>
        <sz val="11"/>
        <rFont val="Calibri"/>
        <family val="2"/>
        <scheme val="minor"/>
      </rPr>
      <t>Comptes charges d'exploitation:</t>
    </r>
  </si>
  <si>
    <r>
      <t xml:space="preserve">Valeur ajoutée:
</t>
    </r>
    <r>
      <rPr>
        <b/>
        <u/>
        <sz val="11"/>
        <rFont val="Calibri"/>
        <family val="2"/>
        <scheme val="minor"/>
      </rPr>
      <t>Comptes valeur ajoutée:</t>
    </r>
  </si>
  <si>
    <r>
      <t xml:space="preserve">Résultat exceptionnel:
</t>
    </r>
    <r>
      <rPr>
        <b/>
        <u/>
        <sz val="11"/>
        <rFont val="Calibri"/>
        <family val="2"/>
        <scheme val="minor"/>
      </rPr>
      <t>Compte résultat exceptionnel</t>
    </r>
  </si>
  <si>
    <r>
      <t xml:space="preserve">Produits exceptionnels 
</t>
    </r>
    <r>
      <rPr>
        <b/>
        <sz val="12"/>
        <color theme="1"/>
        <rFont val="Calibri"/>
        <family val="2"/>
        <scheme val="minor"/>
      </rPr>
      <t xml:space="preserve">- </t>
    </r>
    <r>
      <rPr>
        <sz val="12"/>
        <color theme="1"/>
        <rFont val="Calibri"/>
        <family val="2"/>
        <scheme val="minor"/>
      </rPr>
      <t xml:space="preserve">Charges exceptionnelles
</t>
    </r>
    <r>
      <rPr>
        <u/>
        <sz val="12"/>
        <color theme="1"/>
        <rFont val="Calibri"/>
        <family val="2"/>
        <scheme val="minor"/>
      </rPr>
      <t>77-67</t>
    </r>
  </si>
  <si>
    <r>
      <rPr>
        <b/>
        <sz val="12"/>
        <color theme="1"/>
        <rFont val="Calibri"/>
        <family val="2"/>
        <scheme val="minor"/>
      </rPr>
      <t>:</t>
    </r>
    <r>
      <rPr>
        <sz val="12"/>
        <color theme="1"/>
        <rFont val="Calibri"/>
        <family val="2"/>
        <scheme val="minor"/>
      </rPr>
      <t xml:space="preserve">Vente de marchandises
</t>
    </r>
    <r>
      <rPr>
        <b/>
        <sz val="12"/>
        <color theme="1"/>
        <rFont val="Calibri"/>
        <family val="2"/>
        <scheme val="minor"/>
      </rPr>
      <t>+</t>
    </r>
    <r>
      <rPr>
        <sz val="12"/>
        <color theme="1"/>
        <rFont val="Calibri"/>
        <family val="2"/>
        <scheme val="minor"/>
      </rPr>
      <t xml:space="preserve">Prestation de services
</t>
    </r>
    <r>
      <rPr>
        <b/>
        <sz val="12"/>
        <color theme="1"/>
        <rFont val="Calibri"/>
        <family val="2"/>
        <scheme val="minor"/>
      </rPr>
      <t>+</t>
    </r>
    <r>
      <rPr>
        <sz val="12"/>
        <color theme="1"/>
        <rFont val="Calibri"/>
        <family val="2"/>
        <scheme val="minor"/>
      </rPr>
      <t xml:space="preserve">Produits des activités annexes
</t>
    </r>
    <r>
      <rPr>
        <u/>
        <sz val="12"/>
        <color theme="1"/>
        <rFont val="Calibri"/>
        <family val="2"/>
        <scheme val="minor"/>
      </rPr>
      <t>706+707+708</t>
    </r>
  </si>
  <si>
    <r>
      <t xml:space="preserve">:Achats 
</t>
    </r>
    <r>
      <rPr>
        <b/>
        <sz val="12"/>
        <color theme="1"/>
        <rFont val="Calibri"/>
        <family val="2"/>
        <scheme val="minor"/>
      </rPr>
      <t>+</t>
    </r>
    <r>
      <rPr>
        <sz val="12"/>
        <color theme="1"/>
        <rFont val="Calibri"/>
        <family val="2"/>
        <scheme val="minor"/>
      </rPr>
      <t xml:space="preserve"> autres achats et charges externes+ Impôts et versements assimilés 
</t>
    </r>
    <r>
      <rPr>
        <b/>
        <sz val="12"/>
        <color theme="1"/>
        <rFont val="Calibri"/>
        <family val="2"/>
        <scheme val="minor"/>
      </rPr>
      <t>+</t>
    </r>
    <r>
      <rPr>
        <sz val="12"/>
        <color theme="1"/>
        <rFont val="Calibri"/>
        <family val="2"/>
        <scheme val="minor"/>
      </rPr>
      <t xml:space="preserve"> Charges personnel 
</t>
    </r>
    <r>
      <rPr>
        <b/>
        <sz val="12"/>
        <color theme="1"/>
        <rFont val="Calibri"/>
        <family val="2"/>
        <scheme val="minor"/>
      </rPr>
      <t>+</t>
    </r>
    <r>
      <rPr>
        <sz val="12"/>
        <color theme="1"/>
        <rFont val="Calibri"/>
        <family val="2"/>
        <scheme val="minor"/>
      </rPr>
      <t xml:space="preserve"> dotations d'exploitation 
</t>
    </r>
    <r>
      <rPr>
        <b/>
        <sz val="12"/>
        <color theme="1"/>
        <rFont val="Calibri"/>
        <family val="2"/>
        <scheme val="minor"/>
      </rPr>
      <t>+</t>
    </r>
    <r>
      <rPr>
        <sz val="12"/>
        <color theme="1"/>
        <rFont val="Calibri"/>
        <family val="2"/>
        <scheme val="minor"/>
      </rPr>
      <t xml:space="preserve"> Autres charges  
</t>
    </r>
    <r>
      <rPr>
        <u/>
        <sz val="12"/>
        <color theme="1"/>
        <rFont val="Calibri"/>
        <family val="2"/>
        <scheme val="minor"/>
      </rPr>
      <t>60+61+62+63+64+65+68</t>
    </r>
  </si>
  <si>
    <r>
      <rPr>
        <b/>
        <sz val="12"/>
        <color theme="1"/>
        <rFont val="Calibri"/>
        <family val="2"/>
        <scheme val="minor"/>
      </rPr>
      <t>A.Pourquoi calculer un résultat exceptionnel ?</t>
    </r>
    <r>
      <rPr>
        <sz val="12"/>
        <color theme="1"/>
        <rFont val="Calibri"/>
        <family val="2"/>
        <scheme val="minor"/>
      </rPr>
      <t xml:space="preserve">
L’étude du résultat exceptionnel peut venir justifier de mauvaises performances économiques d’une entreprise sur le plan global. Autrement dit, s’il est très important, c’est un résultat qui peut venir plomber à lui seul le résultat d’exploitation et ainsi générer un résultat net comptable déficitaire. L’isoler va permettre de distinguer, d’une part la rentabilité liée à l’exploitation, et, d’autre part, celle liée aux opérations non courantes.
Concrètement, il va donner des informations sur :
-les résultats (plus ou moins-values) réalisées lors de la cession d’immobilisation (biens nécessaires à l’exploitation et utilisés plus -de 12 mois par une entreprise),
les amortissements dérogatoires pratiqués par un entreprise et plus généralement toutes les dépréciations exceptionnelles d’actifs,
-les litiges qu’anticipe une entreprise ou ceux qu’elle rencontre (provisions pour risques, charges exceptionnelles).
</t>
    </r>
    <r>
      <rPr>
        <b/>
        <sz val="12"/>
        <color theme="1"/>
        <rFont val="Calibri"/>
        <family val="2"/>
        <scheme val="minor"/>
      </rPr>
      <t>B.Quand calculer un résultat exceptionnel ?</t>
    </r>
    <r>
      <rPr>
        <sz val="12"/>
        <color theme="1"/>
        <rFont val="Calibri"/>
        <family val="2"/>
        <scheme val="minor"/>
      </rPr>
      <t xml:space="preserve">
Reprise d’entreprise : le résultat exceptionnel doit être étudié avec précaution puisqu’il donne des indications au repreneur sur les événements non courants subis par l’entreprise (ils peuvent également en donner sur l’avenir) ;
En cours d’existence : le résultat exceptionnel doit faire l’objet de comparaison dans le temps, afin d’analyser les grandes tendances.
On remarquera qu’en cas de création d’entreprise, le résultat exceptionnel n’est pas calculé en pratique puisqu’il est généralement lié à des événements imprévisibles (excepté pour les ventes de l’appareil productif, ce qui est assez rare sur l’horizon de 3 ans couvert par un prévisionnel financier).
</t>
    </r>
    <r>
      <rPr>
        <b/>
        <sz val="12"/>
        <color theme="1"/>
        <rFont val="Calibri"/>
        <family val="2"/>
        <scheme val="minor"/>
      </rPr>
      <t>C.Quels sont les ratios financiers calculés à partir du résultat exceptionnel ?</t>
    </r>
    <r>
      <rPr>
        <sz val="12"/>
        <color theme="1"/>
        <rFont val="Calibri"/>
        <family val="2"/>
        <scheme val="minor"/>
      </rPr>
      <t xml:space="preserve">
Il existe peu de ratios financiers calculés à partir du résultat exceptionnel. Un seul est généralement utilisé, il met en avant l’importance du résultat exceptionnel sur le chiffre d’affaires.
</t>
    </r>
    <r>
      <rPr>
        <b/>
        <sz val="12"/>
        <color theme="1"/>
        <rFont val="Calibri"/>
        <family val="2"/>
        <scheme val="minor"/>
      </rPr>
      <t>Rentabilité des opérations non courantes =</t>
    </r>
    <r>
      <rPr>
        <sz val="12"/>
        <color theme="1"/>
        <rFont val="Calibri"/>
        <family val="2"/>
        <scheme val="minor"/>
      </rPr>
      <t xml:space="preserve"> ( Résultat exceptionnel / Chiffre d’affaires hors taxes ) x 100
</t>
    </r>
    <r>
      <rPr>
        <b/>
        <sz val="12"/>
        <color theme="1"/>
        <rFont val="Calibri"/>
        <family val="2"/>
        <scheme val="minor"/>
      </rPr>
      <t>Conclusion :</t>
    </r>
    <r>
      <rPr>
        <sz val="12"/>
        <color theme="1"/>
        <rFont val="Calibri"/>
        <family val="2"/>
        <scheme val="minor"/>
      </rPr>
      <t xml:space="preserve"> Le résultat exceptionnel permet de mesurer l’impact des opérations non courantes ou présentant un caractère anormal par rapport à l’exploitation.</t>
    </r>
  </si>
  <si>
    <r>
      <rPr>
        <b/>
        <sz val="12"/>
        <color theme="1"/>
        <rFont val="Calibri"/>
        <family val="2"/>
        <scheme val="minor"/>
      </rPr>
      <t>A.Pourquoi calculer un résultat net ?</t>
    </r>
    <r>
      <rPr>
        <sz val="12"/>
        <color theme="1"/>
        <rFont val="Calibri"/>
        <family val="2"/>
        <scheme val="minor"/>
      </rPr>
      <t xml:space="preserve">
Le résultat net mesure la performance globale d’une entreprise. Il s’agit donc d’un indicateur important. C’est d’ailleurs ce résultat qui : Est retraité pour parvenir au résultat fiscal (base de calcul de l’impôt sur les bénéfices), Fait l’objet d’une affectation chaque année par l’assemblée générale ordinaire annuelle, Et qui est diffusé au tiers par le biais du dépôt des comptes annuels.
Il convient toutefois de souligner que la portée de cet indicateur, de par sa nature globale, doit être relativisée puisqu’il est altéré par les éléments de nature financière et surtout par les événements exceptionnels. 
De plus, il mesure un résultat et non pas un flux (la traduction en terme de trésorerie peut donc différer de manière assez significative). Dans le cadre d’une démarche d’analyse du compte de résultat, il est conseiller de s’appuyer sur d’autres données complémentaires comme le chiffre d’affaires (et sa variation), le résultat d’exploitation, l’excédent brut d’exploitation, etc. Par ailleurs, le résultat net comptable constitue la base de calcul de nombreux autres indicateurs et ratios financiers (comme la capacité d’auto-financement par exemple).
</t>
    </r>
    <r>
      <rPr>
        <b/>
        <sz val="12"/>
        <color theme="1"/>
        <rFont val="Calibri"/>
        <family val="2"/>
        <scheme val="minor"/>
      </rPr>
      <t>B.Quand calculer un résultat net ?</t>
    </r>
    <r>
      <rPr>
        <sz val="12"/>
        <color theme="1"/>
        <rFont val="Calibri"/>
        <family val="2"/>
        <scheme val="minor"/>
      </rPr>
      <t xml:space="preserve">
Lorsqu’une entreprise est créée : le résultat net mesure la rentabilité future et globale de l’entreprise. C’est une donnée indispensable figurant dans le compte de résultat prévisionnel et dans le bilan prévisionnel qui sera étudiée par tous les lecteurs du business plan même si ce n’est pas la plus essentielle ;
Lorsqu’une entreprise est rachetée : le résultat net informe sur la santé financière et économique de l’entreprise ciblée. Il peut servir de base de calcul en matière d’évaluation du fonds de commerce  mais cette méthode est généralement déconseillée. Chaque sous-résultat doit être analysé avec précaution ;
Lorsqu’une entreprise clôture son exercice : le résultat net est une donnée du compte de résultat et du bilan, documents comptables devant être établis à la clôture de chaque exercice. On parle, dans ce cas, de résultat net de l’exercice.
</t>
    </r>
    <r>
      <rPr>
        <b/>
        <sz val="12"/>
        <color theme="1"/>
        <rFont val="Calibri"/>
        <family val="2"/>
        <scheme val="minor"/>
      </rPr>
      <t>C.Quels sont les ratios financiers calculés à partir du résultat net ?</t>
    </r>
    <r>
      <rPr>
        <sz val="12"/>
        <color theme="1"/>
        <rFont val="Calibri"/>
        <family val="2"/>
        <scheme val="minor"/>
      </rPr>
      <t xml:space="preserve">
Le résultat net constitue la base de calcul de nombreux ratios financiers. En pratique, voici les principaux d’entre eux :
</t>
    </r>
    <r>
      <rPr>
        <b/>
        <sz val="12"/>
        <color theme="1"/>
        <rFont val="Calibri"/>
        <family val="2"/>
        <scheme val="minor"/>
      </rPr>
      <t>Taux de rentabilité net =</t>
    </r>
    <r>
      <rPr>
        <sz val="12"/>
        <color theme="1"/>
        <rFont val="Calibri"/>
        <family val="2"/>
        <scheme val="minor"/>
      </rPr>
      <t xml:space="preserve"> résultat net / chiffre d’affaires
</t>
    </r>
    <r>
      <rPr>
        <b/>
        <sz val="12"/>
        <color theme="1"/>
        <rFont val="Calibri"/>
        <family val="2"/>
        <scheme val="minor"/>
      </rPr>
      <t>Rentabilité des capitaux propres (return on equity) =</t>
    </r>
    <r>
      <rPr>
        <sz val="12"/>
        <color theme="1"/>
        <rFont val="Calibri"/>
        <family val="2"/>
        <scheme val="minor"/>
      </rPr>
      <t xml:space="preserve"> Résultat net / Capitaux propres
</t>
    </r>
    <r>
      <rPr>
        <b/>
        <sz val="12"/>
        <color theme="1"/>
        <rFont val="Calibri"/>
        <family val="2"/>
        <scheme val="minor"/>
      </rPr>
      <t>Valeur ajoutée revenant à l’entreprise =</t>
    </r>
    <r>
      <rPr>
        <sz val="12"/>
        <color theme="1"/>
        <rFont val="Calibri"/>
        <family val="2"/>
        <scheme val="minor"/>
      </rPr>
      <t xml:space="preserve"> Résultat net / Valeur ajoutée
</t>
    </r>
    <r>
      <rPr>
        <b/>
        <sz val="12"/>
        <color theme="1"/>
        <rFont val="Calibri"/>
        <family val="2"/>
        <scheme val="minor"/>
      </rPr>
      <t xml:space="preserve">Bénéfice par action (BPA) = </t>
    </r>
    <r>
      <rPr>
        <sz val="12"/>
        <color theme="1"/>
        <rFont val="Calibri"/>
        <family val="2"/>
        <scheme val="minor"/>
      </rPr>
      <t xml:space="preserve">résultat net / Nombre de titres
</t>
    </r>
    <r>
      <rPr>
        <b/>
        <sz val="12"/>
        <color theme="1"/>
        <rFont val="Calibri"/>
        <family val="2"/>
        <scheme val="minor"/>
      </rPr>
      <t xml:space="preserve">Conclusion : </t>
    </r>
    <r>
      <rPr>
        <sz val="12"/>
        <color theme="1"/>
        <rFont val="Calibri"/>
        <family val="2"/>
        <scheme val="minor"/>
      </rPr>
      <t xml:space="preserve">Le résultat net mesure la performance globale d’une entreprise en incluant, non seulement le résultat de ses activités opérationnelles mais également ceux résultant de sa politique de financement et des événements exceptionnels.
</t>
    </r>
  </si>
  <si>
    <t>Poste</t>
  </si>
  <si>
    <t>Compte</t>
  </si>
  <si>
    <t>Appartenance</t>
  </si>
  <si>
    <t>Recherche</t>
  </si>
  <si>
    <t>707 : Vente de marchandises</t>
  </si>
  <si>
    <t>affiche vente</t>
  </si>
  <si>
    <t>Confiserie vente</t>
  </si>
  <si>
    <t>boisson vente</t>
  </si>
  <si>
    <t>lunette vente/location</t>
  </si>
  <si>
    <t>recette guichet</t>
  </si>
  <si>
    <t>contribution 3D</t>
  </si>
  <si>
    <t>supplément 3D</t>
  </si>
  <si>
    <t>prestation 3D</t>
  </si>
  <si>
    <t>Recette Abonnements</t>
  </si>
  <si>
    <t>recette ddm/spectacle</t>
  </si>
  <si>
    <t>recette chèques/abonnements</t>
  </si>
  <si>
    <t>frais de gestion</t>
  </si>
  <si>
    <t>comission et courtage</t>
  </si>
  <si>
    <t>location de salle</t>
  </si>
  <si>
    <t>publicité nationale/locale/programme</t>
  </si>
  <si>
    <t>subventions d'exploitation/art et essai/autres</t>
  </si>
  <si>
    <t>reprises provisions</t>
  </si>
  <si>
    <t>transfert de charges</t>
  </si>
  <si>
    <t>74: subventions</t>
  </si>
  <si>
    <t>78,79: reprises sur amort et prov et transferts</t>
  </si>
  <si>
    <t>ticket périmé</t>
  </si>
  <si>
    <t>carte périmé</t>
  </si>
  <si>
    <t>abonnement périmé</t>
  </si>
  <si>
    <t>75: autres produits de gestion courantes</t>
  </si>
  <si>
    <t>contribution aux déploiement/VFP</t>
  </si>
  <si>
    <t>autres intérets et produits assimilés</t>
  </si>
  <si>
    <t>produits nets sur cessions valeurs mobilières/VMP</t>
  </si>
  <si>
    <t>76: produits financiers</t>
  </si>
  <si>
    <t>Produit exceptionnels de gestion</t>
  </si>
  <si>
    <t>Produits cessions éléments actif</t>
  </si>
  <si>
    <t>subventions investissement sur résultat</t>
  </si>
  <si>
    <t>reprises sur provisions et transferts.. Exceptionnelles</t>
  </si>
  <si>
    <t>confiserie achat</t>
  </si>
  <si>
    <t>boisson achat</t>
  </si>
  <si>
    <t>607: achats de marchandises</t>
  </si>
  <si>
    <t>603: variation de stock</t>
  </si>
  <si>
    <t>confiserie variation</t>
  </si>
  <si>
    <t>boisson variation</t>
  </si>
  <si>
    <t>lunette variation</t>
  </si>
  <si>
    <t>programmation/prestations frais</t>
  </si>
  <si>
    <t xml:space="preserve">location de films </t>
  </si>
  <si>
    <t>affiches achat</t>
  </si>
  <si>
    <t>location spectacle frais</t>
  </si>
  <si>
    <t>606: achats non stockés de matières et fournitures</t>
  </si>
  <si>
    <t>eau</t>
  </si>
  <si>
    <t xml:space="preserve">électricité </t>
  </si>
  <si>
    <t>gaz</t>
  </si>
  <si>
    <t>energie</t>
  </si>
  <si>
    <t>petits equipements,outillages</t>
  </si>
  <si>
    <t>billets achats</t>
  </si>
  <si>
    <t>fournitures et produits d'entretient</t>
  </si>
  <si>
    <t>sous-traitance</t>
  </si>
  <si>
    <t>location immobilière/loyer/parking/locaux</t>
  </si>
  <si>
    <t>location mobilère/equipement etc..</t>
  </si>
  <si>
    <t>location service monétiques (TPE)</t>
  </si>
  <si>
    <t>nettoyage /ménage locaux/intérieur</t>
  </si>
  <si>
    <t>entretien espaces extérieurs</t>
  </si>
  <si>
    <t>entretien et réparation immobilier</t>
  </si>
  <si>
    <t>entretien et réparation matériel de projection</t>
  </si>
  <si>
    <t>entretien cabine</t>
  </si>
  <si>
    <t>615(6): maintenance</t>
  </si>
  <si>
    <t>maintenance matériel de projection</t>
  </si>
  <si>
    <t>maintenance autre</t>
  </si>
  <si>
    <t>prime d'assurance et multirisque</t>
  </si>
  <si>
    <t>621: personnel extérieur</t>
  </si>
  <si>
    <t>sécurité/gardiennage</t>
  </si>
  <si>
    <t>622: rémunération honoraires</t>
  </si>
  <si>
    <t>comission et courtage sur achats</t>
  </si>
  <si>
    <t>comission et courtage sur ventes</t>
  </si>
  <si>
    <t>honoraire comptables</t>
  </si>
  <si>
    <t>honoraires juridique</t>
  </si>
  <si>
    <t>frais d'actes contentieux</t>
  </si>
  <si>
    <t>623: frais de publicité</t>
  </si>
  <si>
    <t>affichages/ ponctuels/permanents</t>
  </si>
  <si>
    <t>annnonce et insertion</t>
  </si>
  <si>
    <t>publication/impressions/programmes</t>
  </si>
  <si>
    <t>animations diverses</t>
  </si>
  <si>
    <t>frais de transport sur achats/films</t>
  </si>
  <si>
    <t>624: transports sur achats</t>
  </si>
  <si>
    <t>625: frais de restauration, déplacement et véhicule</t>
  </si>
  <si>
    <t>frais de déplacement</t>
  </si>
  <si>
    <t>missions et receptions</t>
  </si>
  <si>
    <t xml:space="preserve">frais de séminaire et colloque </t>
  </si>
  <si>
    <t>location de véhicule</t>
  </si>
  <si>
    <t>entretien et réparation véhicule</t>
  </si>
  <si>
    <t>carburant</t>
  </si>
  <si>
    <t xml:space="preserve">téléphone </t>
  </si>
  <si>
    <t>internet</t>
  </si>
  <si>
    <t>télécommunication et postaux non précisée</t>
  </si>
  <si>
    <t>postaux</t>
  </si>
  <si>
    <t>626: frais postaux et télécommunications</t>
  </si>
  <si>
    <t>frais sur carte bancaire( CB)</t>
  </si>
  <si>
    <t xml:space="preserve"> </t>
  </si>
  <si>
    <t>627: frais bancaires (hors intérêts)</t>
  </si>
  <si>
    <t>cotisations</t>
  </si>
  <si>
    <t>formation professionnel continue</t>
  </si>
  <si>
    <t xml:space="preserve">taxe d'apprentissage </t>
  </si>
  <si>
    <t>taxe professionnel</t>
  </si>
  <si>
    <t>CVAE (cotisation sur la valeur ajoutée)</t>
  </si>
  <si>
    <t>635 à 637: autres impôts et taxes</t>
  </si>
  <si>
    <t xml:space="preserve">CFE (cotisation foncière des entreprises) </t>
  </si>
  <si>
    <t>CET (cotisation économique territoriale)</t>
  </si>
  <si>
    <t>taxe foncière</t>
  </si>
  <si>
    <t>cotisations CNC</t>
  </si>
  <si>
    <t>628: cotisations (hors Sacem, CNC et SPRE)</t>
  </si>
  <si>
    <t>salaires et traitements</t>
  </si>
  <si>
    <t>charges sociales</t>
  </si>
  <si>
    <t>641 à 647: charges personnels</t>
  </si>
  <si>
    <t>dotations d'exploitations</t>
  </si>
  <si>
    <t>amortissements immobilisations incorporelles et corporelles</t>
  </si>
  <si>
    <t>681: amortissements et provisions</t>
  </si>
  <si>
    <t xml:space="preserve">droits d'auteurs </t>
  </si>
  <si>
    <t>Sacem</t>
  </si>
  <si>
    <t>cotisations Sacem</t>
  </si>
  <si>
    <t>SPRE</t>
  </si>
  <si>
    <t>651 à 658: autres charges(charges de gestion courante)</t>
  </si>
  <si>
    <t xml:space="preserve">intérets sur emprunts </t>
  </si>
  <si>
    <t>661 à 668: intérets et charges assimilées, charges nettes cessions VMP</t>
  </si>
  <si>
    <t>charges exceptionnelles sur opérations de gestion</t>
  </si>
  <si>
    <t>charges exceptionnelles sur opérations en capital</t>
  </si>
  <si>
    <t>dotations aux amortissements et provisions exceptionnelles</t>
  </si>
  <si>
    <t>671: charges exceptionnelles sur opérations de gestion</t>
  </si>
  <si>
    <t>675: charges exceptionnelles sur opérations en capital</t>
  </si>
  <si>
    <t xml:space="preserve">687: dotations aux amortissements et provisions exceptionnelles
</t>
  </si>
  <si>
    <t>impôts sur les bénéfices</t>
  </si>
  <si>
    <t>69: impôts sur les bénéfices</t>
  </si>
  <si>
    <t>Nom du poste par odre alphabétique</t>
  </si>
  <si>
    <t>lunette 3D/frais/achats</t>
  </si>
  <si>
    <t>cadeaux</t>
  </si>
  <si>
    <t>pourboires et dons</t>
  </si>
  <si>
    <t>service bancaire</t>
  </si>
  <si>
    <t>TEOM/TOM (taxe ordure ménagères)</t>
  </si>
  <si>
    <t>CAF</t>
  </si>
  <si>
    <t>Capacité d'auto-financement</t>
  </si>
  <si>
    <r>
      <rPr>
        <b/>
        <sz val="14"/>
        <color theme="1"/>
        <rFont val="Calibri"/>
        <family val="2"/>
        <scheme val="minor"/>
      </rPr>
      <t>A.Quels sont les ratios financiers calculés à partir du chiffre d’affaires ?</t>
    </r>
    <r>
      <rPr>
        <sz val="14"/>
        <color theme="1"/>
        <rFont val="Calibri"/>
        <family val="2"/>
        <scheme val="minor"/>
      </rPr>
      <t xml:space="preserve">
De très nombreux ratios sont calculés à partir du chiffre d’affaires. Le premier, et le plus simple à calculer, est le ratio d’activité. Celui-ci donne une indication sur la variation du chiffre d’affaires entre deux périodes.
</t>
    </r>
    <r>
      <rPr>
        <b/>
        <sz val="14"/>
        <color theme="1"/>
        <rFont val="Calibri"/>
        <family val="2"/>
        <scheme val="minor"/>
      </rPr>
      <t xml:space="preserve">Ratio d’activité = </t>
    </r>
    <r>
      <rPr>
        <sz val="14"/>
        <color theme="1"/>
        <rFont val="Calibri"/>
        <family val="2"/>
        <scheme val="minor"/>
      </rPr>
      <t>( Chiffre d’affaires hors taxes de l’année de la période 1 – Chiffre d’affaires hors taxes de la période 2 ) / Chiffre d’affaires hors taxes de la période 2
Il est également compris dans certains ratios de rentabilité et de productivité :</t>
    </r>
    <r>
      <rPr>
        <b/>
        <sz val="14"/>
        <color theme="1"/>
        <rFont val="Calibri"/>
        <family val="2"/>
        <scheme val="minor"/>
      </rPr>
      <t xml:space="preserve">
Rentabilité globale = </t>
    </r>
    <r>
      <rPr>
        <sz val="14"/>
        <color theme="1"/>
        <rFont val="Calibri"/>
        <family val="2"/>
        <scheme val="minor"/>
      </rPr>
      <t xml:space="preserve">( Résultat net / Chiffre d’affaires hors taxes ) × 100
</t>
    </r>
    <r>
      <rPr>
        <b/>
        <sz val="14"/>
        <color theme="1"/>
        <rFont val="Calibri"/>
        <family val="2"/>
        <scheme val="minor"/>
      </rPr>
      <t>Rentabilité de l’activité =</t>
    </r>
    <r>
      <rPr>
        <sz val="14"/>
        <color theme="1"/>
        <rFont val="Calibri"/>
        <family val="2"/>
        <scheme val="minor"/>
      </rPr>
      <t xml:space="preserve"> ( Capacité d’autofinancement / Chiffre d’affaires hors taxes ) × 100</t>
    </r>
    <r>
      <rPr>
        <b/>
        <sz val="14"/>
        <color theme="1"/>
        <rFont val="Calibri"/>
        <family val="2"/>
        <scheme val="minor"/>
      </rPr>
      <t xml:space="preserve">
Productivité =</t>
    </r>
    <r>
      <rPr>
        <sz val="14"/>
        <color theme="1"/>
        <rFont val="Calibri"/>
        <family val="2"/>
        <scheme val="minor"/>
      </rPr>
      <t xml:space="preserve"> Chiffre d’affaires / Nombre de salariés
</t>
    </r>
    <r>
      <rPr>
        <b/>
        <sz val="14"/>
        <color theme="1"/>
        <rFont val="Calibri"/>
        <family val="2"/>
        <scheme val="minor"/>
      </rPr>
      <t>Conclusion :</t>
    </r>
    <r>
      <rPr>
        <sz val="14"/>
        <color theme="1"/>
        <rFont val="Calibri"/>
        <family val="2"/>
        <scheme val="minor"/>
      </rPr>
      <t xml:space="preserve"> le chiffre d’affaires permet d’évaluer le niveau de l’activité courante d’une entreprise. Il sert de base de calcul de nombreux ratios financiers et représente le premier indicateur de performance des ventes d’une entreprise.</t>
    </r>
  </si>
  <si>
    <r>
      <rPr>
        <b/>
        <sz val="14"/>
        <color theme="1"/>
        <rFont val="Calibri"/>
        <family val="2"/>
        <scheme val="minor"/>
      </rPr>
      <t>A. Pourquoi calculer une valeur ajoutée ?</t>
    </r>
    <r>
      <rPr>
        <sz val="14"/>
        <color theme="1"/>
        <rFont val="Calibri"/>
        <family val="2"/>
        <scheme val="minor"/>
      </rPr>
      <t xml:space="preserve">
La valeur ajoutée peut être calculée par branche d’activité ou par produit. Elle permet d’identifier les lieux de création de valeur au sein d’une entreprise (par secteur d’activité ou par service de l’entreprise).
La valeur ajoutée est une donnée universelle, utilisée tant sur le plan micro-économique (l’entreprise) qu’au niveau macro-économique (la somme des valeurs ajoutées des entreprises constitue le produit intérieur brut PIB). Elle permet des comparaisons entre entreprises du même secteur d’activité.
Remarque : en cas de reprise d’entreprise, la valeur ajoutée ne doit pas être le seul indicateur financier étudié puisqu’il ne met en évidence que la richesse créée, et non pas la manière dont elle est répartie dans l’entreprise.
</t>
    </r>
    <r>
      <rPr>
        <b/>
        <sz val="14"/>
        <color theme="1"/>
        <rFont val="Calibri"/>
        <family val="2"/>
        <scheme val="minor"/>
      </rPr>
      <t>B. Quels sont les ratios financiers issus de la valeur ajoutée ?</t>
    </r>
    <r>
      <rPr>
        <sz val="14"/>
        <color theme="1"/>
        <rFont val="Calibri"/>
        <family val="2"/>
        <scheme val="minor"/>
      </rPr>
      <t xml:space="preserve">
</t>
    </r>
    <r>
      <rPr>
        <b/>
        <sz val="14"/>
        <color theme="1"/>
        <rFont val="Calibri"/>
        <family val="2"/>
        <scheme val="minor"/>
      </rPr>
      <t>Taux de valeur ajoutée =</t>
    </r>
    <r>
      <rPr>
        <sz val="14"/>
        <color theme="1"/>
        <rFont val="Calibri"/>
        <family val="2"/>
        <scheme val="minor"/>
      </rPr>
      <t xml:space="preserve"> Valeur ajoutée / Chiffre d’affaires hors taxes
</t>
    </r>
    <r>
      <rPr>
        <b/>
        <sz val="14"/>
        <color theme="1"/>
        <rFont val="Calibri"/>
        <family val="2"/>
        <scheme val="minor"/>
      </rPr>
      <t>Taux de rendement des capitaux investis =</t>
    </r>
    <r>
      <rPr>
        <sz val="14"/>
        <color theme="1"/>
        <rFont val="Calibri"/>
        <family val="2"/>
        <scheme val="minor"/>
      </rPr>
      <t xml:space="preserve"> Valeur ajoutée / Actifs productifs bruts
</t>
    </r>
    <r>
      <rPr>
        <b/>
        <sz val="14"/>
        <color theme="1"/>
        <rFont val="Calibri"/>
        <family val="2"/>
        <scheme val="minor"/>
      </rPr>
      <t>Productivité du travail =</t>
    </r>
    <r>
      <rPr>
        <sz val="14"/>
        <color theme="1"/>
        <rFont val="Calibri"/>
        <family val="2"/>
        <scheme val="minor"/>
      </rPr>
      <t xml:space="preserve"> Valeur ajoutée / Charges de personnel
</t>
    </r>
    <r>
      <rPr>
        <b/>
        <sz val="14"/>
        <color theme="1"/>
        <rFont val="Calibri"/>
        <family val="2"/>
        <scheme val="minor"/>
      </rPr>
      <t xml:space="preserve">Conclusion : </t>
    </r>
    <r>
      <rPr>
        <sz val="14"/>
        <color theme="1"/>
        <rFont val="Calibri"/>
        <family val="2"/>
        <scheme val="minor"/>
      </rPr>
      <t>la valeur ajoutée permet de calculer la richesse brute créée par une entreprise, avant rémunération de ses salariés, de ses apporteurs de capitaux et des administrations.</t>
    </r>
  </si>
  <si>
    <r>
      <rPr>
        <b/>
        <sz val="14"/>
        <color theme="1"/>
        <rFont val="Calibri"/>
        <family val="2"/>
        <scheme val="minor"/>
      </rPr>
      <t>A.Quand calculer un résultat financier ?</t>
    </r>
    <r>
      <rPr>
        <sz val="14"/>
        <color theme="1"/>
        <rFont val="Calibri"/>
        <family val="2"/>
        <scheme val="minor"/>
      </rPr>
      <t xml:space="preserve">
Lors d’une création d’entreprise : le résultat financier, qui figure alors dans le compte de résultat prévisionnel, permet de mesurer le poids de la politique de financement,
Lors d’une reprise d’entreprise : il synthétise en termes monétaires le résultat de la politique menée en matière financière et peut faire l’objet d’une analyse critique,
Lors de la clôture d’un exercice comptable : faisant partie intégrante du compte de résultat, il doit être calculé à l’occasion de l’établissement des comptes annuels. Il peut être comparé dans le temps.
</t>
    </r>
    <r>
      <rPr>
        <b/>
        <sz val="14"/>
        <color theme="1"/>
        <rFont val="Calibri"/>
        <family val="2"/>
        <scheme val="minor"/>
      </rPr>
      <t>B.Quels sont les ratios calculés à partir du résultat financier ?</t>
    </r>
    <r>
      <rPr>
        <sz val="14"/>
        <color theme="1"/>
        <rFont val="Calibri"/>
        <family val="2"/>
        <scheme val="minor"/>
      </rPr>
      <t xml:space="preserve">
Le résultat financier est constitue la base de calcul de différents ratios du compte de résultat. Voici les principaux d’entre eux :
</t>
    </r>
    <r>
      <rPr>
        <b/>
        <sz val="14"/>
        <color theme="1"/>
        <rFont val="Calibri"/>
        <family val="2"/>
        <scheme val="minor"/>
      </rPr>
      <t>Répartition de la valeur ajoutée =</t>
    </r>
    <r>
      <rPr>
        <sz val="14"/>
        <color theme="1"/>
        <rFont val="Calibri"/>
        <family val="2"/>
        <scheme val="minor"/>
      </rPr>
      <t xml:space="preserve"> ( Charges financières / Valeur ajoutée ) x 100
</t>
    </r>
    <r>
      <rPr>
        <b/>
        <sz val="14"/>
        <color theme="1"/>
        <rFont val="Calibri"/>
        <family val="2"/>
        <scheme val="minor"/>
      </rPr>
      <t>Poids des charges financières =</t>
    </r>
    <r>
      <rPr>
        <sz val="14"/>
        <color theme="1"/>
        <rFont val="Calibri"/>
        <family val="2"/>
        <scheme val="minor"/>
      </rPr>
      <t xml:space="preserve"> ( Charges financières / Chiffre d’affaires ) x 100
</t>
    </r>
    <r>
      <rPr>
        <b/>
        <sz val="14"/>
        <color theme="1"/>
        <rFont val="Calibri"/>
        <family val="2"/>
        <scheme val="minor"/>
      </rPr>
      <t>Conclusion </t>
    </r>
    <r>
      <rPr>
        <sz val="14"/>
        <color theme="1"/>
        <rFont val="Calibri"/>
        <family val="2"/>
        <scheme val="minor"/>
      </rPr>
      <t xml:space="preserve">: Le résultat financier mesure les résultats de la stratégie menée par une entreprise dans le domaine du financement, c’est-à-dire non seulement dans le domaine de l’endettement mais également dans celui des placements.
</t>
    </r>
  </si>
  <si>
    <r>
      <rPr>
        <b/>
        <sz val="14"/>
        <color theme="1"/>
        <rFont val="Calibri"/>
        <family val="2"/>
        <scheme val="minor"/>
      </rPr>
      <t>A.Pourquoi calculer un résultat courant ?</t>
    </r>
    <r>
      <rPr>
        <sz val="14"/>
        <color theme="1"/>
        <rFont val="Calibri"/>
        <family val="2"/>
        <scheme val="minor"/>
      </rPr>
      <t xml:space="preserve">
Le résultat courant permet de mesurer les performances liées à l’activité opérationnelle d’une entreprise en tenant compte notamment de la politique financière (endettements et placements financiers) et en excluant l’impact des événements exceptionnels .
</t>
    </r>
    <r>
      <rPr>
        <b/>
        <sz val="14"/>
        <color theme="1"/>
        <rFont val="Calibri"/>
        <family val="2"/>
        <scheme val="minor"/>
      </rPr>
      <t>B.Quand calculer un résultat courant ?</t>
    </r>
    <r>
      <rPr>
        <sz val="14"/>
        <color theme="1"/>
        <rFont val="Calibri"/>
        <family val="2"/>
        <scheme val="minor"/>
      </rPr>
      <t xml:space="preserve">
Création d’entreprise ou reprise d’entreprise : le RCAI va donner une indication sur l’impact des modes de financement sur l’activité de l’entreprise et sa rentabilité future ;
Entreprises en activité : Le RCAI est compris dans le compte de résultat, document comptable formant les comptes annuels à établir chaque année. Il est un outil de gestion puisqu’il donne une indication sur la rentabilité de l’exploitation de l’entreprise compte tenu de ses choix de financement. Il doit faire l’objet de comparaison dans le temps.
</t>
    </r>
    <r>
      <rPr>
        <b/>
        <sz val="14"/>
        <color theme="1"/>
        <rFont val="Calibri"/>
        <family val="2"/>
        <scheme val="minor"/>
      </rPr>
      <t>C.Quels sont les ratios financiers calculés à partir du résultat courant ?</t>
    </r>
    <r>
      <rPr>
        <sz val="14"/>
        <color theme="1"/>
        <rFont val="Calibri"/>
        <family val="2"/>
        <scheme val="minor"/>
      </rPr>
      <t xml:space="preserve">
</t>
    </r>
    <r>
      <rPr>
        <b/>
        <sz val="14"/>
        <color theme="1"/>
        <rFont val="Calibri"/>
        <family val="2"/>
        <scheme val="minor"/>
      </rPr>
      <t xml:space="preserve">Taux de résultat courant = </t>
    </r>
    <r>
      <rPr>
        <sz val="14"/>
        <color theme="1"/>
        <rFont val="Calibri"/>
        <family val="2"/>
        <scheme val="minor"/>
      </rPr>
      <t xml:space="preserve">( Résultat courant / Chiffre d’affaires HT ) x 100
</t>
    </r>
    <r>
      <rPr>
        <b/>
        <sz val="14"/>
        <color theme="1"/>
        <rFont val="Calibri"/>
        <family val="2"/>
        <scheme val="minor"/>
      </rPr>
      <t xml:space="preserve">Conclusion : </t>
    </r>
    <r>
      <rPr>
        <sz val="14"/>
        <color theme="1"/>
        <rFont val="Calibri"/>
        <family val="2"/>
        <scheme val="minor"/>
      </rPr>
      <t>Le résultat courant mesure les performances d’une entreprise dans le domaine de son exploitation et de son financement.</t>
    </r>
  </si>
  <si>
    <r>
      <rPr>
        <b/>
        <sz val="12"/>
        <color theme="1"/>
        <rFont val="Calibri"/>
        <family val="2"/>
        <scheme val="minor"/>
      </rPr>
      <t>A.Pourquoi calculer un résultat d’exploitation ?</t>
    </r>
    <r>
      <rPr>
        <sz val="12"/>
        <color theme="1"/>
        <rFont val="Calibri"/>
        <family val="2"/>
        <scheme val="minor"/>
      </rPr>
      <t xml:space="preserve">
Le résultat d’exploitation mesure la performance économique des facteurs de production d’une entreprise en excluant l’impact de ses politiques financières ou fiscales. Contrairement à l’excédent brut d’exploitation, il ne mesure pas un « cash-flow » mais bien un résultat, c’est-à-dire une performance au sens large du terme, tenant compte des opérations qui ne donnent pas lieu à un mouvement de trésorerie (il s’agit notamment des amortissements, dépréciations et provisions). Les événements exceptionnels ne sont pas non plus pris en compte dans cet indicateur (ils le sont, en revanche, dans le résultat exceptionnel). C’est donc un résultat centré exclusivement sur l’exploitation courante de l’entreprise.
</t>
    </r>
    <r>
      <rPr>
        <b/>
        <sz val="12"/>
        <color theme="1"/>
        <rFont val="Calibri"/>
        <family val="2"/>
        <scheme val="minor"/>
      </rPr>
      <t>B.Quand calculer un résultat d’exploitation ?</t>
    </r>
    <r>
      <rPr>
        <sz val="12"/>
        <color theme="1"/>
        <rFont val="Calibri"/>
        <family val="2"/>
        <scheme val="minor"/>
      </rPr>
      <t xml:space="preserve">
Le calcul du résultat d’exploitation est important lorsque l’entreprise se trouve dans l’une des situations suivantes :
Création d’entreprise : le résultat d’exploitation doit figurer dans le prévisionnel financier et il s’agit d’une donnée qui sera analysée avec minutie par le banquier notamment ;
Reprise d’entreprise : le résultat d’exploitation donne une indication sur la rentabilité de l’exploitation. Il a un impact direct sur la valorisation de l’entité qui est vendue ;
En cours d’existence : le résultat d’exploitation permet d’effectuer des comparaisons dans le temps (historique sur différentes périodes pour une même entreprise) ou dans l’espace (comparaison avec d’autres entreprises du même secteur d’activité).
</t>
    </r>
    <r>
      <rPr>
        <b/>
        <sz val="12"/>
        <color theme="1"/>
        <rFont val="Calibri"/>
        <family val="2"/>
        <scheme val="minor"/>
      </rPr>
      <t>C.Quels sont les ratios financiers calculés à partir du résultat d’exploitation ?</t>
    </r>
    <r>
      <rPr>
        <sz val="12"/>
        <color theme="1"/>
        <rFont val="Calibri"/>
        <family val="2"/>
        <scheme val="minor"/>
      </rPr>
      <t xml:space="preserve">
</t>
    </r>
    <r>
      <rPr>
        <b/>
        <sz val="12"/>
        <color theme="1"/>
        <rFont val="Calibri"/>
        <family val="2"/>
        <scheme val="minor"/>
      </rPr>
      <t>Taux de marge opérationnelle =</t>
    </r>
    <r>
      <rPr>
        <sz val="12"/>
        <color theme="1"/>
        <rFont val="Calibri"/>
        <family val="2"/>
        <scheme val="minor"/>
      </rPr>
      <t xml:space="preserve"> ( Résultat d’exploitation / Chiffre d’affaires hors taxes ) x 100
La marge opérationnelle (MOP), ou marge d'exploitation, correspond au rapport entre le résultat d'exploitation et le chiffre d'affaires. Ce ratio indique la performance économique avant prise en compte du résultat financier, des impôts, et des événements exceptionnels. Il permet donc d'estimer la rentabilité des ventes et la viabilité à terme d'une entreprise.
</t>
    </r>
    <r>
      <rPr>
        <b/>
        <sz val="12"/>
        <color theme="1"/>
        <rFont val="Calibri"/>
        <family val="2"/>
        <scheme val="minor"/>
      </rPr>
      <t xml:space="preserve">Poids des charges financières = </t>
    </r>
    <r>
      <rPr>
        <sz val="12"/>
        <color theme="1"/>
        <rFont val="Calibri"/>
        <family val="2"/>
        <scheme val="minor"/>
      </rPr>
      <t xml:space="preserve">Charges Financières / Résultat d’exploitation
</t>
    </r>
    <r>
      <rPr>
        <b/>
        <sz val="12"/>
        <color theme="1"/>
        <rFont val="Calibri"/>
        <family val="2"/>
        <scheme val="minor"/>
      </rPr>
      <t>Conclusion </t>
    </r>
    <r>
      <rPr>
        <sz val="12"/>
        <color theme="1"/>
        <rFont val="Calibri"/>
        <family val="2"/>
        <scheme val="minor"/>
      </rPr>
      <t xml:space="preserve">: Le résultat d’exploitation permet de mesurer la performance opérationnelle d’une entreprise, indépendamment de sa politique de financement et de son imposition fiscale.
</t>
    </r>
  </si>
  <si>
    <t>: Excédent brut d’exploitation
+ autres produits
+ produits financiers(sauf reprise)
+produits except(sauf détaillé dessous)
- autres charges 
- charges exceptionnelles(sauf détail..)
=EBE+75+76( sauf 786)+ 77 (sauf 775,777,787) -65 - 66 - 67</t>
  </si>
  <si>
    <t>604,605: achats d'étude et prestations de service</t>
  </si>
  <si>
    <t>707 : vente de marchandises</t>
  </si>
  <si>
    <t>706: prestations de service</t>
  </si>
  <si>
    <t>Colonne1</t>
  </si>
  <si>
    <t>68: dotations d'exploitation</t>
  </si>
  <si>
    <t>615(5): travaux d'entretien et réparations mobilières</t>
  </si>
  <si>
    <t>615(2): travaux d'entretien et réparations immobilières</t>
  </si>
  <si>
    <t>631 à 633: impôts sur rémunération</t>
  </si>
  <si>
    <t>611: sous traitance, 613: location et 614: charges locatives</t>
  </si>
  <si>
    <t>601 à 608: achats matières premières</t>
  </si>
  <si>
    <t>616 à 618: assurances et documentations diverses</t>
  </si>
  <si>
    <t>documentations</t>
  </si>
  <si>
    <t xml:space="preserve">771 et 772: produits exceptionnels </t>
  </si>
  <si>
    <t xml:space="preserve">775: produits exceptionnels </t>
  </si>
  <si>
    <t xml:space="preserve">776: produits exceptionnels </t>
  </si>
  <si>
    <t>787: reprises sur prov et transf de charges excep</t>
  </si>
  <si>
    <t>777: subventions d'investissements sur résultat</t>
  </si>
  <si>
    <t>liste_forme</t>
  </si>
  <si>
    <t>informations_SIG</t>
  </si>
  <si>
    <t>Marge commerciale</t>
  </si>
  <si>
    <t>Marge production</t>
  </si>
  <si>
    <t>Numérateur</t>
  </si>
  <si>
    <t>1. Calculer une marge et un taux de marge</t>
  </si>
  <si>
    <t>Voici comment calculer une marge et un taux de marge selon l’activité de l’entreprise, à partir d’un compte de résultat, d’une balance comptable ou selon des estimations de prix.</t>
  </si>
  <si>
    <t>A. Calcul de la marge et du taux de marge d’une entreprise de négoce</t>
  </si>
  <si>
    <t>Marge commerciale = ventes de marchandises – coût d’achat des marchandises vendues</t>
  </si>
  <si>
    <t>Ventes de marchandises = chiffre d’affaires hors taxes généré par la vente de la marchandise (707).</t>
  </si>
  <si>
    <t>Coût d’achats des marchandises vendues = achats de marchandises (607) + frais accessoires d’achats de marchandises (6087) ± variation des stocks (6037) – rabais, remises et ristournes obtenus sur achats de marchandises (6097).</t>
  </si>
  <si>
    <t>La marge commerciale nette s’obtient en retirant de la marge brute l’ensemble des frais générés par la vente du produit (frais commercialisation, frais de distribution, etc.).</t>
  </si>
  <si>
    <t>Taux de marge commerciale = [ marge commerciale / coût d’achat ] x 100</t>
  </si>
  <si>
    <t>B. Calcul de la marge et du taux de marge d’une entreprise de production</t>
  </si>
  <si>
    <t>On parle ici de marge sur coût de production.</t>
  </si>
  <si>
    <t>Marge de production = production de l’exercice – coût de production des produits vendus</t>
  </si>
  <si>
    <t>Production de l’exercice = production vendue (701, 702, 703) ± variation des stocks de produits (7135).</t>
  </si>
  <si>
    <t>Coût de production des produits = achats de matières premières (601) + autres approvisionnements (602) + frais accessoires d’achats de matières et d’autres approvisionnements (6081, 6082) ± variation des stocks de matières premières et d’approvisionnements (6031, 6032) – rabais, remises et ristournes obtenus sur achats de matières et d’autres approvisionnements (6091, 6092).</t>
  </si>
  <si>
    <t>La marge de production nette s’obtient en soustrayant les frais liés directement à la fabrication du produit (frais de conception par exemple).</t>
  </si>
  <si>
    <t>C. Calcul de la marge et du taux de marge d’une entreprise de services</t>
  </si>
  <si>
    <t>La marge des entreprises de services se calcule de la manière suivante :</t>
  </si>
  <si>
    <t>Marge = prestations de l’exercice – coût de la réalisation des prestations</t>
  </si>
  <si>
    <t>Prestations de l’exercice = prestations de services (706) ± variation des en-cours de prestations de services (71345).</t>
  </si>
  <si>
    <t>Coût de réalisation des prestations = achats d’études et de prestations de services (604) + frais accessoires sur achats d’études et de prestations (6084) – rabais, remises et ristournes obtenus sur achats d’études et de prestations de services (6094).</t>
  </si>
  <si>
    <t>Une marge correspond à la différence entre un prix de vente et un prix d’achat. Lorsque l’entreprise est redevable de la TVA, le calcul de la marge s’effectue hors taxes. La marge peut concerner un bien acheté (marchandise), un bien produit (produit) ou un service (prestations de services). Elle se décline en deux catégorie : la marge brute et la marge nette. Elle peut s’apprécier de manière globale pour refléter la performance de l’entreprise ou produit par produit, service par service, etc.</t>
  </si>
  <si>
    <t>La marge d’une entreprise de négoce est couramment appelée marge commerciale.</t>
  </si>
  <si>
    <t>Avec :</t>
  </si>
  <si>
    <t>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t>
  </si>
  <si>
    <t>Calculer un taux de marge commerciale revient tout simplement à rapporter la marge commerciale au coût d’achat des marchandises.</t>
  </si>
  <si>
    <t>Reprise de l’exemple ci-dessus : Le taux de marge commerciale sera de 88,68 % ( 47 000 / 53 000 ).</t>
  </si>
  <si>
    <t>En général, le coût de réalisation des prestations vendues comprend les charges de sous-traitance directe ou les salaires chargés du personnel dédié à l’exécution du service.</t>
  </si>
  <si>
    <t>Taux de marge commerciale
Taux de marge de production de service</t>
  </si>
  <si>
    <t>:ventes marchandises
- achat marchandises
- achat matière premières
-/+ variation de stock
707 - (607 + 601,608 +/- 603
:Production de service
+ produits des activités annexes
- achat et prestations de services
706+708- (604, 605)</t>
  </si>
  <si>
    <r>
      <rPr>
        <b/>
        <sz val="14"/>
        <color theme="1"/>
        <rFont val="Calibri"/>
        <family val="2"/>
        <scheme val="minor"/>
      </rPr>
      <t>A. Calculer un taux de marge commerciale
Marge commerciale =</t>
    </r>
    <r>
      <rPr>
        <sz val="14"/>
        <color theme="1"/>
        <rFont val="Calibri"/>
        <family val="2"/>
        <scheme val="minor"/>
      </rPr>
      <t xml:space="preserve"> ventes de marchandises – coût d’achat des marchandises vendues
</t>
    </r>
    <r>
      <rPr>
        <b/>
        <sz val="14"/>
        <color theme="1"/>
        <rFont val="Calibri"/>
        <family val="2"/>
        <scheme val="minor"/>
      </rPr>
      <t>Ventes de marchandises =</t>
    </r>
    <r>
      <rPr>
        <sz val="14"/>
        <color theme="1"/>
        <rFont val="Calibri"/>
        <family val="2"/>
        <scheme val="minor"/>
      </rPr>
      <t xml:space="preserve"> chiffre d’affaires hors taxes généré par la vente de la marchandise (707).
Coût d’achats des marchandises vendues = achats de marchandises (607) + frais accessoires d’achats de marchandises (6087) ± variation des stocks (6037) – rabais, remises et ristournes obtenus sur achats de marchandises (6097).
Exemple : une entreprise achète et revend des marchandises. Voici un extrait de sa balance comptable : compte 707 créditeur de 100 000 euros, compte 607 débiteur de 50 000 euros, compte 6087 débiteur de 5 000 euros et compte 6097 créditeur de 2 000 euros. Voici le calcul de sa marge commerciale : 100 000 – ( 50 000 + 5 000 – 2 000 ) = 47 000 euros.
La marge commerciale nette s’obtient en retirant de la marge brute l’ensemble des frais générés par la vente du produit (frais commercialisation, frais de distribution, etc.).
Calculer un taux de marge commerciale revient tout simplement à rapporter la marge commerciale au coût d’achat des marchandises.
</t>
    </r>
    <r>
      <rPr>
        <b/>
        <sz val="14"/>
        <color theme="1"/>
        <rFont val="Calibri"/>
        <family val="2"/>
        <scheme val="minor"/>
      </rPr>
      <t>Taux de marge commerciale</t>
    </r>
    <r>
      <rPr>
        <sz val="14"/>
        <color theme="1"/>
        <rFont val="Calibri"/>
        <family val="2"/>
        <scheme val="minor"/>
      </rPr>
      <t xml:space="preserve"> = [ marge commerciale / coût d’achat ] x 100
</t>
    </r>
    <r>
      <rPr>
        <b/>
        <sz val="14"/>
        <color theme="1"/>
        <rFont val="Calibri"/>
        <family val="2"/>
        <scheme val="minor"/>
      </rPr>
      <t>B. Calculer un taux de marge de production de service
Marge sur production =</t>
    </r>
    <r>
      <rPr>
        <sz val="14"/>
        <color theme="1"/>
        <rFont val="Calibri"/>
        <family val="2"/>
        <scheme val="minor"/>
      </rPr>
      <t xml:space="preserve"> prestations de l’exercice – coût de la réalisation des prestations
Avec :
</t>
    </r>
    <r>
      <rPr>
        <b/>
        <sz val="14"/>
        <color theme="1"/>
        <rFont val="Calibri"/>
        <family val="2"/>
        <scheme val="minor"/>
      </rPr>
      <t>Prestations de l’exercice =</t>
    </r>
    <r>
      <rPr>
        <sz val="14"/>
        <color theme="1"/>
        <rFont val="Calibri"/>
        <family val="2"/>
        <scheme val="minor"/>
      </rPr>
      <t xml:space="preserve"> prestations de services (706) ± variation des en-cours de prestations de services (71345).
</t>
    </r>
    <r>
      <rPr>
        <b/>
        <sz val="14"/>
        <color theme="1"/>
        <rFont val="Calibri"/>
        <family val="2"/>
        <scheme val="minor"/>
      </rPr>
      <t>Coût de réalisation des prestations =</t>
    </r>
    <r>
      <rPr>
        <sz val="14"/>
        <color theme="1"/>
        <rFont val="Calibri"/>
        <family val="2"/>
        <scheme val="minor"/>
      </rPr>
      <t xml:space="preserve"> achats d’études et de prestations de services (604) + frais accessoires sur achats d’études et de prestations (6084) – rabais, remises et ristournes obtenus sur achats d’études et de prestations de services (6094).
En général, le coût de réalisation des prestations vendues comprend les charges de sous-traitance directe ou les salaires chargés du personnel dédié à l’exécution du service.
</t>
    </r>
    <r>
      <rPr>
        <b/>
        <sz val="14"/>
        <color theme="1"/>
        <rFont val="Calibri"/>
        <family val="2"/>
        <scheme val="minor"/>
      </rPr>
      <t>Taux de marge</t>
    </r>
    <r>
      <rPr>
        <sz val="14"/>
        <color theme="1"/>
        <rFont val="Calibri"/>
        <family val="2"/>
        <scheme val="minor"/>
      </rPr>
      <t xml:space="preserve"> = [ marge de production / coût de production des produits vendus ] * 100
</t>
    </r>
  </si>
  <si>
    <t>SIG</t>
  </si>
  <si>
    <t>Feuilles</t>
  </si>
  <si>
    <t xml:space="preserve">  - Crédit-bail immobilier</t>
  </si>
  <si>
    <t xml:space="preserve">Total autres achats et charges externes </t>
  </si>
  <si>
    <t>Impôts, taxes et versements assimilés</t>
  </si>
  <si>
    <t xml:space="preserve">  - Salaires et traitements </t>
  </si>
  <si>
    <t xml:space="preserve">  - Charges sociales ( patronale)</t>
  </si>
  <si>
    <t xml:space="preserve">Total frais de personnel </t>
  </si>
  <si>
    <t>Autres charges d'exploitation</t>
  </si>
  <si>
    <t>Dotations d'exploitation aux amortissements</t>
  </si>
  <si>
    <t xml:space="preserve">Dotations d'exploitation aux provisions </t>
  </si>
  <si>
    <t>Quotes-parts de résultat sur opérations faites en commun
  - Bénéfice attribué ou perte transférée</t>
  </si>
  <si>
    <t xml:space="preserve">  - Perte supportée ou bénéfice transféré</t>
  </si>
  <si>
    <t xml:space="preserve">Produits financiers </t>
  </si>
  <si>
    <t>Charges financières</t>
  </si>
  <si>
    <t xml:space="preserve">  -dont intéêts et charges assimilées</t>
  </si>
  <si>
    <t>Résultat financier</t>
  </si>
  <si>
    <t xml:space="preserve">Produits exceptionnels </t>
  </si>
  <si>
    <t>Total produits</t>
  </si>
  <si>
    <t>Total charges</t>
  </si>
  <si>
    <t>Résultat net avant impôts sur les sociétes</t>
  </si>
  <si>
    <t xml:space="preserve">Participation des salariés </t>
  </si>
  <si>
    <t xml:space="preserve">Impôts sur les bénéfices </t>
  </si>
  <si>
    <t>Résultat net comptable</t>
  </si>
  <si>
    <t>Reprise sur amortissements et provisions, transferts de charges</t>
  </si>
  <si>
    <t xml:space="preserve">Chiffre d'affaires hors taxes </t>
  </si>
  <si>
    <t>Ventes de marchandises</t>
  </si>
  <si>
    <t xml:space="preserve">Production vendue de services </t>
  </si>
  <si>
    <t xml:space="preserve">Production immobilisée </t>
  </si>
  <si>
    <t>Production stockée</t>
  </si>
  <si>
    <t>Production de l'exercice</t>
  </si>
  <si>
    <t xml:space="preserve">Subvention d'exploitation </t>
  </si>
  <si>
    <t>Autres produits d'exploitation</t>
  </si>
  <si>
    <t>Total produits d'exploitation</t>
  </si>
  <si>
    <t>Achats de marchandises( y compris droits de douanes)</t>
  </si>
  <si>
    <t xml:space="preserve">Variation de stock de marchandises </t>
  </si>
  <si>
    <t>Achats de matières premières et approvisionnements</t>
  </si>
  <si>
    <t>Variation de stocks matières premières</t>
  </si>
  <si>
    <t xml:space="preserve">total marchandises et matières premières </t>
  </si>
  <si>
    <t xml:space="preserve">  - Crédit-bail mobilier</t>
  </si>
  <si>
    <t>2015</t>
  </si>
  <si>
    <t>2014</t>
  </si>
  <si>
    <t>2013</t>
  </si>
  <si>
    <t>2012</t>
  </si>
  <si>
    <t>Nombres d'entreprises</t>
  </si>
  <si>
    <t xml:space="preserve">Chiffre d'affaires Hors taxes </t>
  </si>
  <si>
    <t>Vente de marchandises</t>
  </si>
  <si>
    <t xml:space="preserve">  - Achats de marchandises</t>
  </si>
  <si>
    <t xml:space="preserve">  - Variation de stock de marchandises</t>
  </si>
  <si>
    <t>= Marge commerciales</t>
  </si>
  <si>
    <t>Taux de marge commerciale</t>
  </si>
  <si>
    <t>Production vendue de services</t>
  </si>
  <si>
    <t>+ Production stockée</t>
  </si>
  <si>
    <t>+ Production immobilisée</t>
  </si>
  <si>
    <t>= Production de l'exercice</t>
  </si>
  <si>
    <t xml:space="preserve">  - Achats de matière premières et autres approvisionnements</t>
  </si>
  <si>
    <t xml:space="preserve">  - Variation de stock ( matières premières et approvisionnements</t>
  </si>
  <si>
    <t xml:space="preserve">  + Subventions d'exploitation</t>
  </si>
  <si>
    <t xml:space="preserve">  - Impôts, taxes et versements assimilés </t>
  </si>
  <si>
    <t xml:space="preserve">  - Salaires et traitements</t>
  </si>
  <si>
    <t xml:space="preserve">  - Charges patronales</t>
  </si>
  <si>
    <t>= Excédent brut d'exploitation</t>
  </si>
  <si>
    <t>compte_résultat_sectoriels</t>
  </si>
  <si>
    <t>Effectif équivalent temps plein</t>
  </si>
  <si>
    <r>
      <rPr>
        <b/>
        <sz val="14"/>
        <rFont val="Calibri"/>
        <family val="2"/>
        <scheme val="minor"/>
      </rPr>
      <t>A. Pourquoi calculer un EBE ?</t>
    </r>
    <r>
      <rPr>
        <sz val="14"/>
        <rFont val="Calibri"/>
        <family val="2"/>
        <scheme val="minor"/>
      </rPr>
      <t xml:space="preserve">
L’excédent brut d’exploitation (EBE) exprime la capacité d’une entreprise à générer des ressources de trésorerie du seul fait de son exploitation, c’est-à-dire sans tenir compte de sa politique de financement, ni de sa politique d’amortissement, ni des événements exceptionnels. L’EBE permet de porter un jugement sur l’activité d’une entreprise en analysant la performance de ses activités opérationnelles.
</t>
    </r>
    <r>
      <rPr>
        <b/>
        <sz val="14"/>
        <rFont val="Calibri"/>
        <family val="2"/>
        <scheme val="minor"/>
      </rPr>
      <t>Quand calculer un EBE ?</t>
    </r>
    <r>
      <rPr>
        <sz val="14"/>
        <rFont val="Calibri"/>
        <family val="2"/>
        <scheme val="minor"/>
      </rPr>
      <t xml:space="preserve">
Lors d’une création d’entreprise : l’EBE est une donnée étudiée par le lecteur de compte et notamment par le banquier lorsqu’une demande de financement est effectuée. Il figure dans le prévisionnel financier du porteur de projet ;
Lors d’une reprise d’entreprise : l’EBE est un indicateur ayant un impact direct sur la valorisation de l’entreprise cible. C’est un élément devant être étudié avec précision dans le cadre d’une reprise d’entreprise ;
Lors du bilan annuel d’une entreprise : le calcul de l’EBE permet de répondre à la question suivante : où va l’entreprise ? Des comparaisons doivent être effectuées sur plusieurs années afin d’analyser et de justifier la tendance de son évolution. Elle peut mettre en évidence certaines déviances (octroi de remises commerciales excessives ou récurrentes par les commerciaux par exemple).
</t>
    </r>
    <r>
      <rPr>
        <b/>
        <sz val="14"/>
        <rFont val="Calibri"/>
        <family val="2"/>
        <scheme val="minor"/>
      </rPr>
      <t>EBE positif :</t>
    </r>
    <r>
      <rPr>
        <sz val="14"/>
        <rFont val="Calibri"/>
        <family val="2"/>
        <scheme val="minor"/>
      </rPr>
      <t xml:space="preserve"> votre entreprise est rentable d’un point de vue de l’exploitation
</t>
    </r>
    <r>
      <rPr>
        <b/>
        <sz val="14"/>
        <rFont val="Calibri"/>
        <family val="2"/>
        <scheme val="minor"/>
      </rPr>
      <t>EBE négatif</t>
    </r>
    <r>
      <rPr>
        <sz val="14"/>
        <rFont val="Calibri"/>
        <family val="2"/>
        <scheme val="minor"/>
      </rPr>
      <t xml:space="preserve">, on parle alors d’« insuffisance brute d’exploitation ». Ici, à l’inverse, cela signifie que le CA de votre entreprise ne couvre pas ses charges. En d’autres termes, elle perd de l’argent.
</t>
    </r>
    <r>
      <rPr>
        <b/>
        <sz val="14"/>
        <rFont val="Calibri"/>
        <family val="2"/>
        <scheme val="minor"/>
      </rPr>
      <t>B. Quels sont les ratios financiers calculés à partir de l’EBE ?</t>
    </r>
    <r>
      <rPr>
        <sz val="14"/>
        <rFont val="Calibri"/>
        <family val="2"/>
        <scheme val="minor"/>
      </rPr>
      <t xml:space="preserve">
</t>
    </r>
    <r>
      <rPr>
        <b/>
        <sz val="14"/>
        <rFont val="Calibri"/>
        <family val="2"/>
        <scheme val="minor"/>
      </rPr>
      <t>Taux de profitabilité =</t>
    </r>
    <r>
      <rPr>
        <sz val="14"/>
        <rFont val="Calibri"/>
        <family val="2"/>
        <scheme val="minor"/>
      </rPr>
      <t xml:space="preserve"> EBE / Chiffre d’affaires HT
</t>
    </r>
    <r>
      <rPr>
        <b/>
        <sz val="14"/>
        <rFont val="Calibri"/>
        <family val="2"/>
        <scheme val="minor"/>
      </rPr>
      <t>Taux de rentabilité brute =</t>
    </r>
    <r>
      <rPr>
        <sz val="14"/>
        <rFont val="Calibri"/>
        <family val="2"/>
        <scheme val="minor"/>
      </rPr>
      <t xml:space="preserve"> EBE / Capitaux investis
</t>
    </r>
    <r>
      <rPr>
        <b/>
        <sz val="14"/>
        <rFont val="Calibri"/>
        <family val="2"/>
        <scheme val="minor"/>
      </rPr>
      <t xml:space="preserve">Free cash flow = </t>
    </r>
    <r>
      <rPr>
        <sz val="14"/>
        <rFont val="Calibri"/>
        <family val="2"/>
        <scheme val="minor"/>
      </rPr>
      <t>EBE – impôt sur le résultat d’exploitation +/- variation du besoin en fonds de roulement – investissements + désinvestissements</t>
    </r>
  </si>
  <si>
    <t xml:space="preserve"> =Valeur ajoutée produite</t>
  </si>
  <si>
    <t>Médianne</t>
  </si>
  <si>
    <t>1er Quartile</t>
  </si>
  <si>
    <t>3eme Quartile</t>
  </si>
  <si>
    <t>Moyenne</t>
  </si>
  <si>
    <t>Part vente marchandises dans le CA</t>
  </si>
  <si>
    <t>Part de la production de service dans le CA</t>
  </si>
  <si>
    <t>redevance bande annonce</t>
  </si>
  <si>
    <t>708: publicités</t>
  </si>
  <si>
    <t>Variation 
2012/2013</t>
  </si>
  <si>
    <t>Variation
2013/2014</t>
  </si>
  <si>
    <t>Variation
2014/2015</t>
  </si>
  <si>
    <t>Variation
2012/2015</t>
  </si>
  <si>
    <t>+ Transferts de charges d'exploitation</t>
  </si>
  <si>
    <t>+ Autres produits d'exploitation</t>
  </si>
  <si>
    <t>+ Quote parts faite sur opérations en commun</t>
  </si>
  <si>
    <t>- Quote parts faite sur opérations en commun</t>
  </si>
  <si>
    <t>+ produits financiers</t>
  </si>
  <si>
    <t>- charges financières</t>
  </si>
  <si>
    <t>+ produits exceptionnels</t>
  </si>
  <si>
    <t>- charges exceptionnels</t>
  </si>
  <si>
    <t xml:space="preserve">- participation des salariés </t>
  </si>
  <si>
    <t>- impôts sur les bénéfices</t>
  </si>
  <si>
    <t>= Capacité d'auto-financement</t>
  </si>
  <si>
    <t>- Autres charges d'exploitation</t>
  </si>
  <si>
    <r>
      <rPr>
        <b/>
        <i/>
        <sz val="11"/>
        <color theme="1"/>
        <rFont val="Calibri"/>
        <family val="2"/>
        <scheme val="minor"/>
      </rPr>
      <t>Manque de concordance des données du calcul avec le résultat de la CAF du au faite que les données ci-dessous sont englobées dans le calcul.</t>
    </r>
    <r>
      <rPr>
        <sz val="11"/>
        <color theme="1"/>
        <rFont val="Calibri"/>
        <family val="2"/>
        <scheme val="minor"/>
      </rPr>
      <t xml:space="preserve">
a) Sauf reprises sur dépréciations et provisions (786)
(b) Sauf dotations aux amortissements, dépréciations et provisions financiers (686).
(c) Sauf :
 * produits des cessions d'immobilisations (775);
 * quotes-parts des subventions d'investissement virées au résultat de l'exercice (777);
* reprises sur dépréciations et provisions exceptionnelles (787).
(d) Sauf :
 * valeur comptable des immobilisations cédées (675);
 * dotations aux amortissements, dépréciations et provisions exceptionnels (687).</t>
    </r>
  </si>
  <si>
    <t>Postes principaux et SIG sectoriels des de 2012 à 2015</t>
  </si>
  <si>
    <t>Part des achats de marchandises dans le CA</t>
  </si>
  <si>
    <t>Cout d'achat des matières 1ere dans le CA</t>
  </si>
  <si>
    <t xml:space="preserve">Part des Impôts et taxes dans la VA </t>
  </si>
  <si>
    <t>Part des salaires et traitements dans la VA</t>
  </si>
  <si>
    <t>dotations aux amortissements dans la VA</t>
  </si>
  <si>
    <t>Dotations aux provisions dans la VA</t>
  </si>
  <si>
    <t>Part frais de personnel dans la VA (total)</t>
  </si>
  <si>
    <t xml:space="preserve">Ratio sectoriel de 2012 à 2015 </t>
  </si>
  <si>
    <t xml:space="preserve">Afficher ou masquer les opérations et les graphiques </t>
  </si>
  <si>
    <t xml:space="preserve">Part des charges patronales dans la VA </t>
  </si>
  <si>
    <t>Catégories de ratio</t>
  </si>
  <si>
    <t>Structure des charges dans le chiffre d'affaire (%)</t>
  </si>
  <si>
    <t>Postes principaux en milliers d' €</t>
  </si>
  <si>
    <t>Soldes intermédiaires de gestion en milliers €</t>
  </si>
  <si>
    <t>Structure des produits  (%)</t>
  </si>
  <si>
    <t>Part du CA dans les produits d'exploitations</t>
  </si>
  <si>
    <t>Part des subventions d'exploitation dans les produits
 d'exploitation</t>
  </si>
  <si>
    <t>part des reprises sur amort dans les produits 
d'exploitations</t>
  </si>
  <si>
    <t>Part des produits de gestion dans les produits 
d'exploitations</t>
  </si>
  <si>
    <t>part de toute les autres charges et charges externes 
dans les produits d'exploitation</t>
  </si>
  <si>
    <t>Part des crédit bail dans les produits d'exploitation</t>
  </si>
  <si>
    <r>
      <t xml:space="preserve">Le calcul de la capacité d’autofinancement vous permet de déterminer le montant de la trésorerie potentielle qui est généré par l’entreprise dans le cadre de son activité.
</t>
    </r>
    <r>
      <rPr>
        <b/>
        <sz val="14"/>
        <rFont val="Calibri"/>
        <family val="2"/>
        <scheme val="minor"/>
      </rPr>
      <t xml:space="preserve">
Plusieurs ratios financiers sont calculés à partir de la capacité d’autofinancement :</t>
    </r>
    <r>
      <rPr>
        <sz val="14"/>
        <rFont val="Calibri"/>
        <family val="2"/>
        <scheme val="minor"/>
      </rPr>
      <t xml:space="preserve">
Dettes financières / Capacité d’autofinancement
Ce qui permet de calculer la capacité de l’entreprise à rembourser ses dettes financières. Idéalement, ce ratio appelé capacité de remboursement d’une entreprise ne doit pas être supérieur à 2 ou 3.
Capacité d’autofinancement / Chiffre d’affaires
Avec par exemple un ratio de 50%, cela nous indique que pour 100 euros de chiffre d’affaires, l’entreprise a généré 50 euros de ressources internes pour assurer son financement.
Capacité de remboursement = endettement net / capacité d’autofinancement
La capacité de remboursement sert d’indicateur pour les banques dans les procédures d’octroi de prêts. Elle leur donne une précision sur le niveau de solvabilité d’une entreprise.
Concrètement, lorsque ce ratio est supérieur à 4, il donne un mauvais signal : l’entreprise supporte un endettement trop lourd compte tenu de la rentabilité qu’elle génère et la plupart des banques refuseront de lui consentir un nouveau prêt.
 </t>
    </r>
  </si>
  <si>
    <t>Taux de résultat courant</t>
  </si>
  <si>
    <t xml:space="preserve">Taux de profitabilité </t>
  </si>
  <si>
    <t>Performance économique</t>
  </si>
  <si>
    <t>Taux de rentabilité net</t>
  </si>
  <si>
    <t>Taux de valeur ajouté</t>
  </si>
  <si>
    <t>Part SIG sur CA (%)</t>
  </si>
  <si>
    <t>Rentabilité de l'activité</t>
  </si>
  <si>
    <t>Part des charges patronales dans les 
salaires et traitements (%)</t>
  </si>
  <si>
    <t>Ratio de productivité et frais de personnels (% et valeurs)</t>
  </si>
  <si>
    <t>Productivité travail par nombre de salariés
 (milliers d'€) (VA)</t>
  </si>
  <si>
    <t>Productivité travail par € de charges perso dépensés
( milliers d'€) (VA)</t>
  </si>
  <si>
    <t>Productivité par nombre de salariés (milliers d'€) (CA)</t>
  </si>
  <si>
    <t>Productivité par € de charge de perso dépensé 
(milliers d'€) (CA)</t>
  </si>
  <si>
    <t>ratio__sectoriels</t>
  </si>
  <si>
    <t>receptions et missions</t>
  </si>
  <si>
    <t>Services bancaires</t>
  </si>
  <si>
    <t>&amp;-é('</t>
  </si>
  <si>
    <t>nom des postes</t>
  </si>
  <si>
    <t>Frais de déplacement et restauration</t>
  </si>
  <si>
    <t>Location véhicule</t>
  </si>
  <si>
    <t>Charges financière dans la VA</t>
  </si>
  <si>
    <t>Distribution de la valeur ajoutée (%)</t>
  </si>
  <si>
    <t>Dénominateur 2</t>
  </si>
  <si>
    <t>Dénominateur 3</t>
  </si>
  <si>
    <t>Dénominateur 1</t>
  </si>
  <si>
    <t>Critères</t>
  </si>
  <si>
    <t>Petit équipement,Outillage, fourniture et produit d'entretien</t>
  </si>
  <si>
    <t>Dénominateur 4</t>
  </si>
  <si>
    <t>Résultat 1</t>
  </si>
  <si>
    <t>Résultat 2</t>
  </si>
  <si>
    <t>Résultat 3</t>
  </si>
  <si>
    <t>Résultat 4</t>
  </si>
  <si>
    <t>Listes et résultats</t>
  </si>
  <si>
    <t>corrélation_ratio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</si>
</sst>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0.00\ &quot;€&quot;"/>
    <numFmt numFmtId="165" formatCode="_-* #,##0\ _€_-;\-* #,##0\ _€_-;_-* &quot;-&quot;??\ _€_-;_-@_-"/>
    <numFmt numFmtId="166" formatCode="00000"/>
  </numFmts>
  <fonts count="60" x14ac:knownFonts="1">
    <font>
      <sz val="11"/>
      <color theme="1"/>
      <name val="Calibri"/>
      <family val="2"/>
      <scheme val="minor"/>
    </font>
    <font>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sz val="11"/>
      <name val="Calibri"/>
      <family val="2"/>
      <scheme val="minor"/>
    </font>
    <font>
      <i/>
      <sz val="10"/>
      <color theme="1"/>
      <name val="Arial"/>
      <family val="2"/>
    </font>
    <font>
      <i/>
      <sz val="10"/>
      <name val="Arial"/>
      <family val="2"/>
    </font>
    <font>
      <b/>
      <sz val="18"/>
      <color theme="1"/>
      <name val="Calibri"/>
      <family val="2"/>
      <scheme val="minor"/>
    </font>
    <font>
      <b/>
      <sz val="20"/>
      <color theme="1"/>
      <name val="Calibri"/>
      <family val="2"/>
      <scheme val="minor"/>
    </font>
    <font>
      <b/>
      <sz val="22"/>
      <color theme="1"/>
      <name val="Calibri"/>
      <family val="2"/>
      <scheme val="minor"/>
    </font>
    <font>
      <sz val="12"/>
      <color theme="1"/>
      <name val="Calibri"/>
      <family val="2"/>
      <scheme val="minor"/>
    </font>
    <font>
      <b/>
      <sz val="14"/>
      <color theme="1"/>
      <name val="Calibri"/>
      <family val="2"/>
      <scheme val="minor"/>
    </font>
    <font>
      <b/>
      <i/>
      <sz val="14"/>
      <color theme="1"/>
      <name val="Arial"/>
      <family val="2"/>
    </font>
    <font>
      <sz val="12"/>
      <color rgb="FFFF0000"/>
      <name val="Calibri"/>
      <family val="2"/>
      <scheme val="minor"/>
    </font>
    <font>
      <i/>
      <sz val="12"/>
      <color theme="1"/>
      <name val="Arial"/>
      <family val="2"/>
    </font>
    <font>
      <sz val="12"/>
      <name val="Calibri"/>
      <family val="2"/>
      <scheme val="minor"/>
    </font>
    <font>
      <i/>
      <sz val="12"/>
      <name val="Arial"/>
      <family val="2"/>
    </font>
    <font>
      <b/>
      <i/>
      <sz val="14"/>
      <name val="Arial"/>
      <family val="2"/>
    </font>
    <font>
      <b/>
      <sz val="14"/>
      <name val="Calibri"/>
      <family val="2"/>
      <scheme val="minor"/>
    </font>
    <font>
      <b/>
      <sz val="14"/>
      <color theme="0"/>
      <name val="Calibri"/>
      <family val="2"/>
      <scheme val="minor"/>
    </font>
    <font>
      <b/>
      <sz val="14"/>
      <color theme="1"/>
      <name val="Arial"/>
      <family val="2"/>
    </font>
    <font>
      <b/>
      <sz val="12"/>
      <name val="Calibri"/>
      <family val="2"/>
      <scheme val="minor"/>
    </font>
    <font>
      <b/>
      <i/>
      <sz val="12"/>
      <name val="Arial"/>
      <family val="2"/>
    </font>
    <font>
      <b/>
      <sz val="12"/>
      <color theme="1"/>
      <name val="Calibri"/>
      <family val="2"/>
      <scheme val="minor"/>
    </font>
    <font>
      <b/>
      <sz val="16"/>
      <color theme="1"/>
      <name val="Calibri"/>
      <family val="2"/>
      <scheme val="minor"/>
    </font>
    <font>
      <sz val="14"/>
      <name val="Calibri"/>
      <family val="2"/>
      <scheme val="minor"/>
    </font>
    <font>
      <sz val="14"/>
      <color rgb="FFFF0000"/>
      <name val="Calibri"/>
      <family val="2"/>
      <scheme val="minor"/>
    </font>
    <font>
      <sz val="10"/>
      <color indexed="8"/>
      <name val="Arial"/>
      <family val="2"/>
    </font>
    <font>
      <b/>
      <sz val="20"/>
      <name val="Calibri"/>
      <family val="2"/>
      <scheme val="minor"/>
    </font>
    <font>
      <b/>
      <sz val="16"/>
      <name val="Calibri"/>
      <family val="2"/>
      <scheme val="minor"/>
    </font>
    <font>
      <b/>
      <sz val="11"/>
      <color theme="1"/>
      <name val="Calibri"/>
      <family val="2"/>
      <scheme val="minor"/>
    </font>
    <font>
      <b/>
      <i/>
      <sz val="10"/>
      <name val="Arial"/>
      <family val="2"/>
    </font>
    <font>
      <i/>
      <sz val="11"/>
      <name val="Arial"/>
      <family val="2"/>
    </font>
    <font>
      <b/>
      <sz val="10"/>
      <name val="Arial"/>
      <family val="2"/>
    </font>
    <font>
      <b/>
      <sz val="10"/>
      <color theme="1"/>
      <name val="Arial"/>
      <family val="2"/>
    </font>
    <font>
      <b/>
      <sz val="11"/>
      <color theme="1"/>
      <name val="Arial"/>
      <family val="2"/>
    </font>
    <font>
      <b/>
      <sz val="11"/>
      <name val="Arial"/>
      <family val="2"/>
    </font>
    <font>
      <b/>
      <i/>
      <sz val="11"/>
      <color theme="1"/>
      <name val="Arial"/>
      <family val="2"/>
    </font>
    <font>
      <sz val="11"/>
      <color rgb="FFC00000"/>
      <name val="Calibri"/>
      <family val="2"/>
      <scheme val="minor"/>
    </font>
    <font>
      <b/>
      <sz val="24"/>
      <color theme="1"/>
      <name val="Calibri"/>
      <family val="2"/>
      <scheme val="minor"/>
    </font>
    <font>
      <sz val="22"/>
      <color theme="1"/>
      <name val="Calibri"/>
      <family val="2"/>
      <scheme val="minor"/>
    </font>
    <font>
      <u/>
      <sz val="11"/>
      <color theme="10"/>
      <name val="Calibri"/>
      <family val="2"/>
      <scheme val="minor"/>
    </font>
    <font>
      <sz val="10"/>
      <color rgb="FF000000"/>
      <name val="Calibri"/>
      <family val="2"/>
      <scheme val="minor"/>
    </font>
    <font>
      <sz val="10"/>
      <color rgb="FF0A2880"/>
      <name val="Calibri"/>
      <family val="2"/>
      <scheme val="minor"/>
    </font>
    <font>
      <b/>
      <i/>
      <sz val="11"/>
      <name val="Calibri"/>
      <family val="2"/>
      <scheme val="minor"/>
    </font>
    <font>
      <b/>
      <i/>
      <u/>
      <sz val="11"/>
      <name val="Calibri"/>
      <family val="2"/>
      <scheme val="minor"/>
    </font>
    <font>
      <b/>
      <sz val="11"/>
      <name val="Calibri"/>
      <family val="2"/>
      <scheme val="minor"/>
    </font>
    <font>
      <b/>
      <u/>
      <sz val="11"/>
      <name val="Calibri"/>
      <family val="2"/>
      <scheme val="minor"/>
    </font>
    <font>
      <u/>
      <sz val="12"/>
      <color theme="1"/>
      <name val="Calibri"/>
      <family val="2"/>
      <scheme val="minor"/>
    </font>
    <font>
      <sz val="10"/>
      <color theme="10"/>
      <name val="Calibri"/>
      <family val="2"/>
      <scheme val="minor"/>
    </font>
    <font>
      <sz val="14"/>
      <color theme="1"/>
      <name val="Calibri"/>
      <family val="2"/>
      <scheme val="minor"/>
    </font>
    <font>
      <b/>
      <sz val="12"/>
      <color theme="0"/>
      <name val="Calibri"/>
      <family val="2"/>
      <scheme val="minor"/>
    </font>
    <font>
      <sz val="11"/>
      <color theme="1" tint="4.9989318521683403E-2"/>
      <name val="Calibri"/>
      <family val="2"/>
      <scheme val="minor"/>
    </font>
    <font>
      <b/>
      <i/>
      <sz val="11"/>
      <color theme="1"/>
      <name val="Calibri"/>
      <family val="2"/>
      <scheme val="minor"/>
    </font>
    <font>
      <b/>
      <sz val="11"/>
      <color theme="0"/>
      <name val="Calibri"/>
      <family val="2"/>
      <scheme val="minor"/>
    </font>
    <font>
      <sz val="11"/>
      <color rgb="FF000000"/>
      <name val="Calibri"/>
      <family val="2"/>
    </font>
    <font>
      <b/>
      <sz val="11"/>
      <color theme="1" tint="4.9989318521683403E-2"/>
      <name val="Calibri"/>
      <family val="2"/>
      <scheme val="minor"/>
    </font>
    <font>
      <b/>
      <sz val="10"/>
      <color theme="1"/>
      <name val="Calibri"/>
      <family val="2"/>
      <scheme val="minor"/>
    </font>
    <font>
      <sz val="10"/>
      <color theme="1"/>
      <name val="Calibri"/>
      <family val="2"/>
      <scheme val="minor"/>
    </font>
  </fonts>
  <fills count="38">
    <fill>
      <patternFill patternType="none"/>
    </fill>
    <fill>
      <patternFill patternType="gray125"/>
    </fill>
    <fill>
      <patternFill patternType="solid">
        <fgColor theme="1"/>
        <bgColor indexed="64"/>
      </patternFill>
    </fill>
    <fill>
      <patternFill patternType="solid">
        <fgColor rgb="FF00B0F0"/>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00CCFF"/>
        <bgColor indexed="64"/>
      </patternFill>
    </fill>
    <fill>
      <patternFill patternType="solid">
        <fgColor rgb="FFFF330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CC00"/>
        <bgColor indexed="64"/>
      </patternFill>
    </fill>
    <fill>
      <patternFill patternType="solid">
        <fgColor theme="8" tint="0.59999389629810485"/>
        <bgColor indexed="64"/>
      </patternFill>
    </fill>
    <fill>
      <patternFill patternType="solid">
        <fgColor rgb="FF99FF66"/>
        <bgColor indexed="64"/>
      </patternFill>
    </fill>
    <fill>
      <patternFill patternType="solid">
        <fgColor rgb="FF9BE5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00A2EA"/>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rgb="FF66CCFF"/>
        <bgColor indexed="64"/>
      </patternFill>
    </fill>
    <fill>
      <patternFill patternType="solid">
        <fgColor rgb="FFBBC3FD"/>
        <bgColor indexed="64"/>
      </patternFill>
    </fill>
    <fill>
      <patternFill patternType="solid">
        <fgColor rgb="FF9F89D7"/>
        <bgColor theme="4" tint="0.79998168889431442"/>
      </patternFill>
    </fill>
    <fill>
      <patternFill patternType="solid">
        <fgColor theme="4"/>
        <bgColor theme="4"/>
      </patternFill>
    </fill>
    <fill>
      <patternFill patternType="solid">
        <fgColor rgb="FF8FEAFF"/>
        <bgColor indexed="64"/>
      </patternFill>
    </fill>
    <fill>
      <patternFill patternType="solid">
        <fgColor rgb="FFFCD510"/>
        <bgColor indexed="64"/>
      </patternFill>
    </fill>
    <fill>
      <patternFill patternType="solid">
        <fgColor rgb="FFFF9429"/>
        <bgColor indexed="64"/>
      </patternFill>
    </fill>
    <fill>
      <patternFill patternType="solid">
        <fgColor rgb="FFF3F19D"/>
        <bgColor indexed="64"/>
      </patternFill>
    </fill>
    <fill>
      <patternFill patternType="solid">
        <fgColor rgb="FFEBC98D"/>
        <bgColor indexed="64"/>
      </patternFill>
    </fill>
    <fill>
      <patternFill patternType="solid">
        <fgColor rgb="FF6DFFAF"/>
        <bgColor indexed="64"/>
      </patternFill>
    </fill>
    <fill>
      <patternFill patternType="solid">
        <fgColor rgb="FF6DFFAF"/>
        <bgColor theme="0" tint="-0.14999847407452621"/>
      </patternFill>
    </fill>
    <fill>
      <patternFill patternType="solid">
        <fgColor rgb="FF9F89D7"/>
        <bgColor indexed="64"/>
      </patternFill>
    </fill>
    <fill>
      <patternFill patternType="solid">
        <fgColor rgb="FFE3D5FF"/>
        <bgColor indexed="64"/>
      </patternFill>
    </fill>
    <fill>
      <patternFill patternType="solid">
        <fgColor theme="9" tint="0.59999389629810485"/>
        <bgColor indexed="64"/>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theme="4" tint="0.39997558519241921"/>
      </left>
      <right/>
      <top style="thin">
        <color indexed="64"/>
      </top>
      <bottom/>
      <diagonal/>
    </border>
    <border>
      <left style="thin">
        <color theme="4" tint="0.39997558519241921"/>
      </left>
      <right style="thin">
        <color indexed="64"/>
      </right>
      <top style="thin">
        <color indexed="64"/>
      </top>
      <bottom/>
      <diagonal/>
    </border>
    <border>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s>
  <cellStyleXfs count="4">
    <xf numFmtId="0" fontId="0" fillId="0" borderId="0"/>
    <xf numFmtId="43" fontId="1" fillId="0" borderId="0" applyFont="0" applyFill="0" applyBorder="0" applyAlignment="0" applyProtection="0"/>
    <xf numFmtId="0" fontId="28" fillId="0" borderId="0"/>
    <xf numFmtId="0" fontId="42" fillId="0" borderId="0" applyNumberFormat="0" applyFill="0" applyBorder="0" applyAlignment="0" applyProtection="0"/>
  </cellStyleXfs>
  <cellXfs count="435">
    <xf numFmtId="0" fontId="0" fillId="0" borderId="0" xfId="0"/>
    <xf numFmtId="0" fontId="2" fillId="2" borderId="0" xfId="0" applyFont="1" applyFill="1"/>
    <xf numFmtId="165" fontId="12" fillId="4" borderId="1" xfId="1" applyNumberFormat="1" applyFont="1" applyFill="1" applyBorder="1" applyAlignment="1">
      <alignment horizontal="center" vertical="center"/>
    </xf>
    <xf numFmtId="165" fontId="19" fillId="3" borderId="1" xfId="1" applyNumberFormat="1" applyFont="1" applyFill="1" applyBorder="1" applyAlignment="1">
      <alignment horizontal="center" vertical="center"/>
    </xf>
    <xf numFmtId="165" fontId="12" fillId="3" borderId="1" xfId="1" applyNumberFormat="1" applyFont="1" applyFill="1" applyBorder="1" applyAlignment="1">
      <alignment horizontal="center" vertical="center"/>
    </xf>
    <xf numFmtId="165" fontId="20" fillId="4" borderId="1" xfId="1" applyNumberFormat="1" applyFont="1" applyFill="1" applyBorder="1" applyAlignment="1">
      <alignment horizontal="center" vertical="center"/>
    </xf>
    <xf numFmtId="165" fontId="16" fillId="3" borderId="1" xfId="1" applyNumberFormat="1" applyFont="1" applyFill="1" applyBorder="1" applyAlignment="1">
      <alignment horizontal="center" vertical="center"/>
    </xf>
    <xf numFmtId="165" fontId="22" fillId="4" borderId="1" xfId="1" applyNumberFormat="1" applyFont="1" applyFill="1" applyBorder="1" applyAlignment="1">
      <alignment horizontal="center" vertical="center"/>
    </xf>
    <xf numFmtId="165" fontId="19" fillId="4" borderId="1" xfId="1" applyNumberFormat="1" applyFont="1" applyFill="1" applyBorder="1" applyAlignment="1">
      <alignment horizontal="center" vertical="center"/>
    </xf>
    <xf numFmtId="165" fontId="20" fillId="3" borderId="3" xfId="1" applyNumberFormat="1" applyFont="1" applyFill="1" applyBorder="1" applyAlignment="1">
      <alignment horizontal="center" vertical="center"/>
    </xf>
    <xf numFmtId="0" fontId="12" fillId="3" borderId="1" xfId="0" applyFont="1" applyFill="1" applyBorder="1" applyAlignment="1">
      <alignment horizontal="center" vertical="center"/>
    </xf>
    <xf numFmtId="0" fontId="0" fillId="11" borderId="1" xfId="0" applyFill="1" applyBorder="1" applyAlignment="1">
      <alignment horizontal="center" vertical="center"/>
    </xf>
    <xf numFmtId="0" fontId="24" fillId="5" borderId="3" xfId="0" applyFont="1" applyFill="1" applyBorder="1" applyAlignment="1">
      <alignment horizontal="center" vertical="center" wrapText="1"/>
    </xf>
    <xf numFmtId="165" fontId="30" fillId="5" borderId="1" xfId="1" applyNumberFormat="1" applyFont="1" applyFill="1" applyBorder="1" applyAlignment="1">
      <alignment horizontal="center" vertical="center"/>
    </xf>
    <xf numFmtId="3" fontId="34" fillId="11" borderId="1" xfId="2" applyNumberFormat="1" applyFont="1" applyFill="1" applyBorder="1" applyAlignment="1">
      <alignment horizontal="left"/>
    </xf>
    <xf numFmtId="3" fontId="0" fillId="0" borderId="1" xfId="0" applyNumberFormat="1" applyBorder="1" applyAlignment="1">
      <alignment horizontal="center" vertical="center"/>
    </xf>
    <xf numFmtId="3" fontId="5" fillId="0" borderId="1" xfId="0" applyNumberFormat="1" applyFont="1" applyBorder="1" applyAlignment="1">
      <alignment horizontal="center" vertical="center"/>
    </xf>
    <xf numFmtId="3" fontId="35" fillId="11" borderId="1" xfId="0" applyNumberFormat="1" applyFont="1" applyFill="1" applyBorder="1" applyAlignment="1">
      <alignment horizontal="left" vertical="center"/>
    </xf>
    <xf numFmtId="3" fontId="31" fillId="11" borderId="1" xfId="0" applyNumberFormat="1" applyFont="1" applyFill="1" applyBorder="1" applyAlignment="1">
      <alignment horizontal="left" vertical="center"/>
    </xf>
    <xf numFmtId="0" fontId="36" fillId="12" borderId="7" xfId="0" applyFont="1" applyFill="1" applyBorder="1" applyAlignment="1" applyProtection="1">
      <alignment horizontal="left" vertical="center" wrapText="1"/>
    </xf>
    <xf numFmtId="0" fontId="36" fillId="9" borderId="7" xfId="0" applyFont="1" applyFill="1" applyBorder="1" applyAlignment="1" applyProtection="1">
      <alignment horizontal="left" vertical="center" wrapText="1"/>
    </xf>
    <xf numFmtId="3" fontId="37" fillId="13" borderId="7" xfId="2" applyNumberFormat="1" applyFont="1" applyFill="1" applyBorder="1" applyAlignment="1">
      <alignment horizontal="left" vertical="center" wrapText="1"/>
    </xf>
    <xf numFmtId="164" fontId="37" fillId="13" borderId="7" xfId="2" applyNumberFormat="1" applyFont="1" applyFill="1" applyBorder="1" applyAlignment="1">
      <alignment horizontal="left" vertical="center" wrapText="1"/>
    </xf>
    <xf numFmtId="0" fontId="21" fillId="6" borderId="7" xfId="0" applyFont="1" applyFill="1" applyBorder="1" applyAlignment="1" applyProtection="1">
      <alignment horizontal="left" vertical="center" wrapText="1"/>
    </xf>
    <xf numFmtId="3" fontId="17" fillId="3" borderId="7" xfId="0" applyNumberFormat="1" applyFont="1" applyFill="1" applyBorder="1" applyAlignment="1" applyProtection="1">
      <alignment horizontal="left" vertical="center" wrapText="1"/>
    </xf>
    <xf numFmtId="3" fontId="17" fillId="8" borderId="7" xfId="0" applyNumberFormat="1" applyFont="1" applyFill="1" applyBorder="1" applyAlignment="1" applyProtection="1">
      <alignment horizontal="left" vertical="center" wrapText="1"/>
    </xf>
    <xf numFmtId="3" fontId="6" fillId="8" borderId="7" xfId="0" applyNumberFormat="1" applyFont="1" applyFill="1" applyBorder="1" applyAlignment="1" applyProtection="1">
      <alignment horizontal="left" vertical="center" wrapText="1"/>
    </xf>
    <xf numFmtId="3" fontId="15" fillId="8" borderId="7" xfId="0" applyNumberFormat="1" applyFont="1" applyFill="1" applyBorder="1" applyAlignment="1" applyProtection="1">
      <alignment horizontal="left" vertical="center" wrapText="1"/>
    </xf>
    <xf numFmtId="3" fontId="7" fillId="8" borderId="7" xfId="0" applyNumberFormat="1" applyFont="1" applyFill="1" applyBorder="1" applyAlignment="1" applyProtection="1">
      <alignment horizontal="left" vertical="center" wrapText="1"/>
    </xf>
    <xf numFmtId="3" fontId="32" fillId="8" borderId="7" xfId="0" applyNumberFormat="1" applyFont="1" applyFill="1" applyBorder="1" applyAlignment="1" applyProtection="1">
      <alignment horizontal="left" vertical="center" wrapText="1"/>
    </xf>
    <xf numFmtId="3" fontId="23" fillId="4" borderId="7" xfId="0" applyNumberFormat="1" applyFont="1" applyFill="1" applyBorder="1" applyAlignment="1" applyProtection="1">
      <alignment horizontal="left" vertical="center" wrapText="1"/>
    </xf>
    <xf numFmtId="3" fontId="33" fillId="5" borderId="7" xfId="0" applyNumberFormat="1" applyFont="1" applyFill="1" applyBorder="1" applyAlignment="1" applyProtection="1">
      <alignment horizontal="left" vertical="center" wrapText="1"/>
    </xf>
    <xf numFmtId="3" fontId="7" fillId="5" borderId="7" xfId="0" applyNumberFormat="1" applyFont="1" applyFill="1" applyBorder="1" applyAlignment="1" applyProtection="1">
      <alignment horizontal="left" vertical="center" wrapText="1"/>
    </xf>
    <xf numFmtId="3" fontId="18" fillId="3" borderId="7" xfId="0" applyNumberFormat="1" applyFont="1" applyFill="1" applyBorder="1" applyAlignment="1" applyProtection="1">
      <alignment horizontal="left" vertical="center" wrapText="1"/>
    </xf>
    <xf numFmtId="3" fontId="18" fillId="4" borderId="7" xfId="0" applyNumberFormat="1" applyFont="1" applyFill="1" applyBorder="1" applyAlignment="1" applyProtection="1">
      <alignment horizontal="left" vertical="center" wrapText="1"/>
    </xf>
    <xf numFmtId="3" fontId="17" fillId="5" borderId="7" xfId="0" applyNumberFormat="1" applyFont="1" applyFill="1" applyBorder="1" applyAlignment="1" applyProtection="1">
      <alignment horizontal="left" vertical="center" wrapText="1"/>
    </xf>
    <xf numFmtId="3" fontId="13" fillId="6" borderId="7" xfId="0" applyNumberFormat="1" applyFont="1" applyFill="1" applyBorder="1" applyAlignment="1" applyProtection="1">
      <alignment horizontal="left" vertical="center" wrapText="1"/>
    </xf>
    <xf numFmtId="0" fontId="0" fillId="8" borderId="7" xfId="0" applyFill="1" applyBorder="1" applyAlignment="1">
      <alignment horizontal="left" vertical="center" wrapText="1"/>
    </xf>
    <xf numFmtId="0" fontId="1" fillId="8" borderId="7" xfId="0" applyFont="1" applyFill="1" applyBorder="1" applyAlignment="1">
      <alignment horizontal="left" vertical="center" wrapText="1"/>
    </xf>
    <xf numFmtId="0" fontId="0" fillId="8" borderId="7" xfId="0" applyFont="1" applyFill="1" applyBorder="1" applyAlignment="1">
      <alignment horizontal="left" vertical="center" wrapText="1"/>
    </xf>
    <xf numFmtId="3" fontId="13" fillId="4" borderId="7" xfId="0" applyNumberFormat="1" applyFont="1" applyFill="1" applyBorder="1" applyAlignment="1" applyProtection="1">
      <alignment horizontal="left" vertical="center" wrapText="1"/>
    </xf>
    <xf numFmtId="3" fontId="15" fillId="5" borderId="7" xfId="0" applyNumberFormat="1" applyFont="1" applyFill="1" applyBorder="1" applyAlignment="1" applyProtection="1">
      <alignment horizontal="left" vertical="center" wrapText="1"/>
    </xf>
    <xf numFmtId="3" fontId="6" fillId="5" borderId="7" xfId="0" applyNumberFormat="1" applyFont="1" applyFill="1" applyBorder="1" applyAlignment="1" applyProtection="1">
      <alignment horizontal="left" vertical="center" wrapText="1"/>
    </xf>
    <xf numFmtId="165" fontId="12" fillId="4" borderId="7" xfId="1" applyNumberFormat="1" applyFont="1" applyFill="1" applyBorder="1" applyAlignment="1">
      <alignment horizontal="left" vertical="center"/>
    </xf>
    <xf numFmtId="165" fontId="24" fillId="5" borderId="7" xfId="1" applyNumberFormat="1" applyFont="1" applyFill="1" applyBorder="1" applyAlignment="1">
      <alignment horizontal="left" vertical="center"/>
    </xf>
    <xf numFmtId="165" fontId="12" fillId="3" borderId="7" xfId="1" applyNumberFormat="1" applyFont="1" applyFill="1" applyBorder="1" applyAlignment="1">
      <alignment horizontal="left" vertical="center" wrapText="1"/>
    </xf>
    <xf numFmtId="0" fontId="0" fillId="5" borderId="7" xfId="0" applyFill="1" applyBorder="1" applyAlignment="1">
      <alignment horizontal="left" vertical="center" wrapText="1"/>
    </xf>
    <xf numFmtId="0" fontId="12" fillId="3" borderId="5" xfId="0" applyFont="1" applyFill="1" applyBorder="1" applyAlignment="1">
      <alignment horizontal="left" vertical="center" wrapText="1"/>
    </xf>
    <xf numFmtId="3" fontId="31" fillId="11" borderId="2" xfId="0" applyNumberFormat="1" applyFont="1" applyFill="1" applyBorder="1" applyAlignment="1" applyProtection="1">
      <alignment horizontal="left"/>
      <protection locked="0"/>
    </xf>
    <xf numFmtId="3" fontId="0" fillId="12" borderId="1" xfId="0" applyNumberFormat="1" applyFill="1" applyBorder="1" applyAlignment="1">
      <alignment horizontal="left" vertical="center"/>
    </xf>
    <xf numFmtId="3" fontId="0" fillId="11" borderId="1" xfId="0" applyNumberFormat="1" applyFill="1" applyBorder="1" applyAlignment="1">
      <alignment horizontal="left" vertical="center"/>
    </xf>
    <xf numFmtId="14" fontId="0" fillId="11" borderId="1" xfId="0" applyNumberFormat="1" applyFill="1" applyBorder="1" applyAlignment="1">
      <alignment horizontal="left" vertical="center"/>
    </xf>
    <xf numFmtId="3" fontId="12" fillId="6" borderId="1" xfId="1" applyNumberFormat="1" applyFont="1" applyFill="1" applyBorder="1" applyAlignment="1">
      <alignment horizontal="left" vertical="center"/>
    </xf>
    <xf numFmtId="3" fontId="16" fillId="3" borderId="1" xfId="1" applyNumberFormat="1" applyFont="1" applyFill="1" applyBorder="1" applyAlignment="1">
      <alignment horizontal="left" vertical="center"/>
    </xf>
    <xf numFmtId="3" fontId="5" fillId="8" borderId="1" xfId="1" applyNumberFormat="1" applyFont="1" applyFill="1" applyBorder="1" applyAlignment="1">
      <alignment horizontal="left" vertical="center"/>
    </xf>
    <xf numFmtId="3" fontId="0" fillId="7" borderId="1" xfId="1" applyNumberFormat="1" applyFont="1" applyFill="1" applyBorder="1" applyAlignment="1">
      <alignment horizontal="left" vertical="center"/>
    </xf>
    <xf numFmtId="3" fontId="11" fillId="8" borderId="1" xfId="1" applyNumberFormat="1" applyFont="1" applyFill="1" applyBorder="1" applyAlignment="1">
      <alignment horizontal="left" vertical="center"/>
    </xf>
    <xf numFmtId="3" fontId="11" fillId="7" borderId="1" xfId="1" applyNumberFormat="1" applyFont="1" applyFill="1" applyBorder="1" applyAlignment="1">
      <alignment horizontal="left" vertical="center"/>
    </xf>
    <xf numFmtId="3" fontId="5" fillId="7" borderId="1" xfId="1" applyNumberFormat="1" applyFont="1" applyFill="1" applyBorder="1" applyAlignment="1">
      <alignment horizontal="left" vertical="center"/>
    </xf>
    <xf numFmtId="3" fontId="22" fillId="4" borderId="1" xfId="1" applyNumberFormat="1" applyFont="1" applyFill="1" applyBorder="1" applyAlignment="1">
      <alignment horizontal="left" vertical="center"/>
    </xf>
    <xf numFmtId="3" fontId="5" fillId="5" borderId="1" xfId="1" applyNumberFormat="1" applyFont="1" applyFill="1" applyBorder="1" applyAlignment="1">
      <alignment horizontal="left" vertical="center"/>
    </xf>
    <xf numFmtId="3" fontId="19" fillId="3" borderId="1" xfId="1" applyNumberFormat="1" applyFont="1" applyFill="1" applyBorder="1" applyAlignment="1">
      <alignment horizontal="left" vertical="center"/>
    </xf>
    <xf numFmtId="3" fontId="19" fillId="4" borderId="1" xfId="1" applyNumberFormat="1" applyFont="1" applyFill="1" applyBorder="1" applyAlignment="1">
      <alignment horizontal="left" vertical="center"/>
    </xf>
    <xf numFmtId="3" fontId="26" fillId="7" borderId="1" xfId="1" applyNumberFormat="1" applyFont="1" applyFill="1" applyBorder="1" applyAlignment="1">
      <alignment horizontal="left" vertical="center"/>
    </xf>
    <xf numFmtId="3" fontId="16" fillId="8" borderId="1" xfId="1" applyNumberFormat="1" applyFont="1" applyFill="1" applyBorder="1" applyAlignment="1">
      <alignment horizontal="left" vertical="center"/>
    </xf>
    <xf numFmtId="3" fontId="1" fillId="7" borderId="1" xfId="1" applyNumberFormat="1" applyFont="1" applyFill="1" applyBorder="1" applyAlignment="1">
      <alignment horizontal="left" vertical="center"/>
    </xf>
    <xf numFmtId="3" fontId="0" fillId="0" borderId="1" xfId="0" applyNumberFormat="1" applyBorder="1" applyAlignment="1">
      <alignment horizontal="left" vertical="center"/>
    </xf>
    <xf numFmtId="3" fontId="12" fillId="4" borderId="1" xfId="1" applyNumberFormat="1" applyFont="1" applyFill="1" applyBorder="1" applyAlignment="1">
      <alignment horizontal="left" vertical="center"/>
    </xf>
    <xf numFmtId="3" fontId="11" fillId="5" borderId="1" xfId="1" applyNumberFormat="1" applyFont="1" applyFill="1" applyBorder="1" applyAlignment="1">
      <alignment horizontal="left" vertical="center"/>
    </xf>
    <xf numFmtId="3" fontId="2" fillId="7" borderId="1" xfId="1" applyNumberFormat="1" applyFont="1" applyFill="1" applyBorder="1" applyAlignment="1">
      <alignment horizontal="left" vertical="center"/>
    </xf>
    <xf numFmtId="3" fontId="1" fillId="5" borderId="1" xfId="1" applyNumberFormat="1" applyFont="1" applyFill="1" applyBorder="1" applyAlignment="1">
      <alignment horizontal="left" vertical="center"/>
    </xf>
    <xf numFmtId="3" fontId="12" fillId="3" borderId="1" xfId="1" applyNumberFormat="1" applyFont="1" applyFill="1" applyBorder="1" applyAlignment="1">
      <alignment horizontal="left" vertical="center"/>
    </xf>
    <xf numFmtId="3" fontId="1" fillId="8" borderId="1" xfId="1" applyNumberFormat="1" applyFont="1" applyFill="1" applyBorder="1" applyAlignment="1">
      <alignment horizontal="left" vertical="center"/>
    </xf>
    <xf numFmtId="3" fontId="16" fillId="7" borderId="1" xfId="1" applyNumberFormat="1" applyFont="1" applyFill="1" applyBorder="1" applyAlignment="1">
      <alignment horizontal="left" vertical="center"/>
    </xf>
    <xf numFmtId="3" fontId="1" fillId="0" borderId="1" xfId="1" applyNumberFormat="1" applyFont="1" applyBorder="1" applyAlignment="1">
      <alignment horizontal="left" vertical="center"/>
    </xf>
    <xf numFmtId="3" fontId="11" fillId="14" borderId="1" xfId="1" applyNumberFormat="1" applyFont="1" applyFill="1" applyBorder="1" applyAlignment="1">
      <alignment horizontal="left" vertical="center"/>
    </xf>
    <xf numFmtId="3" fontId="11" fillId="0" borderId="1" xfId="1" applyNumberFormat="1" applyFont="1" applyBorder="1" applyAlignment="1">
      <alignment horizontal="left" vertical="center"/>
    </xf>
    <xf numFmtId="3" fontId="12" fillId="3" borderId="3" xfId="0" applyNumberFormat="1" applyFont="1" applyFill="1" applyBorder="1" applyAlignment="1">
      <alignment horizontal="left" vertical="center"/>
    </xf>
    <xf numFmtId="14" fontId="5" fillId="11" borderId="1" xfId="0" applyNumberFormat="1" applyFont="1" applyFill="1" applyBorder="1" applyAlignment="1">
      <alignment horizontal="left" vertical="center"/>
    </xf>
    <xf numFmtId="3" fontId="5" fillId="13" borderId="1" xfId="0" applyNumberFormat="1" applyFont="1" applyFill="1" applyBorder="1" applyAlignment="1">
      <alignment horizontal="left" vertical="center"/>
    </xf>
    <xf numFmtId="3" fontId="5" fillId="11" borderId="1" xfId="0" applyNumberFormat="1" applyFont="1" applyFill="1" applyBorder="1" applyAlignment="1">
      <alignment horizontal="left" vertical="center"/>
    </xf>
    <xf numFmtId="3" fontId="27" fillId="7" borderId="1" xfId="1" applyNumberFormat="1" applyFont="1" applyFill="1" applyBorder="1" applyAlignment="1">
      <alignment horizontal="left" vertical="center"/>
    </xf>
    <xf numFmtId="3" fontId="2" fillId="0" borderId="1" xfId="0" applyNumberFormat="1" applyFont="1" applyBorder="1" applyAlignment="1">
      <alignment horizontal="left" vertical="center"/>
    </xf>
    <xf numFmtId="3" fontId="5" fillId="0" borderId="1" xfId="0" applyNumberFormat="1" applyFont="1" applyBorder="1" applyAlignment="1">
      <alignment horizontal="left" vertical="center"/>
    </xf>
    <xf numFmtId="3" fontId="2" fillId="5" borderId="1" xfId="1" applyNumberFormat="1" applyFont="1" applyFill="1" applyBorder="1" applyAlignment="1">
      <alignment horizontal="left" vertical="center"/>
    </xf>
    <xf numFmtId="3" fontId="14" fillId="7" borderId="1" xfId="1" applyNumberFormat="1" applyFont="1" applyFill="1" applyBorder="1" applyAlignment="1">
      <alignment horizontal="left" vertical="center"/>
    </xf>
    <xf numFmtId="3" fontId="2" fillId="0" borderId="1" xfId="1" applyNumberFormat="1" applyFont="1" applyBorder="1" applyAlignment="1">
      <alignment horizontal="left" vertical="center"/>
    </xf>
    <xf numFmtId="3" fontId="14" fillId="0" borderId="1" xfId="1" applyNumberFormat="1" applyFont="1" applyBorder="1" applyAlignment="1">
      <alignment horizontal="left" vertical="center"/>
    </xf>
    <xf numFmtId="3" fontId="19" fillId="3" borderId="3" xfId="0" applyNumberFormat="1" applyFont="1" applyFill="1" applyBorder="1" applyAlignment="1">
      <alignment horizontal="left" vertical="center"/>
    </xf>
    <xf numFmtId="3" fontId="31" fillId="11" borderId="2" xfId="0" applyNumberFormat="1" applyFont="1" applyFill="1" applyBorder="1" applyAlignment="1">
      <alignment horizontal="left" vertical="center"/>
    </xf>
    <xf numFmtId="3" fontId="0" fillId="13" borderId="1" xfId="0" applyNumberFormat="1" applyFill="1" applyBorder="1" applyAlignment="1">
      <alignment horizontal="left" vertical="center"/>
    </xf>
    <xf numFmtId="3" fontId="0" fillId="0" borderId="1" xfId="1" applyNumberFormat="1" applyFont="1" applyBorder="1" applyAlignment="1">
      <alignment horizontal="left" vertical="center"/>
    </xf>
    <xf numFmtId="3" fontId="11" fillId="0" borderId="1" xfId="0" applyNumberFormat="1" applyFont="1" applyBorder="1" applyAlignment="1">
      <alignment horizontal="left" vertical="center"/>
    </xf>
    <xf numFmtId="165" fontId="0" fillId="7" borderId="1" xfId="1" applyNumberFormat="1" applyFont="1" applyFill="1" applyBorder="1" applyAlignment="1">
      <alignment horizontal="left" vertical="center"/>
    </xf>
    <xf numFmtId="3" fontId="0" fillId="7" borderId="1" xfId="1" quotePrefix="1" applyNumberFormat="1" applyFont="1" applyFill="1" applyBorder="1" applyAlignment="1">
      <alignment horizontal="left" vertical="center"/>
    </xf>
    <xf numFmtId="3" fontId="0" fillId="7" borderId="1" xfId="0" applyNumberFormat="1" applyFont="1" applyFill="1" applyBorder="1" applyAlignment="1">
      <alignment horizontal="left" vertical="center"/>
    </xf>
    <xf numFmtId="0" fontId="31" fillId="11" borderId="2" xfId="0" applyFont="1" applyFill="1" applyBorder="1" applyAlignment="1">
      <alignment horizontal="left" vertical="center"/>
    </xf>
    <xf numFmtId="0" fontId="35" fillId="11" borderId="1" xfId="0" applyFont="1" applyFill="1" applyBorder="1" applyAlignment="1">
      <alignment horizontal="left" vertical="center"/>
    </xf>
    <xf numFmtId="0" fontId="0" fillId="12" borderId="1" xfId="0" applyFill="1" applyBorder="1" applyAlignment="1">
      <alignment horizontal="left" vertical="center"/>
    </xf>
    <xf numFmtId="0" fontId="0" fillId="11" borderId="1" xfId="0" applyFill="1" applyBorder="1" applyAlignment="1">
      <alignment horizontal="left" vertical="center"/>
    </xf>
    <xf numFmtId="0" fontId="0" fillId="13" borderId="1" xfId="0" applyFill="1" applyBorder="1" applyAlignment="1">
      <alignment horizontal="left" vertical="center"/>
    </xf>
    <xf numFmtId="164" fontId="0" fillId="13" borderId="1" xfId="0" applyNumberFormat="1" applyFill="1" applyBorder="1" applyAlignment="1">
      <alignment horizontal="left" vertical="center"/>
    </xf>
    <xf numFmtId="0" fontId="0" fillId="7" borderId="1" xfId="0" applyFont="1" applyFill="1" applyBorder="1" applyAlignment="1">
      <alignment horizontal="left" vertical="center"/>
    </xf>
    <xf numFmtId="165" fontId="11" fillId="7" borderId="1" xfId="1" applyNumberFormat="1" applyFont="1" applyFill="1" applyBorder="1" applyAlignment="1">
      <alignment horizontal="left" vertical="center"/>
    </xf>
    <xf numFmtId="165" fontId="5" fillId="7" borderId="1" xfId="1" applyNumberFormat="1" applyFont="1" applyFill="1" applyBorder="1" applyAlignment="1">
      <alignment horizontal="left" vertical="center"/>
    </xf>
    <xf numFmtId="165" fontId="2" fillId="7" borderId="1" xfId="1" applyNumberFormat="1" applyFont="1" applyFill="1" applyBorder="1" applyAlignment="1">
      <alignment horizontal="left" vertical="center"/>
    </xf>
    <xf numFmtId="165" fontId="26" fillId="7" borderId="1" xfId="1" applyNumberFormat="1" applyFont="1" applyFill="1" applyBorder="1" applyAlignment="1">
      <alignment horizontal="left" vertical="center"/>
    </xf>
    <xf numFmtId="165" fontId="1" fillId="7" borderId="1" xfId="1" applyNumberFormat="1" applyFont="1" applyFill="1" applyBorder="1" applyAlignment="1">
      <alignment horizontal="left" vertical="center"/>
    </xf>
    <xf numFmtId="0" fontId="0" fillId="0" borderId="0" xfId="0" applyAlignment="1">
      <alignment horizontal="left" vertical="center"/>
    </xf>
    <xf numFmtId="165" fontId="16" fillId="7" borderId="1" xfId="1" applyNumberFormat="1" applyFont="1" applyFill="1" applyBorder="1" applyAlignment="1">
      <alignment horizontal="left" vertical="center"/>
    </xf>
    <xf numFmtId="165" fontId="0" fillId="0" borderId="1" xfId="1" applyNumberFormat="1" applyFont="1" applyBorder="1" applyAlignment="1">
      <alignment horizontal="left" vertical="center"/>
    </xf>
    <xf numFmtId="165" fontId="1" fillId="0" borderId="1" xfId="1" applyNumberFormat="1" applyFont="1" applyBorder="1" applyAlignment="1">
      <alignment horizontal="left" vertical="center"/>
    </xf>
    <xf numFmtId="0" fontId="11" fillId="0" borderId="1" xfId="0" applyFont="1" applyBorder="1" applyAlignment="1">
      <alignment horizontal="left" vertical="center"/>
    </xf>
    <xf numFmtId="0" fontId="0" fillId="0" borderId="1" xfId="0" applyBorder="1" applyAlignment="1">
      <alignment horizontal="left" vertical="center"/>
    </xf>
    <xf numFmtId="0" fontId="12" fillId="3" borderId="3" xfId="0" applyFont="1" applyFill="1" applyBorder="1" applyAlignment="1">
      <alignment horizontal="left" vertical="center"/>
    </xf>
    <xf numFmtId="3" fontId="5" fillId="15" borderId="1" xfId="1" applyNumberFormat="1" applyFont="1" applyFill="1" applyBorder="1" applyAlignment="1">
      <alignment horizontal="left" vertical="center"/>
    </xf>
    <xf numFmtId="3" fontId="5" fillId="13" borderId="1" xfId="2" applyNumberFormat="1" applyFont="1" applyFill="1" applyBorder="1" applyAlignment="1">
      <alignment horizontal="left"/>
    </xf>
    <xf numFmtId="3" fontId="5" fillId="11" borderId="1" xfId="2" applyNumberFormat="1" applyFont="1" applyFill="1" applyBorder="1" applyAlignment="1">
      <alignment horizontal="left"/>
    </xf>
    <xf numFmtId="3" fontId="11" fillId="15" borderId="1" xfId="1" applyNumberFormat="1" applyFont="1" applyFill="1" applyBorder="1" applyAlignment="1">
      <alignment horizontal="left" vertical="center"/>
    </xf>
    <xf numFmtId="3" fontId="16" fillId="15" borderId="1" xfId="1" applyNumberFormat="1" applyFont="1" applyFill="1" applyBorder="1" applyAlignment="1">
      <alignment horizontal="left" vertical="center"/>
    </xf>
    <xf numFmtId="3" fontId="26" fillId="0" borderId="1" xfId="1" applyNumberFormat="1" applyFont="1" applyFill="1" applyBorder="1" applyAlignment="1">
      <alignment horizontal="left" vertical="center"/>
    </xf>
    <xf numFmtId="3" fontId="0" fillId="7" borderId="1" xfId="0" applyNumberFormat="1" applyFill="1" applyBorder="1" applyAlignment="1">
      <alignment horizontal="center" vertical="center"/>
    </xf>
    <xf numFmtId="166" fontId="0" fillId="11" borderId="1" xfId="0" applyNumberFormat="1" applyFill="1" applyBorder="1" applyAlignment="1">
      <alignment horizontal="left" vertical="center"/>
    </xf>
    <xf numFmtId="0" fontId="0" fillId="11" borderId="0" xfId="0" applyFill="1"/>
    <xf numFmtId="3" fontId="0" fillId="0" borderId="7" xfId="0" applyNumberFormat="1" applyBorder="1" applyAlignment="1">
      <alignment horizontal="left" vertical="center"/>
    </xf>
    <xf numFmtId="3" fontId="18" fillId="3" borderId="1" xfId="0" applyNumberFormat="1" applyFont="1" applyFill="1" applyBorder="1" applyAlignment="1" applyProtection="1">
      <alignment horizontal="left" vertical="center" wrapText="1"/>
    </xf>
    <xf numFmtId="3" fontId="13" fillId="3" borderId="1" xfId="0" applyNumberFormat="1" applyFont="1" applyFill="1" applyBorder="1" applyAlignment="1" applyProtection="1">
      <alignment horizontal="left" vertical="center" wrapText="1"/>
    </xf>
    <xf numFmtId="3" fontId="13" fillId="4" borderId="1" xfId="0" applyNumberFormat="1" applyFont="1" applyFill="1" applyBorder="1" applyAlignment="1" applyProtection="1">
      <alignment horizontal="left" vertical="center" wrapText="1"/>
    </xf>
    <xf numFmtId="0" fontId="24" fillId="5" borderId="1" xfId="0" applyFont="1" applyFill="1" applyBorder="1" applyAlignment="1">
      <alignment vertical="center" wrapText="1"/>
    </xf>
    <xf numFmtId="3" fontId="38" fillId="3" borderId="7" xfId="0" applyNumberFormat="1" applyFont="1" applyFill="1" applyBorder="1" applyAlignment="1" applyProtection="1">
      <alignment horizontal="left" vertical="center" wrapText="1"/>
    </xf>
    <xf numFmtId="3" fontId="39" fillId="11" borderId="1" xfId="0" applyNumberFormat="1" applyFont="1" applyFill="1" applyBorder="1" applyAlignment="1">
      <alignment horizontal="left" vertical="center"/>
    </xf>
    <xf numFmtId="3" fontId="0" fillId="7" borderId="1" xfId="1" applyNumberFormat="1" applyFont="1" applyFill="1" applyBorder="1" applyAlignment="1">
      <alignment horizontal="left" vertical="center" wrapText="1"/>
    </xf>
    <xf numFmtId="3" fontId="2" fillId="0" borderId="1" xfId="1" applyNumberFormat="1" applyFont="1" applyFill="1" applyBorder="1" applyAlignment="1">
      <alignment horizontal="left" vertical="center"/>
    </xf>
    <xf numFmtId="3" fontId="1" fillId="0" borderId="1" xfId="1" applyNumberFormat="1" applyFont="1" applyFill="1" applyBorder="1" applyAlignment="1">
      <alignment horizontal="left" vertical="center"/>
    </xf>
    <xf numFmtId="165" fontId="2" fillId="0" borderId="1" xfId="1" applyNumberFormat="1" applyFont="1" applyFill="1" applyBorder="1" applyAlignment="1">
      <alignment horizontal="left" vertical="center"/>
    </xf>
    <xf numFmtId="3" fontId="0" fillId="15" borderId="1" xfId="1" applyNumberFormat="1" applyFont="1" applyFill="1" applyBorder="1" applyAlignment="1">
      <alignment horizontal="left" vertical="center"/>
    </xf>
    <xf numFmtId="3" fontId="0" fillId="15" borderId="1" xfId="0" applyNumberFormat="1" applyFont="1" applyFill="1" applyBorder="1" applyAlignment="1">
      <alignment horizontal="left" vertical="center"/>
    </xf>
    <xf numFmtId="165" fontId="26" fillId="0" borderId="1" xfId="1" applyNumberFormat="1" applyFont="1" applyFill="1" applyBorder="1" applyAlignment="1">
      <alignment horizontal="left" vertical="center"/>
    </xf>
    <xf numFmtId="3" fontId="27" fillId="0" borderId="1" xfId="1" applyNumberFormat="1" applyFont="1" applyFill="1" applyBorder="1" applyAlignment="1">
      <alignment horizontal="left" vertical="center"/>
    </xf>
    <xf numFmtId="3" fontId="0" fillId="3" borderId="1" xfId="0" applyNumberFormat="1" applyFill="1" applyBorder="1" applyAlignment="1">
      <alignment horizontal="left" vertical="center"/>
    </xf>
    <xf numFmtId="14" fontId="0" fillId="3" borderId="1" xfId="0" applyNumberFormat="1" applyFill="1" applyBorder="1" applyAlignment="1">
      <alignment horizontal="left" vertical="center"/>
    </xf>
    <xf numFmtId="14" fontId="5" fillId="3" borderId="1" xfId="0" applyNumberFormat="1" applyFont="1" applyFill="1" applyBorder="1" applyAlignment="1">
      <alignment horizontal="left" vertical="center"/>
    </xf>
    <xf numFmtId="165" fontId="11" fillId="5" borderId="1" xfId="1" applyNumberFormat="1" applyFont="1" applyFill="1" applyBorder="1" applyAlignment="1">
      <alignment horizontal="left" vertical="center" wrapText="1"/>
    </xf>
    <xf numFmtId="3" fontId="15" fillId="5" borderId="1" xfId="0" applyNumberFormat="1" applyFont="1" applyFill="1" applyBorder="1" applyAlignment="1" applyProtection="1">
      <alignment horizontal="left" vertical="center" wrapText="1"/>
    </xf>
    <xf numFmtId="165" fontId="30" fillId="5" borderId="1" xfId="1" applyNumberFormat="1" applyFont="1" applyFill="1" applyBorder="1" applyAlignment="1">
      <alignment vertical="center" wrapText="1"/>
    </xf>
    <xf numFmtId="0" fontId="0" fillId="5" borderId="1" xfId="0" applyFont="1" applyFill="1" applyBorder="1" applyAlignment="1">
      <alignment vertical="center" wrapText="1"/>
    </xf>
    <xf numFmtId="0" fontId="36" fillId="3" borderId="1" xfId="0" applyFont="1" applyFill="1" applyBorder="1" applyAlignment="1" applyProtection="1">
      <alignment horizontal="left" vertical="center" wrapText="1"/>
    </xf>
    <xf numFmtId="0" fontId="36" fillId="12" borderId="1" xfId="0" applyFont="1" applyFill="1" applyBorder="1" applyAlignment="1" applyProtection="1">
      <alignment horizontal="left" vertical="center" wrapText="1"/>
    </xf>
    <xf numFmtId="0" fontId="24" fillId="6" borderId="0" xfId="0" applyFont="1" applyFill="1" applyAlignment="1">
      <alignment horizontal="center"/>
    </xf>
    <xf numFmtId="0" fontId="12" fillId="3" borderId="7" xfId="0" applyFont="1" applyFill="1" applyBorder="1" applyAlignment="1">
      <alignment vertical="center"/>
    </xf>
    <xf numFmtId="0" fontId="35" fillId="11" borderId="4" xfId="0" applyFont="1" applyFill="1" applyBorder="1" applyAlignment="1">
      <alignment horizontal="center" vertical="center"/>
    </xf>
    <xf numFmtId="0" fontId="0" fillId="11" borderId="3" xfId="0" applyFill="1" applyBorder="1" applyAlignment="1">
      <alignment horizontal="center" vertical="center"/>
    </xf>
    <xf numFmtId="0" fontId="12" fillId="6" borderId="3" xfId="0" applyFont="1" applyFill="1" applyBorder="1" applyAlignment="1">
      <alignment vertical="center"/>
    </xf>
    <xf numFmtId="0" fontId="12" fillId="6" borderId="2" xfId="0" applyFont="1" applyFill="1" applyBorder="1" applyAlignment="1">
      <alignment vertical="center"/>
    </xf>
    <xf numFmtId="3" fontId="0" fillId="0" borderId="1" xfId="0" applyNumberFormat="1" applyBorder="1"/>
    <xf numFmtId="3" fontId="0" fillId="5" borderId="1" xfId="0" applyNumberFormat="1" applyFill="1" applyBorder="1"/>
    <xf numFmtId="3" fontId="0" fillId="4" borderId="1" xfId="0" applyNumberFormat="1" applyFill="1" applyBorder="1"/>
    <xf numFmtId="0" fontId="0" fillId="0" borderId="0" xfId="0" applyFill="1"/>
    <xf numFmtId="3" fontId="0" fillId="3" borderId="1" xfId="0" applyNumberFormat="1" applyFill="1" applyBorder="1"/>
    <xf numFmtId="3" fontId="0" fillId="14" borderId="1" xfId="0" applyNumberFormat="1" applyFill="1" applyBorder="1"/>
    <xf numFmtId="0" fontId="0" fillId="0" borderId="0" xfId="0" applyBorder="1" applyAlignment="1">
      <alignment horizontal="center"/>
    </xf>
    <xf numFmtId="0" fontId="0" fillId="11" borderId="1" xfId="0" quotePrefix="1" applyFont="1" applyFill="1" applyBorder="1"/>
    <xf numFmtId="0" fontId="0" fillId="17" borderId="1" xfId="0" quotePrefix="1" applyFont="1" applyFill="1" applyBorder="1"/>
    <xf numFmtId="0" fontId="45" fillId="17" borderId="1" xfId="0" applyFont="1" applyFill="1" applyBorder="1" applyAlignment="1">
      <alignment vertical="top" wrapText="1"/>
    </xf>
    <xf numFmtId="0" fontId="47" fillId="17" borderId="1" xfId="0" applyFont="1" applyFill="1" applyBorder="1" applyAlignment="1">
      <alignment vertical="top" wrapText="1"/>
    </xf>
    <xf numFmtId="0" fontId="47" fillId="17" borderId="1" xfId="0" applyFont="1" applyFill="1" applyBorder="1" applyAlignment="1">
      <alignment vertical="top"/>
    </xf>
    <xf numFmtId="0" fontId="11" fillId="11" borderId="1" xfId="0" applyFont="1" applyFill="1" applyBorder="1" applyAlignment="1">
      <alignment vertical="top" wrapText="1"/>
    </xf>
    <xf numFmtId="0" fontId="44" fillId="0" borderId="0" xfId="0" applyFont="1" applyAlignment="1">
      <alignment vertical="top" wrapText="1"/>
    </xf>
    <xf numFmtId="0" fontId="43" fillId="0" borderId="0" xfId="0" applyFont="1" applyAlignment="1">
      <alignment horizontal="justify" vertical="top" wrapText="1"/>
    </xf>
    <xf numFmtId="0" fontId="50" fillId="0" borderId="0" xfId="3" applyFont="1" applyAlignment="1">
      <alignment horizontal="justify" vertical="top" wrapText="1"/>
    </xf>
    <xf numFmtId="0" fontId="11" fillId="0" borderId="0" xfId="0" applyFont="1"/>
    <xf numFmtId="0" fontId="11" fillId="16" borderId="1" xfId="0" quotePrefix="1" applyFont="1" applyFill="1" applyBorder="1"/>
    <xf numFmtId="0" fontId="11" fillId="16" borderId="1" xfId="0" applyFont="1" applyFill="1" applyBorder="1"/>
    <xf numFmtId="0" fontId="11" fillId="16" borderId="1" xfId="0" applyFont="1" applyFill="1" applyBorder="1" applyAlignment="1">
      <alignment vertical="top" wrapText="1"/>
    </xf>
    <xf numFmtId="0" fontId="11" fillId="16" borderId="1" xfId="0" applyFont="1" applyFill="1" applyBorder="1" applyAlignment="1">
      <alignment horizontal="justify" vertical="top" wrapText="1"/>
    </xf>
    <xf numFmtId="0" fontId="11" fillId="0" borderId="0" xfId="0" applyFont="1" applyAlignment="1">
      <alignment horizontal="justify" vertical="center" wrapText="1"/>
    </xf>
    <xf numFmtId="0" fontId="11" fillId="0" borderId="0" xfId="0" applyFont="1" applyAlignment="1">
      <alignment vertical="center" wrapText="1"/>
    </xf>
    <xf numFmtId="0" fontId="11" fillId="0" borderId="0" xfId="3" applyFont="1" applyAlignment="1">
      <alignment horizontal="justify" vertical="center" wrapText="1"/>
    </xf>
    <xf numFmtId="0" fontId="11" fillId="0" borderId="0" xfId="3" applyFont="1" applyAlignment="1">
      <alignment vertical="center" wrapText="1"/>
    </xf>
    <xf numFmtId="0" fontId="12" fillId="3" borderId="1" xfId="0" applyFont="1" applyFill="1" applyBorder="1"/>
    <xf numFmtId="0" fontId="12" fillId="4" borderId="1" xfId="0" applyFont="1" applyFill="1" applyBorder="1"/>
    <xf numFmtId="3" fontId="0" fillId="11" borderId="1" xfId="0" applyNumberFormat="1" applyFill="1" applyBorder="1"/>
    <xf numFmtId="0" fontId="52" fillId="2" borderId="0" xfId="0" applyFont="1" applyFill="1" applyAlignment="1"/>
    <xf numFmtId="0" fontId="52" fillId="2" borderId="8" xfId="0" applyFont="1" applyFill="1" applyBorder="1" applyAlignment="1"/>
    <xf numFmtId="0" fontId="12" fillId="15" borderId="1" xfId="0" applyFont="1" applyFill="1" applyBorder="1"/>
    <xf numFmtId="0" fontId="51" fillId="0" borderId="1" xfId="0" applyFont="1" applyBorder="1"/>
    <xf numFmtId="0" fontId="2" fillId="2" borderId="1" xfId="0" applyFont="1" applyFill="1" applyBorder="1"/>
    <xf numFmtId="0" fontId="0" fillId="10" borderId="3" xfId="0" applyFill="1" applyBorder="1" applyAlignment="1">
      <alignment vertical="center"/>
    </xf>
    <xf numFmtId="0" fontId="0" fillId="10" borderId="4" xfId="0" applyFill="1" applyBorder="1" applyAlignment="1">
      <alignment vertical="center"/>
    </xf>
    <xf numFmtId="3" fontId="0" fillId="0" borderId="1" xfId="0" applyNumberFormat="1" applyFill="1" applyBorder="1"/>
    <xf numFmtId="0" fontId="51" fillId="16" borderId="1" xfId="0" applyFont="1" applyFill="1" applyBorder="1" applyAlignment="1">
      <alignment vertical="top" wrapText="1"/>
    </xf>
    <xf numFmtId="0" fontId="26" fillId="16" borderId="1" xfId="0" applyFont="1" applyFill="1" applyBorder="1" applyAlignment="1">
      <alignment vertical="top" wrapText="1"/>
    </xf>
    <xf numFmtId="0" fontId="51" fillId="16" borderId="1" xfId="3" applyFont="1" applyFill="1" applyBorder="1" applyAlignment="1">
      <alignment horizontal="justify" vertical="top" wrapText="1"/>
    </xf>
    <xf numFmtId="0" fontId="0" fillId="3" borderId="1" xfId="0" applyFill="1" applyBorder="1" applyAlignment="1">
      <alignment horizontal="center"/>
    </xf>
    <xf numFmtId="165" fontId="25" fillId="5" borderId="3" xfId="1" applyNumberFormat="1" applyFont="1" applyFill="1" applyBorder="1" applyAlignment="1">
      <alignment horizontal="center" vertical="center" wrapText="1"/>
    </xf>
    <xf numFmtId="0" fontId="24" fillId="5" borderId="1" xfId="0" applyFont="1" applyFill="1" applyBorder="1" applyAlignment="1">
      <alignment vertical="top" wrapText="1"/>
    </xf>
    <xf numFmtId="0" fontId="12" fillId="3" borderId="1" xfId="0" applyFont="1" applyFill="1" applyBorder="1" applyAlignment="1">
      <alignment horizontal="center" vertical="center" wrapText="1"/>
    </xf>
    <xf numFmtId="165" fontId="22" fillId="5" borderId="1" xfId="1" applyNumberFormat="1" applyFont="1" applyFill="1" applyBorder="1" applyAlignment="1">
      <alignment horizontal="center" vertical="center" wrapText="1"/>
    </xf>
    <xf numFmtId="0" fontId="51" fillId="0" borderId="2" xfId="0" applyFont="1" applyBorder="1"/>
    <xf numFmtId="0" fontId="2" fillId="2" borderId="3" xfId="0" applyFont="1" applyFill="1" applyBorder="1"/>
    <xf numFmtId="0" fontId="51" fillId="0" borderId="3" xfId="0" applyFont="1" applyBorder="1"/>
    <xf numFmtId="0" fontId="2" fillId="2" borderId="6" xfId="0" applyFont="1" applyFill="1" applyBorder="1"/>
    <xf numFmtId="0" fontId="2" fillId="2" borderId="5" xfId="0" applyFont="1" applyFill="1" applyBorder="1"/>
    <xf numFmtId="0" fontId="51" fillId="0" borderId="10" xfId="0" applyFont="1" applyBorder="1"/>
    <xf numFmtId="0" fontId="51" fillId="0" borderId="9" xfId="0" applyFont="1" applyBorder="1"/>
    <xf numFmtId="0" fontId="0" fillId="0" borderId="1" xfId="0" applyBorder="1"/>
    <xf numFmtId="0" fontId="0" fillId="0" borderId="3" xfId="0" applyBorder="1"/>
    <xf numFmtId="3" fontId="11" fillId="7" borderId="7" xfId="1" applyNumberFormat="1" applyFont="1" applyFill="1" applyBorder="1" applyAlignment="1">
      <alignment horizontal="left" vertical="center"/>
    </xf>
    <xf numFmtId="3" fontId="16" fillId="7" borderId="7" xfId="1" applyNumberFormat="1" applyFont="1" applyFill="1" applyBorder="1" applyAlignment="1">
      <alignment horizontal="left" vertical="center"/>
    </xf>
    <xf numFmtId="3" fontId="0" fillId="0" borderId="0" xfId="0" applyNumberFormat="1" applyBorder="1" applyAlignment="1">
      <alignment horizontal="left" vertical="center"/>
    </xf>
    <xf numFmtId="0" fontId="0" fillId="0" borderId="0" xfId="0" applyBorder="1" applyAlignment="1">
      <alignment horizontal="left" vertical="center"/>
    </xf>
    <xf numFmtId="0" fontId="24" fillId="11" borderId="1" xfId="0" applyFont="1" applyFill="1" applyBorder="1" applyAlignment="1"/>
    <xf numFmtId="0" fontId="0" fillId="0" borderId="11" xfId="0" applyBorder="1"/>
    <xf numFmtId="0" fontId="0" fillId="0" borderId="0" xfId="0"/>
    <xf numFmtId="0" fontId="0" fillId="0" borderId="4" xfId="0" applyBorder="1"/>
    <xf numFmtId="0" fontId="2" fillId="2" borderId="8" xfId="0" applyFont="1" applyFill="1" applyBorder="1"/>
    <xf numFmtId="0" fontId="31" fillId="0" borderId="0" xfId="0" applyFont="1"/>
    <xf numFmtId="3" fontId="2" fillId="7" borderId="1" xfId="0" applyNumberFormat="1" applyFont="1" applyFill="1" applyBorder="1" applyAlignment="1">
      <alignment horizontal="left" vertical="center"/>
    </xf>
    <xf numFmtId="2" fontId="47" fillId="18" borderId="1" xfId="0" applyNumberFormat="1" applyFont="1" applyFill="1" applyBorder="1"/>
    <xf numFmtId="2" fontId="47" fillId="18" borderId="1" xfId="0" applyNumberFormat="1" applyFont="1" applyFill="1" applyBorder="1" applyAlignment="1">
      <alignment wrapText="1"/>
    </xf>
    <xf numFmtId="2" fontId="31" fillId="19" borderId="9" xfId="1" applyNumberFormat="1" applyFont="1" applyFill="1" applyBorder="1" applyAlignment="1">
      <alignment horizontal="right"/>
    </xf>
    <xf numFmtId="2" fontId="31" fillId="19" borderId="13" xfId="1" applyNumberFormat="1" applyFont="1" applyFill="1" applyBorder="1"/>
    <xf numFmtId="2" fontId="31" fillId="19" borderId="9" xfId="1" applyNumberFormat="1" applyFont="1" applyFill="1" applyBorder="1"/>
    <xf numFmtId="2" fontId="31" fillId="23" borderId="1" xfId="0" applyNumberFormat="1" applyFont="1" applyFill="1" applyBorder="1"/>
    <xf numFmtId="2" fontId="1" fillId="20" borderId="9" xfId="1" applyNumberFormat="1" applyFont="1" applyFill="1" applyBorder="1" applyAlignment="1">
      <alignment horizontal="left"/>
    </xf>
    <xf numFmtId="2" fontId="31" fillId="20" borderId="13" xfId="1" applyNumberFormat="1" applyFont="1" applyFill="1" applyBorder="1"/>
    <xf numFmtId="2" fontId="31" fillId="20" borderId="9" xfId="1" applyNumberFormat="1" applyFont="1" applyFill="1" applyBorder="1"/>
    <xf numFmtId="2" fontId="0" fillId="20" borderId="9" xfId="1" applyNumberFormat="1" applyFont="1" applyFill="1" applyBorder="1"/>
    <xf numFmtId="2" fontId="0" fillId="20" borderId="13" xfId="1" applyNumberFormat="1" applyFont="1" applyFill="1" applyBorder="1"/>
    <xf numFmtId="2" fontId="31" fillId="20" borderId="9" xfId="1" applyNumberFormat="1" applyFont="1" applyFill="1" applyBorder="1" applyAlignment="1">
      <alignment horizontal="right"/>
    </xf>
    <xf numFmtId="2" fontId="0" fillId="23" borderId="1" xfId="0" applyNumberFormat="1" applyFill="1" applyBorder="1"/>
    <xf numFmtId="2" fontId="0" fillId="20" borderId="9" xfId="1" applyNumberFormat="1" applyFont="1" applyFill="1" applyBorder="1" applyAlignment="1">
      <alignment wrapText="1"/>
    </xf>
    <xf numFmtId="2" fontId="31" fillId="19" borderId="3" xfId="1" applyNumberFormat="1" applyFont="1" applyFill="1" applyBorder="1" applyAlignment="1">
      <alignment horizontal="right"/>
    </xf>
    <xf numFmtId="2" fontId="31" fillId="19" borderId="1" xfId="1" applyNumberFormat="1" applyFont="1" applyFill="1" applyBorder="1"/>
    <xf numFmtId="2" fontId="31" fillId="19" borderId="3" xfId="1" applyNumberFormat="1" applyFont="1" applyFill="1" applyBorder="1"/>
    <xf numFmtId="2" fontId="31" fillId="24" borderId="1" xfId="0" applyNumberFormat="1" applyFont="1" applyFill="1" applyBorder="1"/>
    <xf numFmtId="2" fontId="0" fillId="22" borderId="9" xfId="0" applyNumberFormat="1" applyFont="1" applyFill="1" applyBorder="1"/>
    <xf numFmtId="2" fontId="0" fillId="24" borderId="9" xfId="0" applyNumberFormat="1" applyFont="1" applyFill="1" applyBorder="1"/>
    <xf numFmtId="2" fontId="0" fillId="24" borderId="13" xfId="0" applyNumberFormat="1" applyFont="1" applyFill="1" applyBorder="1"/>
    <xf numFmtId="2" fontId="0" fillId="21" borderId="9" xfId="0" applyNumberFormat="1" applyFont="1" applyFill="1" applyBorder="1"/>
    <xf numFmtId="2" fontId="31" fillId="22" borderId="9" xfId="0" applyNumberFormat="1" applyFont="1" applyFill="1" applyBorder="1" applyAlignment="1">
      <alignment horizontal="right"/>
    </xf>
    <xf numFmtId="2" fontId="31" fillId="22" borderId="9" xfId="0" applyNumberFormat="1" applyFont="1" applyFill="1" applyBorder="1"/>
    <xf numFmtId="2" fontId="31" fillId="24" borderId="9" xfId="0" applyNumberFormat="1" applyFont="1" applyFill="1" applyBorder="1"/>
    <xf numFmtId="2" fontId="31" fillId="24" borderId="13" xfId="0" applyNumberFormat="1" applyFont="1" applyFill="1" applyBorder="1"/>
    <xf numFmtId="2" fontId="31" fillId="21" borderId="9" xfId="0" applyNumberFormat="1" applyFont="1" applyFill="1" applyBorder="1" applyAlignment="1">
      <alignment horizontal="right"/>
    </xf>
    <xf numFmtId="2" fontId="31" fillId="21" borderId="9" xfId="0" applyNumberFormat="1" applyFont="1" applyFill="1" applyBorder="1"/>
    <xf numFmtId="2" fontId="31" fillId="24" borderId="3" xfId="0" applyNumberFormat="1" applyFont="1" applyFill="1" applyBorder="1"/>
    <xf numFmtId="0" fontId="31" fillId="25" borderId="9" xfId="0" applyFont="1" applyFill="1" applyBorder="1"/>
    <xf numFmtId="0" fontId="31" fillId="25" borderId="9" xfId="0" applyFont="1" applyFill="1" applyBorder="1" applyAlignment="1">
      <alignment wrapText="1"/>
    </xf>
    <xf numFmtId="0" fontId="31" fillId="25" borderId="14" xfId="0" applyFont="1" applyFill="1" applyBorder="1" applyAlignment="1">
      <alignment wrapText="1"/>
    </xf>
    <xf numFmtId="0" fontId="31" fillId="25" borderId="15" xfId="0" applyFont="1" applyFill="1" applyBorder="1" applyAlignment="1">
      <alignment wrapText="1"/>
    </xf>
    <xf numFmtId="0" fontId="0" fillId="17" borderId="0" xfId="0" applyFill="1"/>
    <xf numFmtId="2" fontId="19" fillId="18" borderId="1" xfId="0" applyNumberFormat="1" applyFont="1" applyFill="1" applyBorder="1"/>
    <xf numFmtId="0" fontId="12" fillId="25" borderId="9" xfId="0" applyFont="1" applyFill="1" applyBorder="1"/>
    <xf numFmtId="2" fontId="1" fillId="20" borderId="13" xfId="1" applyNumberFormat="1" applyFont="1" applyFill="1" applyBorder="1"/>
    <xf numFmtId="2" fontId="1" fillId="20" borderId="9" xfId="1" applyNumberFormat="1" applyFont="1" applyFill="1" applyBorder="1"/>
    <xf numFmtId="0" fontId="12" fillId="17" borderId="1" xfId="0" applyFont="1" applyFill="1" applyBorder="1" applyAlignment="1">
      <alignment vertical="top"/>
    </xf>
    <xf numFmtId="0" fontId="0" fillId="17" borderId="1" xfId="0" applyFill="1" applyBorder="1"/>
    <xf numFmtId="0" fontId="12" fillId="17" borderId="1" xfId="0" applyFont="1" applyFill="1" applyBorder="1" applyAlignment="1">
      <alignment horizontal="left"/>
    </xf>
    <xf numFmtId="0" fontId="0" fillId="21" borderId="16" xfId="0" applyFont="1" applyFill="1" applyBorder="1"/>
    <xf numFmtId="0" fontId="0" fillId="0" borderId="16" xfId="0" applyFont="1" applyBorder="1"/>
    <xf numFmtId="0" fontId="55" fillId="26" borderId="0" xfId="0" applyFont="1" applyFill="1" applyBorder="1"/>
    <xf numFmtId="2" fontId="31" fillId="3" borderId="1" xfId="0" applyNumberFormat="1" applyFont="1" applyFill="1" applyBorder="1"/>
    <xf numFmtId="2" fontId="31" fillId="27" borderId="1" xfId="0" applyNumberFormat="1" applyFont="1" applyFill="1" applyBorder="1"/>
    <xf numFmtId="2" fontId="47" fillId="27" borderId="1" xfId="0" applyNumberFormat="1" applyFont="1" applyFill="1" applyBorder="1"/>
    <xf numFmtId="4" fontId="31" fillId="27" borderId="13" xfId="0" applyNumberFormat="1" applyFont="1" applyFill="1" applyBorder="1"/>
    <xf numFmtId="4" fontId="31" fillId="28" borderId="13" xfId="0" applyNumberFormat="1" applyFont="1" applyFill="1" applyBorder="1"/>
    <xf numFmtId="2" fontId="0" fillId="28" borderId="1" xfId="0" applyNumberFormat="1" applyFill="1" applyBorder="1"/>
    <xf numFmtId="2" fontId="31" fillId="29" borderId="12" xfId="0" applyNumberFormat="1" applyFont="1" applyFill="1" applyBorder="1" applyAlignment="1">
      <alignment horizontal="left"/>
    </xf>
    <xf numFmtId="2" fontId="31" fillId="29" borderId="1" xfId="0" applyNumberFormat="1" applyFont="1" applyFill="1" applyBorder="1"/>
    <xf numFmtId="0" fontId="31" fillId="30" borderId="0" xfId="0" applyFont="1" applyFill="1"/>
    <xf numFmtId="4" fontId="31" fillId="30" borderId="13" xfId="0" applyNumberFormat="1" applyFont="1" applyFill="1" applyBorder="1"/>
    <xf numFmtId="2" fontId="31" fillId="30" borderId="1" xfId="0" applyNumberFormat="1" applyFont="1" applyFill="1" applyBorder="1" applyAlignment="1">
      <alignment horizontal="left"/>
    </xf>
    <xf numFmtId="2" fontId="31" fillId="30" borderId="1" xfId="0" applyNumberFormat="1" applyFont="1" applyFill="1" applyBorder="1"/>
    <xf numFmtId="2" fontId="31" fillId="31" borderId="12" xfId="0" applyNumberFormat="1" applyFont="1" applyFill="1" applyBorder="1" applyAlignment="1">
      <alignment horizontal="left"/>
    </xf>
    <xf numFmtId="2" fontId="31" fillId="31" borderId="1" xfId="0" applyNumberFormat="1" applyFont="1" applyFill="1" applyBorder="1"/>
    <xf numFmtId="2" fontId="31" fillId="31" borderId="1" xfId="0" applyNumberFormat="1" applyFont="1" applyFill="1" applyBorder="1" applyAlignment="1">
      <alignment horizontal="left"/>
    </xf>
    <xf numFmtId="0" fontId="31" fillId="3" borderId="1" xfId="0" applyFont="1" applyFill="1" applyBorder="1"/>
    <xf numFmtId="0" fontId="31" fillId="28" borderId="1" xfId="0" applyFont="1" applyFill="1" applyBorder="1"/>
    <xf numFmtId="0" fontId="20" fillId="2" borderId="1" xfId="0" applyFont="1" applyFill="1" applyBorder="1" applyAlignment="1">
      <alignment vertical="top"/>
    </xf>
    <xf numFmtId="2" fontId="31" fillId="20" borderId="9" xfId="1" applyNumberFormat="1" applyFont="1" applyFill="1" applyBorder="1" applyAlignment="1">
      <alignment horizontal="left"/>
    </xf>
    <xf numFmtId="2" fontId="31" fillId="27" borderId="13" xfId="0" applyNumberFormat="1" applyFont="1" applyFill="1" applyBorder="1"/>
    <xf numFmtId="2" fontId="31" fillId="30" borderId="1" xfId="0" applyNumberFormat="1" applyFont="1" applyFill="1" applyBorder="1" applyAlignment="1">
      <alignment horizontal="left" wrapText="1"/>
    </xf>
    <xf numFmtId="0" fontId="31" fillId="27" borderId="1" xfId="0" applyFont="1" applyFill="1" applyBorder="1" applyAlignment="1">
      <alignment wrapText="1"/>
    </xf>
    <xf numFmtId="0" fontId="31" fillId="27" borderId="0" xfId="0" applyFont="1" applyFill="1" applyAlignment="1">
      <alignment wrapText="1"/>
    </xf>
    <xf numFmtId="2" fontId="31" fillId="4" borderId="1" xfId="0" applyNumberFormat="1" applyFont="1" applyFill="1" applyBorder="1" applyAlignment="1">
      <alignment horizontal="left"/>
    </xf>
    <xf numFmtId="2" fontId="31" fillId="4" borderId="1" xfId="0" applyNumberFormat="1" applyFont="1" applyFill="1" applyBorder="1"/>
    <xf numFmtId="2" fontId="31" fillId="32" borderId="1" xfId="0" applyNumberFormat="1" applyFont="1" applyFill="1" applyBorder="1" applyAlignment="1">
      <alignment horizontal="left"/>
    </xf>
    <xf numFmtId="2" fontId="31" fillId="32" borderId="1" xfId="0" applyNumberFormat="1" applyFont="1" applyFill="1" applyBorder="1"/>
    <xf numFmtId="2" fontId="57" fillId="33" borderId="1" xfId="0" applyNumberFormat="1" applyFont="1" applyFill="1" applyBorder="1"/>
    <xf numFmtId="0" fontId="20" fillId="2" borderId="8" xfId="0" applyFont="1" applyFill="1" applyBorder="1" applyAlignment="1">
      <alignment vertical="top"/>
    </xf>
    <xf numFmtId="2" fontId="20" fillId="2" borderId="13" xfId="0" applyNumberFormat="1" applyFont="1" applyFill="1" applyBorder="1"/>
    <xf numFmtId="0" fontId="0" fillId="7" borderId="0" xfId="0" applyFill="1"/>
    <xf numFmtId="2" fontId="31" fillId="34" borderId="0" xfId="0" applyNumberFormat="1" applyFont="1" applyFill="1" applyBorder="1" applyAlignment="1">
      <alignment horizontal="left"/>
    </xf>
    <xf numFmtId="2" fontId="31" fillId="35" borderId="1" xfId="0" applyNumberFormat="1" applyFont="1" applyFill="1" applyBorder="1" applyAlignment="1">
      <alignment horizontal="left" wrapText="1"/>
    </xf>
    <xf numFmtId="2" fontId="31" fillId="35" borderId="1" xfId="0" applyNumberFormat="1" applyFont="1" applyFill="1" applyBorder="1"/>
    <xf numFmtId="2" fontId="31" fillId="35" borderId="1" xfId="0" applyNumberFormat="1" applyFont="1" applyFill="1" applyBorder="1" applyAlignment="1">
      <alignment horizontal="left"/>
    </xf>
    <xf numFmtId="0" fontId="0" fillId="34" borderId="1" xfId="0" applyFill="1" applyBorder="1"/>
    <xf numFmtId="0" fontId="20" fillId="2" borderId="1" xfId="0" applyFont="1" applyFill="1" applyBorder="1"/>
    <xf numFmtId="0" fontId="20" fillId="2" borderId="3" xfId="0" applyFont="1" applyFill="1" applyBorder="1"/>
    <xf numFmtId="0" fontId="31" fillId="3" borderId="3" xfId="0" applyFont="1" applyFill="1" applyBorder="1"/>
    <xf numFmtId="2" fontId="47" fillId="27" borderId="3" xfId="0" applyNumberFormat="1" applyFont="1" applyFill="1" applyBorder="1"/>
    <xf numFmtId="2" fontId="0" fillId="28" borderId="3" xfId="0" applyNumberFormat="1" applyFill="1" applyBorder="1"/>
    <xf numFmtId="2" fontId="31" fillId="30" borderId="3" xfId="0" applyNumberFormat="1" applyFont="1" applyFill="1" applyBorder="1"/>
    <xf numFmtId="2" fontId="31" fillId="29" borderId="3" xfId="0" applyNumberFormat="1" applyFont="1" applyFill="1" applyBorder="1"/>
    <xf numFmtId="2" fontId="31" fillId="31" borderId="3" xfId="0" applyNumberFormat="1" applyFont="1" applyFill="1" applyBorder="1"/>
    <xf numFmtId="2" fontId="31" fillId="4" borderId="3" xfId="0" applyNumberFormat="1" applyFont="1" applyFill="1" applyBorder="1"/>
    <xf numFmtId="2" fontId="31" fillId="32" borderId="3" xfId="0" applyNumberFormat="1" applyFont="1" applyFill="1" applyBorder="1"/>
    <xf numFmtId="0" fontId="0" fillId="34" borderId="3" xfId="0" applyFill="1" applyBorder="1"/>
    <xf numFmtId="2" fontId="31" fillId="35" borderId="3" xfId="0" applyNumberFormat="1" applyFont="1" applyFill="1" applyBorder="1"/>
    <xf numFmtId="2" fontId="0" fillId="11" borderId="0" xfId="0" applyNumberFormat="1" applyFill="1"/>
    <xf numFmtId="0" fontId="0" fillId="11" borderId="0" xfId="0" applyFill="1" applyBorder="1"/>
    <xf numFmtId="0" fontId="31" fillId="11" borderId="0" xfId="0" applyFont="1" applyFill="1" applyBorder="1"/>
    <xf numFmtId="0" fontId="31" fillId="11" borderId="0" xfId="0" applyFont="1" applyFill="1"/>
    <xf numFmtId="2" fontId="31" fillId="11" borderId="0" xfId="0" applyNumberFormat="1" applyFont="1" applyFill="1" applyBorder="1" applyAlignment="1">
      <alignment horizontal="left"/>
    </xf>
    <xf numFmtId="2" fontId="31" fillId="11" borderId="0" xfId="0" applyNumberFormat="1" applyFont="1" applyFill="1" applyBorder="1"/>
    <xf numFmtId="2" fontId="0" fillId="11" borderId="0" xfId="0" applyNumberFormat="1" applyFill="1" applyBorder="1" applyAlignment="1">
      <alignment horizontal="left"/>
    </xf>
    <xf numFmtId="2" fontId="0" fillId="11" borderId="0" xfId="0" applyNumberFormat="1" applyFill="1" applyBorder="1"/>
    <xf numFmtId="0" fontId="53" fillId="11" borderId="0" xfId="0" applyFont="1" applyFill="1" applyBorder="1"/>
    <xf numFmtId="2" fontId="31" fillId="21" borderId="1" xfId="0" applyNumberFormat="1" applyFont="1" applyFill="1" applyBorder="1"/>
    <xf numFmtId="0" fontId="12" fillId="17" borderId="0" xfId="0" applyFont="1" applyFill="1" applyAlignment="1">
      <alignment vertical="top"/>
    </xf>
    <xf numFmtId="0" fontId="12" fillId="17" borderId="0" xfId="0" applyFont="1" applyFill="1" applyAlignment="1">
      <alignment horizontal="center" vertical="top"/>
    </xf>
    <xf numFmtId="0" fontId="31" fillId="17" borderId="1" xfId="0" applyFont="1" applyFill="1" applyBorder="1" applyAlignment="1">
      <alignment horizontal="center" vertical="top"/>
    </xf>
    <xf numFmtId="0" fontId="55" fillId="26" borderId="17" xfId="0" applyFont="1" applyFill="1" applyBorder="1"/>
    <xf numFmtId="0" fontId="0" fillId="21" borderId="17" xfId="0" applyFont="1" applyFill="1" applyBorder="1"/>
    <xf numFmtId="0" fontId="0" fillId="0" borderId="17" xfId="0" applyFont="1" applyBorder="1"/>
    <xf numFmtId="0" fontId="59" fillId="0" borderId="1" xfId="0" applyFont="1" applyBorder="1" applyAlignment="1">
      <alignment horizontal="center" vertical="center"/>
    </xf>
    <xf numFmtId="3" fontId="32" fillId="3" borderId="7" xfId="0" applyNumberFormat="1" applyFont="1" applyFill="1" applyBorder="1" applyAlignment="1" applyProtection="1">
      <alignment horizontal="left" vertical="center" wrapText="1"/>
    </xf>
    <xf numFmtId="3" fontId="0" fillId="3" borderId="2" xfId="0" applyNumberFormat="1" applyFill="1" applyBorder="1"/>
    <xf numFmtId="3" fontId="0" fillId="3" borderId="3" xfId="0" applyNumberFormat="1" applyFill="1" applyBorder="1"/>
    <xf numFmtId="0" fontId="34" fillId="3" borderId="6" xfId="0" applyFont="1" applyFill="1" applyBorder="1" applyAlignment="1" applyProtection="1">
      <alignment horizontal="left" vertical="center" wrapText="1"/>
    </xf>
    <xf numFmtId="0" fontId="34" fillId="3" borderId="7" xfId="0" applyFont="1" applyFill="1" applyBorder="1" applyAlignment="1" applyProtection="1">
      <alignment horizontal="left" vertical="center" wrapText="1"/>
    </xf>
    <xf numFmtId="0" fontId="34" fillId="4" borderId="7" xfId="0" applyFont="1" applyFill="1" applyBorder="1" applyAlignment="1" applyProtection="1">
      <alignment horizontal="left" vertical="center" wrapText="1"/>
    </xf>
    <xf numFmtId="3" fontId="32" fillId="4" borderId="7" xfId="0" applyNumberFormat="1" applyFont="1" applyFill="1" applyBorder="1" applyAlignment="1" applyProtection="1">
      <alignment horizontal="left" vertical="center" wrapText="1"/>
    </xf>
    <xf numFmtId="3" fontId="32" fillId="5" borderId="7" xfId="0" applyNumberFormat="1" applyFont="1" applyFill="1" applyBorder="1" applyAlignment="1" applyProtection="1">
      <alignment horizontal="left" vertical="center" wrapText="1"/>
    </xf>
    <xf numFmtId="3" fontId="32" fillId="14" borderId="7" xfId="0" applyNumberFormat="1" applyFont="1" applyFill="1" applyBorder="1" applyAlignment="1" applyProtection="1">
      <alignment horizontal="left" vertical="center" wrapText="1"/>
    </xf>
    <xf numFmtId="0" fontId="47" fillId="3" borderId="5" xfId="0" applyFont="1" applyFill="1" applyBorder="1" applyAlignment="1">
      <alignment vertical="center"/>
    </xf>
    <xf numFmtId="0" fontId="5" fillId="0" borderId="0" xfId="0" applyFont="1"/>
    <xf numFmtId="3" fontId="26" fillId="0" borderId="7" xfId="1" applyNumberFormat="1" applyFont="1" applyFill="1" applyBorder="1" applyAlignment="1">
      <alignment horizontal="left" vertical="center"/>
    </xf>
    <xf numFmtId="0" fontId="31" fillId="11" borderId="1" xfId="0" applyFont="1" applyFill="1" applyBorder="1"/>
    <xf numFmtId="0" fontId="0" fillId="11" borderId="1" xfId="0" applyFont="1" applyFill="1" applyBorder="1"/>
    <xf numFmtId="0" fontId="24" fillId="4" borderId="1" xfId="0" applyFont="1" applyFill="1" applyBorder="1"/>
    <xf numFmtId="0" fontId="31" fillId="4" borderId="1" xfId="0" applyFont="1" applyFill="1" applyBorder="1"/>
    <xf numFmtId="0" fontId="0" fillId="36" borderId="1" xfId="0" applyFont="1" applyFill="1" applyBorder="1"/>
    <xf numFmtId="0" fontId="24" fillId="37" borderId="1" xfId="0" applyFont="1" applyFill="1" applyBorder="1"/>
    <xf numFmtId="0" fontId="0" fillId="37" borderId="1" xfId="0" applyFont="1" applyFill="1" applyBorder="1"/>
    <xf numFmtId="0" fontId="0" fillId="11" borderId="1" xfId="0" applyFill="1" applyBorder="1"/>
    <xf numFmtId="0" fontId="40" fillId="6" borderId="1" xfId="0" applyFont="1" applyFill="1" applyBorder="1" applyAlignment="1">
      <alignment horizontal="center"/>
    </xf>
    <xf numFmtId="0" fontId="0" fillId="6" borderId="1" xfId="0" applyFill="1" applyBorder="1" applyAlignment="1">
      <alignment horizontal="center"/>
    </xf>
    <xf numFmtId="165" fontId="9" fillId="4" borderId="1" xfId="1" applyNumberFormat="1" applyFont="1" applyFill="1" applyBorder="1" applyAlignment="1">
      <alignment horizontal="center" vertical="center"/>
    </xf>
    <xf numFmtId="0" fontId="10" fillId="6" borderId="1" xfId="0" applyFont="1" applyFill="1" applyBorder="1" applyAlignment="1">
      <alignment horizontal="center"/>
    </xf>
    <xf numFmtId="0" fontId="41" fillId="6" borderId="1" xfId="0" applyFont="1" applyFill="1" applyBorder="1" applyAlignment="1">
      <alignment horizontal="center"/>
    </xf>
    <xf numFmtId="165" fontId="9" fillId="3" borderId="1" xfId="1" applyNumberFormat="1" applyFont="1" applyFill="1" applyBorder="1" applyAlignment="1">
      <alignment horizontal="center" vertical="center"/>
    </xf>
    <xf numFmtId="165" fontId="10" fillId="3" borderId="1" xfId="1" applyNumberFormat="1" applyFont="1" applyFill="1" applyBorder="1" applyAlignment="1">
      <alignment horizontal="center" vertical="center"/>
    </xf>
    <xf numFmtId="165" fontId="9" fillId="4" borderId="9" xfId="1" applyNumberFormat="1" applyFont="1" applyFill="1" applyBorder="1" applyAlignment="1">
      <alignment horizontal="center" vertical="center"/>
    </xf>
    <xf numFmtId="165" fontId="9" fillId="4" borderId="11" xfId="1" applyNumberFormat="1" applyFont="1" applyFill="1" applyBorder="1" applyAlignment="1">
      <alignment horizontal="center" vertical="center"/>
    </xf>
    <xf numFmtId="165" fontId="9" fillId="4" borderId="10" xfId="1" applyNumberFormat="1" applyFont="1" applyFill="1" applyBorder="1" applyAlignment="1">
      <alignment horizontal="center" vertical="center"/>
    </xf>
    <xf numFmtId="165" fontId="9" fillId="4" borderId="5" xfId="1" applyNumberFormat="1" applyFont="1" applyFill="1" applyBorder="1" applyAlignment="1">
      <alignment horizontal="center" vertical="center"/>
    </xf>
    <xf numFmtId="165" fontId="9" fillId="4" borderId="8" xfId="1" applyNumberFormat="1" applyFont="1" applyFill="1" applyBorder="1" applyAlignment="1">
      <alignment horizontal="center" vertical="center"/>
    </xf>
    <xf numFmtId="165" fontId="9" fillId="4" borderId="6" xfId="1" applyNumberFormat="1" applyFont="1" applyFill="1" applyBorder="1" applyAlignment="1">
      <alignment horizontal="center" vertical="center"/>
    </xf>
    <xf numFmtId="165" fontId="29" fillId="3" borderId="1" xfId="1" applyNumberFormat="1" applyFont="1" applyFill="1" applyBorder="1" applyAlignment="1">
      <alignment horizontal="center" vertical="center"/>
    </xf>
    <xf numFmtId="165" fontId="24" fillId="8" borderId="3" xfId="1" applyNumberFormat="1" applyFont="1" applyFill="1" applyBorder="1" applyAlignment="1">
      <alignment horizontal="center" vertical="center" wrapText="1"/>
    </xf>
    <xf numFmtId="165" fontId="24" fillId="8" borderId="2" xfId="1" applyNumberFormat="1" applyFont="1" applyFill="1" applyBorder="1" applyAlignment="1">
      <alignment horizontal="center" vertical="center" wrapText="1"/>
    </xf>
    <xf numFmtId="165" fontId="12" fillId="5" borderId="3" xfId="1" applyNumberFormat="1" applyFont="1" applyFill="1" applyBorder="1" applyAlignment="1">
      <alignment horizontal="center" vertical="center" wrapText="1"/>
    </xf>
    <xf numFmtId="165" fontId="12" fillId="5" borderId="4" xfId="1" applyNumberFormat="1" applyFont="1" applyFill="1" applyBorder="1" applyAlignment="1">
      <alignment horizontal="center" vertical="center" wrapText="1"/>
    </xf>
    <xf numFmtId="165" fontId="12" fillId="5" borderId="2" xfId="1" applyNumberFormat="1" applyFont="1" applyFill="1" applyBorder="1" applyAlignment="1">
      <alignment horizontal="center" vertical="center" wrapText="1"/>
    </xf>
    <xf numFmtId="165" fontId="25" fillId="5" borderId="3" xfId="1" applyNumberFormat="1" applyFont="1" applyFill="1" applyBorder="1" applyAlignment="1">
      <alignment horizontal="center" vertical="center"/>
    </xf>
    <xf numFmtId="165" fontId="25" fillId="5" borderId="4" xfId="1" applyNumberFormat="1" applyFont="1" applyFill="1" applyBorder="1" applyAlignment="1">
      <alignment horizontal="center" vertical="center"/>
    </xf>
    <xf numFmtId="165" fontId="25" fillId="5" borderId="2" xfId="1" applyNumberFormat="1" applyFont="1" applyFill="1" applyBorder="1" applyAlignment="1">
      <alignment horizontal="center" vertical="center"/>
    </xf>
    <xf numFmtId="0" fontId="12" fillId="12" borderId="3" xfId="0" applyFont="1" applyFill="1" applyBorder="1" applyAlignment="1">
      <alignment horizontal="center" vertical="center"/>
    </xf>
    <xf numFmtId="0" fontId="12" fillId="12" borderId="4" xfId="0" applyFont="1" applyFill="1" applyBorder="1" applyAlignment="1">
      <alignment horizontal="center" vertical="center"/>
    </xf>
    <xf numFmtId="0" fontId="12" fillId="12" borderId="2" xfId="0" applyFont="1" applyFill="1" applyBorder="1" applyAlignment="1">
      <alignment horizontal="center" vertical="center"/>
    </xf>
    <xf numFmtId="165" fontId="25" fillId="5" borderId="3" xfId="1" applyNumberFormat="1" applyFont="1" applyFill="1" applyBorder="1" applyAlignment="1">
      <alignment horizontal="center" vertical="center" wrapText="1"/>
    </xf>
    <xf numFmtId="165" fontId="25" fillId="5" borderId="4" xfId="1" applyNumberFormat="1" applyFont="1" applyFill="1" applyBorder="1" applyAlignment="1">
      <alignment horizontal="center" vertical="center" wrapText="1"/>
    </xf>
    <xf numFmtId="165" fontId="25" fillId="5" borderId="2" xfId="1" applyNumberFormat="1" applyFont="1" applyFill="1" applyBorder="1" applyAlignment="1">
      <alignment horizontal="center" vertical="center" wrapText="1"/>
    </xf>
    <xf numFmtId="165" fontId="24" fillId="5" borderId="3" xfId="1" applyNumberFormat="1" applyFont="1" applyFill="1" applyBorder="1" applyAlignment="1">
      <alignment horizontal="center" vertical="center" wrapText="1"/>
    </xf>
    <xf numFmtId="165" fontId="24" fillId="5" borderId="4" xfId="1" applyNumberFormat="1" applyFont="1" applyFill="1" applyBorder="1" applyAlignment="1">
      <alignment horizontal="center" vertical="center" wrapText="1"/>
    </xf>
    <xf numFmtId="165" fontId="24" fillId="5" borderId="2" xfId="1" applyNumberFormat="1" applyFont="1" applyFill="1" applyBorder="1" applyAlignment="1">
      <alignment horizontal="center" vertical="center" wrapText="1"/>
    </xf>
    <xf numFmtId="165" fontId="8" fillId="8" borderId="1" xfId="1" applyNumberFormat="1" applyFont="1" applyFill="1" applyBorder="1" applyAlignment="1">
      <alignment horizontal="center" vertical="center" wrapText="1"/>
    </xf>
    <xf numFmtId="165" fontId="25" fillId="5" borderId="1" xfId="1" applyNumberFormat="1" applyFont="1" applyFill="1" applyBorder="1" applyAlignment="1">
      <alignment horizontal="center" vertical="center" wrapText="1"/>
    </xf>
    <xf numFmtId="0" fontId="25" fillId="8" borderId="3" xfId="0" applyFont="1" applyFill="1" applyBorder="1" applyAlignment="1">
      <alignment horizontal="center" vertical="center"/>
    </xf>
    <xf numFmtId="0" fontId="25" fillId="8" borderId="4" xfId="0" applyFont="1" applyFill="1" applyBorder="1" applyAlignment="1">
      <alignment horizontal="center" vertical="center"/>
    </xf>
    <xf numFmtId="0" fontId="25" fillId="8" borderId="2" xfId="0" applyFont="1" applyFill="1" applyBorder="1" applyAlignment="1">
      <alignment horizontal="center" vertical="center"/>
    </xf>
    <xf numFmtId="165" fontId="12" fillId="6" borderId="3" xfId="1" applyNumberFormat="1" applyFont="1" applyFill="1" applyBorder="1" applyAlignment="1">
      <alignment horizontal="center" vertical="center"/>
    </xf>
    <xf numFmtId="165" fontId="12" fillId="6" borderId="2" xfId="1" applyNumberFormat="1" applyFont="1" applyFill="1" applyBorder="1" applyAlignment="1">
      <alignment horizontal="center" vertical="center"/>
    </xf>
    <xf numFmtId="165" fontId="25" fillId="8" borderId="3" xfId="1" applyNumberFormat="1" applyFont="1" applyFill="1" applyBorder="1" applyAlignment="1">
      <alignment horizontal="center" vertical="center"/>
    </xf>
    <xf numFmtId="165" fontId="25" fillId="8" borderId="4" xfId="1" applyNumberFormat="1" applyFont="1" applyFill="1" applyBorder="1" applyAlignment="1">
      <alignment horizontal="center" vertical="center"/>
    </xf>
    <xf numFmtId="165" fontId="25" fillId="8" borderId="2" xfId="1" applyNumberFormat="1" applyFont="1" applyFill="1" applyBorder="1" applyAlignment="1">
      <alignment horizontal="center" vertical="center"/>
    </xf>
    <xf numFmtId="0" fontId="12" fillId="13" borderId="3" xfId="0" applyFont="1" applyFill="1" applyBorder="1" applyAlignment="1">
      <alignment horizontal="center" vertical="center"/>
    </xf>
    <xf numFmtId="0" fontId="12" fillId="13" borderId="4" xfId="0" applyFont="1" applyFill="1" applyBorder="1" applyAlignment="1">
      <alignment horizontal="center" vertical="center"/>
    </xf>
    <xf numFmtId="0" fontId="12" fillId="13" borderId="2" xfId="0" applyFont="1" applyFill="1" applyBorder="1" applyAlignment="1">
      <alignment horizontal="center" vertical="center"/>
    </xf>
    <xf numFmtId="165" fontId="12" fillId="5" borderId="3" xfId="1" applyNumberFormat="1" applyFont="1" applyFill="1" applyBorder="1" applyAlignment="1">
      <alignment horizontal="center" vertical="center"/>
    </xf>
    <xf numFmtId="165" fontId="12" fillId="5" borderId="4" xfId="1" applyNumberFormat="1" applyFont="1" applyFill="1" applyBorder="1" applyAlignment="1">
      <alignment horizontal="center" vertical="center"/>
    </xf>
    <xf numFmtId="165" fontId="12" fillId="5" borderId="2" xfId="1" applyNumberFormat="1" applyFont="1" applyFill="1" applyBorder="1" applyAlignment="1">
      <alignment horizontal="center" vertical="center"/>
    </xf>
    <xf numFmtId="165" fontId="30" fillId="8" borderId="3" xfId="1" applyNumberFormat="1" applyFont="1" applyFill="1" applyBorder="1" applyAlignment="1">
      <alignment horizontal="center" vertical="center"/>
    </xf>
    <xf numFmtId="165" fontId="30" fillId="8" borderId="2" xfId="1" applyNumberFormat="1" applyFont="1" applyFill="1" applyBorder="1" applyAlignment="1">
      <alignment horizontal="center" vertical="center"/>
    </xf>
    <xf numFmtId="165" fontId="25" fillId="8" borderId="1" xfId="1" applyNumberFormat="1" applyFont="1" applyFill="1" applyBorder="1" applyAlignment="1">
      <alignment horizontal="center" vertical="center"/>
    </xf>
    <xf numFmtId="165" fontId="25" fillId="8" borderId="3" xfId="1" applyNumberFormat="1" applyFont="1" applyFill="1" applyBorder="1" applyAlignment="1">
      <alignment horizontal="center" vertical="center" wrapText="1"/>
    </xf>
    <xf numFmtId="165" fontId="25" fillId="8" borderId="2" xfId="1" applyNumberFormat="1" applyFont="1" applyFill="1" applyBorder="1" applyAlignment="1">
      <alignment horizontal="center" vertical="center" wrapText="1"/>
    </xf>
    <xf numFmtId="0" fontId="58" fillId="11" borderId="3" xfId="0" applyFont="1" applyFill="1" applyBorder="1" applyAlignment="1">
      <alignment horizontal="center" vertical="center"/>
    </xf>
    <xf numFmtId="0" fontId="58" fillId="11" borderId="2" xfId="0" applyFont="1" applyFill="1" applyBorder="1" applyAlignment="1">
      <alignment horizontal="center" vertical="center"/>
    </xf>
    <xf numFmtId="0" fontId="24" fillId="11" borderId="3" xfId="0" applyFont="1" applyFill="1" applyBorder="1" applyAlignment="1">
      <alignment horizontal="center"/>
    </xf>
    <xf numFmtId="0" fontId="24" fillId="11" borderId="2" xfId="0" applyFont="1" applyFill="1" applyBorder="1" applyAlignment="1">
      <alignment horizontal="center"/>
    </xf>
    <xf numFmtId="0" fontId="52" fillId="2" borderId="3" xfId="0" applyFont="1" applyFill="1" applyBorder="1" applyAlignment="1">
      <alignment horizontal="center"/>
    </xf>
    <xf numFmtId="0" fontId="52" fillId="2" borderId="4" xfId="0" applyFont="1" applyFill="1" applyBorder="1" applyAlignment="1">
      <alignment horizontal="center"/>
    </xf>
    <xf numFmtId="0" fontId="52" fillId="2" borderId="2" xfId="0" applyFont="1" applyFill="1" applyBorder="1" applyAlignment="1">
      <alignment horizontal="center"/>
    </xf>
    <xf numFmtId="0" fontId="31" fillId="11" borderId="3" xfId="0" applyFont="1" applyFill="1" applyBorder="1" applyAlignment="1">
      <alignment horizontal="center" vertical="center"/>
    </xf>
    <xf numFmtId="0" fontId="31" fillId="11" borderId="4" xfId="0" applyFont="1" applyFill="1" applyBorder="1" applyAlignment="1">
      <alignment horizontal="center" vertical="center"/>
    </xf>
    <xf numFmtId="0" fontId="31" fillId="11"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2"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2" xfId="0" applyFont="1" applyFill="1" applyBorder="1" applyAlignment="1">
      <alignment horizontal="center" vertical="center"/>
    </xf>
    <xf numFmtId="0" fontId="31" fillId="11" borderId="3" xfId="0" applyFont="1" applyFill="1" applyBorder="1" applyAlignment="1">
      <alignment horizontal="center"/>
    </xf>
    <xf numFmtId="0" fontId="31" fillId="11" borderId="2" xfId="0" applyFont="1" applyFill="1" applyBorder="1" applyAlignment="1">
      <alignment horizontal="center"/>
    </xf>
    <xf numFmtId="0" fontId="24" fillId="11" borderId="3" xfId="0" applyFont="1" applyFill="1" applyBorder="1" applyAlignment="1">
      <alignment horizontal="center" vertical="center"/>
    </xf>
    <xf numFmtId="0" fontId="24" fillId="11" borderId="2" xfId="0" applyFont="1" applyFill="1" applyBorder="1" applyAlignment="1">
      <alignment horizontal="center" vertical="center"/>
    </xf>
    <xf numFmtId="0" fontId="0" fillId="11" borderId="11" xfId="0" applyFill="1" applyBorder="1" applyAlignment="1">
      <alignment horizontal="left" vertical="top" wrapText="1"/>
    </xf>
    <xf numFmtId="0" fontId="0" fillId="11" borderId="0" xfId="0" applyFill="1" applyAlignment="1">
      <alignment horizontal="left" vertical="top"/>
    </xf>
    <xf numFmtId="0" fontId="0" fillId="11" borderId="11" xfId="0" applyFill="1" applyBorder="1" applyAlignment="1">
      <alignment horizontal="center"/>
    </xf>
    <xf numFmtId="0" fontId="0" fillId="11" borderId="0" xfId="0" applyFill="1" applyAlignment="1">
      <alignment horizontal="center"/>
    </xf>
    <xf numFmtId="0" fontId="0" fillId="11" borderId="8" xfId="0" applyFill="1" applyBorder="1" applyAlignment="1">
      <alignment horizontal="center"/>
    </xf>
    <xf numFmtId="0" fontId="12" fillId="17" borderId="0" xfId="0" applyFont="1" applyFill="1" applyAlignment="1">
      <alignment horizontal="center" vertical="center"/>
    </xf>
    <xf numFmtId="0" fontId="12" fillId="17" borderId="8" xfId="0" applyFont="1" applyFill="1" applyBorder="1" applyAlignment="1">
      <alignment horizontal="center" vertical="center"/>
    </xf>
    <xf numFmtId="0" fontId="0" fillId="17" borderId="3" xfId="0" applyFill="1" applyBorder="1" applyAlignment="1">
      <alignment horizontal="center"/>
    </xf>
    <xf numFmtId="0" fontId="0" fillId="17" borderId="2" xfId="0" applyFill="1" applyBorder="1" applyAlignment="1">
      <alignment horizontal="center"/>
    </xf>
    <xf numFmtId="2" fontId="31" fillId="11" borderId="9" xfId="0" applyNumberFormat="1" applyFont="1" applyFill="1" applyBorder="1" applyAlignment="1">
      <alignment horizontal="center"/>
    </xf>
    <xf numFmtId="2" fontId="31" fillId="11" borderId="11" xfId="0" applyNumberFormat="1" applyFont="1" applyFill="1" applyBorder="1" applyAlignment="1">
      <alignment horizontal="center"/>
    </xf>
    <xf numFmtId="2" fontId="31" fillId="11" borderId="10" xfId="0" applyNumberFormat="1" applyFont="1" applyFill="1" applyBorder="1" applyAlignment="1">
      <alignment horizontal="center"/>
    </xf>
    <xf numFmtId="0" fontId="31" fillId="11" borderId="8" xfId="0" applyFont="1" applyFill="1" applyBorder="1" applyAlignment="1">
      <alignment horizontal="center"/>
    </xf>
    <xf numFmtId="0" fontId="31" fillId="11" borderId="6" xfId="0" applyFont="1" applyFill="1" applyBorder="1" applyAlignment="1">
      <alignment horizontal="center"/>
    </xf>
    <xf numFmtId="2" fontId="31" fillId="11" borderId="3" xfId="0" applyNumberFormat="1" applyFont="1" applyFill="1" applyBorder="1" applyAlignment="1">
      <alignment horizontal="center"/>
    </xf>
    <xf numFmtId="2" fontId="31" fillId="11" borderId="4" xfId="0" applyNumberFormat="1" applyFont="1" applyFill="1" applyBorder="1" applyAlignment="1">
      <alignment horizontal="center"/>
    </xf>
    <xf numFmtId="2" fontId="31" fillId="11" borderId="2" xfId="0" applyNumberFormat="1" applyFont="1" applyFill="1" applyBorder="1" applyAlignment="1">
      <alignment horizontal="center"/>
    </xf>
  </cellXfs>
  <cellStyles count="4">
    <cellStyle name="Lien hypertexte" xfId="3" builtinId="8"/>
    <cellStyle name="Milliers" xfId="1" builtinId="3"/>
    <cellStyle name="Normal" xfId="0" builtinId="0"/>
    <cellStyle name="Normal_Feuil1" xfId="2"/>
  </cellStyles>
  <dxfs count="234">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4"/>
        </patternFill>
      </fill>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scheme val="minor"/>
      </font>
      <fill>
        <patternFill patternType="solid">
          <fgColor indexed="64"/>
          <bgColor theme="1"/>
        </patternFill>
      </fill>
    </dxf>
    <dxf>
      <font>
        <b val="0"/>
        <i val="0"/>
        <strike val="0"/>
        <condense val="0"/>
        <extend val="0"/>
        <outline val="0"/>
        <shadow val="0"/>
        <u val="none"/>
        <vertAlign val="baseline"/>
        <sz val="11"/>
        <color rgb="FFFF0000"/>
        <name val="Calibri"/>
        <scheme val="minor"/>
      </font>
      <fill>
        <patternFill patternType="solid">
          <fgColor indexed="64"/>
          <bgColor theme="1"/>
        </patternFill>
      </fill>
    </dxf>
    <dxf>
      <font>
        <b val="0"/>
        <i val="0"/>
        <strike val="0"/>
        <condense val="0"/>
        <extend val="0"/>
        <outline val="0"/>
        <shadow val="0"/>
        <u val="none"/>
        <vertAlign val="baseline"/>
        <sz val="14"/>
        <color theme="1"/>
        <name val="Calibri"/>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theme="1"/>
        <name val="Calibri"/>
        <scheme val="minor"/>
      </font>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rgb="FFFF0000"/>
        <name val="Calibri"/>
        <scheme val="minor"/>
      </font>
      <fill>
        <patternFill patternType="solid">
          <fgColor indexed="64"/>
          <bgColor theme="1"/>
        </patternFill>
      </fill>
      <border diagonalUp="0" diagonalDown="0" outline="0">
        <left style="thin">
          <color indexed="64"/>
        </left>
        <right style="thin">
          <color indexed="64"/>
        </right>
        <top/>
        <bottom/>
      </border>
    </dxf>
    <dxf>
      <font>
        <color rgb="FF9C0006"/>
      </font>
      <fill>
        <gradientFill degree="90">
          <stop position="0">
            <color theme="2"/>
          </stop>
          <stop position="1">
            <color rgb="FF18F046"/>
          </stop>
        </gradientFill>
      </fill>
    </dxf>
    <dxf>
      <numFmt numFmtId="3" formatCode="#,##0"/>
      <fill>
        <patternFill patternType="solid">
          <fgColor indexed="64"/>
          <bgColor rgb="FF00B0F0"/>
        </patternFill>
      </fill>
      <border diagonalUp="0" diagonalDown="0">
        <left style="thin">
          <color indexed="64"/>
        </left>
        <right/>
        <top style="thin">
          <color indexed="64"/>
        </top>
        <bottom style="thin">
          <color indexed="64"/>
        </bottom>
        <vertical/>
        <horizontal/>
      </border>
    </dxf>
    <dxf>
      <numFmt numFmtId="3" formatCode="#,##0"/>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9FF66"/>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9FF66"/>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2D050"/>
        </patternFill>
      </fill>
      <border diagonalUp="0" diagonalDown="0">
        <left style="thin">
          <color indexed="64"/>
        </left>
        <right style="thin">
          <color indexed="64"/>
        </right>
        <top style="thin">
          <color indexed="64"/>
        </top>
        <bottom style="thin">
          <color indexed="64"/>
        </bottom>
        <vertical/>
        <horizontal/>
      </border>
    </dxf>
    <dxf>
      <numFmt numFmtId="3" formatCode="#,##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92D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5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theme="0" tint="-0.14999847407452621"/>
        </patternFill>
      </fill>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indexed="64"/>
          <bgColor rgb="FF00B0F0"/>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color auto="1"/>
      </font>
    </dxf>
    <dxf>
      <font>
        <color rgb="FF7030A0"/>
      </font>
    </dxf>
    <dxf>
      <font>
        <color rgb="FFCC0000"/>
      </font>
    </dxf>
    <dxf>
      <font>
        <b/>
        <i val="0"/>
        <strike val="0"/>
        <condense val="0"/>
        <extend val="0"/>
        <outline val="0"/>
        <shadow val="0"/>
        <u val="none"/>
        <vertAlign val="baseline"/>
        <sz val="14"/>
        <color theme="1"/>
        <name val="Calibri"/>
        <scheme val="minor"/>
      </font>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z val="14"/>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Calibri"/>
        <scheme val="minor"/>
      </font>
      <numFmt numFmtId="3" formatCode="#,##0"/>
      <fill>
        <patternFill patternType="solid">
          <fgColor indexed="64"/>
          <bgColor rgb="FF99FF66"/>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FF0000"/>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dxf>
    <dxf>
      <fill>
        <patternFill patternType="none">
          <fgColor indexed="64"/>
          <bgColor auto="1"/>
        </patternFill>
      </fill>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rgb="FF92D05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theme="0"/>
        </patternFill>
      </fill>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9FF66"/>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0"/>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2"/>
        <color auto="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alibri"/>
        <scheme val="minor"/>
      </font>
      <numFmt numFmtId="165" formatCode="_-* #,##0\ _€_-;\-* #,##0\ _€_-;_-* &quot;-&quot;??\ _€_-;_-@_-"/>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2D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auto="1"/>
        <name val="Calibri"/>
        <scheme val="minor"/>
      </font>
      <numFmt numFmtId="3" formatCode="#,##0"/>
      <fill>
        <patternFill patternType="solid">
          <fgColor indexed="64"/>
          <bgColor rgb="FF00B05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FF0000"/>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rgb="FF9BE5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65" formatCode="_-* #,##0\ _€_-;\-* #,##0\ _€_-;_-* &quot;-&quot;??\ _€_-;_-@_-"/>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patternType="solid">
          <fgColor indexed="64"/>
          <bgColor rgb="FF9BE5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 formatCode="#,##0"/>
      <fill>
        <patternFill>
          <fgColor indexed="64"/>
          <bgColor rgb="FF9BE5FF"/>
        </patternFill>
      </fill>
    </dxf>
    <dxf>
      <font>
        <b val="0"/>
        <i val="0"/>
        <strike val="0"/>
        <condense val="0"/>
        <extend val="0"/>
        <outline val="0"/>
        <shadow val="0"/>
        <u val="none"/>
        <vertAlign val="baseline"/>
        <sz val="11"/>
        <color auto="1"/>
        <name val="Calibri"/>
        <scheme val="minor"/>
      </font>
      <numFmt numFmtId="3" formatCode="#,##0"/>
      <fill>
        <patternFill patternType="solid">
          <fgColor indexed="64"/>
          <bgColor rgb="FF00CCFF"/>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3" formatCode="#,##0"/>
      <fill>
        <patternFill patternType="solid">
          <fgColor indexed="64"/>
          <bgColor rgb="FF00B0F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Calibri"/>
        <scheme val="minor"/>
      </font>
      <numFmt numFmtId="3" formatCode="#,##0"/>
      <fill>
        <patternFill patternType="solid">
          <fgColor indexed="64"/>
          <bgColor rgb="FFFFFF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4" formatCode="#,##0.00\ &quot;€&quot;"/>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8" tint="0.5999938962981048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66" formatCode="00000"/>
      <fill>
        <patternFill patternType="solid">
          <fgColor indexed="64"/>
          <bgColor theme="0" tint="-0.14999847407452621"/>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indexed="64"/>
          <bgColor rgb="FFFFCC0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fgColor indexed="64"/>
          <bgColor rgb="FF00B0F0"/>
        </patternFill>
      </fill>
    </dxf>
    <dxf>
      <fill>
        <patternFill patternType="solid">
          <fgColor indexed="64"/>
          <bgColor rgb="FF00B0F0"/>
        </patternFill>
      </fill>
    </dxf>
    <dxf>
      <fill>
        <patternFill patternType="solid">
          <fgColor indexed="64"/>
          <bgColor theme="0" tint="-0.14999847407452621"/>
        </patternFill>
      </fill>
    </dxf>
    <dxf>
      <font>
        <b/>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theme="0" tint="-0.1499984740745262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rder>
    </dxf>
    <dxf>
      <alignment horizontal="left" textRotation="0" indent="0" justifyLastLine="0" shrinkToFit="0" readingOrder="0"/>
    </dxf>
    <dxf>
      <border outline="0">
        <bottom style="thin">
          <color indexed="64"/>
        </bottom>
      </border>
    </dxf>
    <dxf>
      <alignment horizontal="left" textRotation="0" indent="0" justifyLastLine="0" shrinkToFit="0" readingOrder="0"/>
    </dxf>
    <dxf>
      <font>
        <color rgb="FFCC0000"/>
      </font>
    </dxf>
    <dxf>
      <font>
        <color rgb="FF7030A0"/>
      </font>
    </dxf>
    <dxf>
      <fill>
        <gradientFill degree="90">
          <stop position="0">
            <color theme="0" tint="-5.0965910824915313E-2"/>
          </stop>
          <stop position="1">
            <color theme="7"/>
          </stop>
        </gradientFill>
      </fill>
    </dxf>
    <dxf>
      <font>
        <color rgb="FFCC0000"/>
      </font>
    </dxf>
    <dxf>
      <font>
        <color rgb="FF7030A0"/>
      </font>
    </dxf>
    <dxf>
      <font>
        <color rgb="FFCC0000"/>
      </font>
    </dxf>
    <dxf>
      <font>
        <color rgb="FF7030A0"/>
      </font>
    </dxf>
    <dxf>
      <font>
        <color rgb="FFCC0000"/>
      </font>
    </dxf>
    <dxf>
      <font>
        <color rgb="FF7030A0"/>
      </font>
    </dxf>
    <dxf>
      <font>
        <color rgb="FFCC0000"/>
      </font>
    </dxf>
    <dxf>
      <font>
        <color rgb="FF7030A0"/>
      </font>
    </dxf>
    <dxf>
      <font>
        <color rgb="FF7030A0"/>
      </font>
    </dxf>
    <dxf>
      <font>
        <color rgb="FFCC0000"/>
      </font>
    </dxf>
    <dxf>
      <font>
        <color rgb="FFF87906"/>
      </font>
    </dxf>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233"/>
      <tableStyleElement type="headerRow" dxfId="232"/>
    </tableStyle>
  </tableStyles>
  <colors>
    <mruColors>
      <color rgb="FFF7B115"/>
      <color rgb="FFFCD510"/>
      <color rgb="FF65D7FF"/>
      <color rgb="FF66E13F"/>
      <color rgb="FFE3D5FF"/>
      <color rgb="FF9F89D7"/>
      <color rgb="FF6DFFAF"/>
      <color rgb="FFEBC98D"/>
      <color rgb="FFF3F19D"/>
      <color rgb="FFFF94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8BD21D60-EC42-11CE-9E0D-00AA006002F3}" ax:persistence="persistStreamInit" r:id="rId1"/>
</file>

<file path=xl/activeX/activeX3.xml><?xml version="1.0" encoding="utf-8"?>
<ax:ocx xmlns:ax="http://schemas.microsoft.com/office/2006/activeX" xmlns:r="http://schemas.openxmlformats.org/officeDocument/2006/relationships" ax:classid="{8BD21D60-EC42-11CE-9E0D-00AA006002F3}" ax:persistence="persistStreamInit" r:id="rId1"/>
</file>

<file path=xl/activeX/activeX4.xml><?xml version="1.0" encoding="utf-8"?>
<ax:ocx xmlns:ax="http://schemas.microsoft.com/office/2006/activeX" xmlns:r="http://schemas.openxmlformats.org/officeDocument/2006/relationships" ax:classid="{8BD21D60-EC42-11CE-9E0D-00AA006002F3}" ax:persistence="persistStreamInit" r:id="rId1"/>
</file>

<file path=xl/activeX/activeX5.xml><?xml version="1.0" encoding="utf-8"?>
<ax:ocx xmlns:ax="http://schemas.microsoft.com/office/2006/activeX" xmlns:r="http://schemas.openxmlformats.org/officeDocument/2006/relationships" ax:classid="{8BD21D60-EC42-11CE-9E0D-00AA006002F3}" ax:persistence="persistStreamInit" r:id="rId1"/>
</file>

<file path=xl/activeX/activeX6.xml><?xml version="1.0" encoding="utf-8"?>
<ax:ocx xmlns:ax="http://schemas.microsoft.com/office/2006/activeX" xmlns:r="http://schemas.openxmlformats.org/officeDocument/2006/relationships" ax:classid="{8BD21D60-EC42-11CE-9E0D-00AA006002F3}" ax:persistence="persistStreamInit" r:id="rId1"/>
</file>

<file path=xl/activeX/activeX7.xml><?xml version="1.0" encoding="utf-8"?>
<ax:ocx xmlns:ax="http://schemas.microsoft.com/office/2006/activeX" xmlns:r="http://schemas.openxmlformats.org/officeDocument/2006/relationships" ax:classid="{8BD21D60-EC42-11CE-9E0D-00AA006002F3}" ax:persistence="persistStreamInit" r:id="rId1"/>
</file>

<file path=xl/activeX/activeX8.xml><?xml version="1.0" encoding="utf-8"?>
<ax:ocx xmlns:ax="http://schemas.microsoft.com/office/2006/activeX" xmlns:r="http://schemas.openxmlformats.org/officeDocument/2006/relationships" ax:classid="{8BD21D60-EC42-11CE-9E0D-00AA006002F3}" ax:persistence="persistStreamInit" r:id="rId1"/>
</file>

<file path=xl/activeX/activeX9.xml><?xml version="1.0" encoding="utf-8"?>
<ax:ocx xmlns:ax="http://schemas.microsoft.com/office/2006/activeX" xmlns:r="http://schemas.openxmlformats.org/officeDocument/2006/relationships" ax:classid="{8BD21D60-EC42-11CE-9E0D-00AA006002F3}" ax:persistence="persistStreamInit" r:id="rId1"/>
</file>

<file path=xl/activeX/activeX10.xml><?xml version="1.0" encoding="utf-8"?>
<ax:ocx xmlns:ax="http://schemas.microsoft.com/office/2006/activeX" xmlns:r="http://schemas.openxmlformats.org/officeDocument/2006/relationships" ax:classid="{8BD21D60-EC42-11CE-9E0D-00AA006002F3}" ax:persistence="persistStreamInit" r:id="rId1"/>
</file>

<file path=xl/activeX/activeX11.xml><?xml version="1.0" encoding="utf-8"?>
<ax:ocx xmlns:ax="http://schemas.microsoft.com/office/2006/activeX" xmlns:r="http://schemas.openxmlformats.org/officeDocument/2006/relationships" ax:classid="{8BD21D60-EC42-11CE-9E0D-00AA006002F3}" ax:persistence="persistStreamInit" r:id="rId1"/>
</file>

<file path=xl/activeX/activeX12.xml><?xml version="1.0" encoding="utf-8"?>
<ax:ocx xmlns:ax="http://schemas.microsoft.com/office/2006/activeX" xmlns:r="http://schemas.openxmlformats.org/officeDocument/2006/relationships" ax:classid="{8BD21D60-EC42-11CE-9E0D-00AA006002F3}" ax:persistence="persistStreamInit" r:id="rId1"/>
</file>

<file path=xl/activeX/activeX13.xml><?xml version="1.0" encoding="utf-8"?>
<ax:ocx xmlns:ax="http://schemas.microsoft.com/office/2006/activeX" xmlns:r="http://schemas.openxmlformats.org/officeDocument/2006/relationships" ax:classid="{8BD21D60-EC42-11CE-9E0D-00AA006002F3}" ax:persistence="persistStreamInit" r:id="rId1"/>
</file>

<file path=xl/activeX/activeX14.xml><?xml version="1.0" encoding="utf-8"?>
<ax:ocx xmlns:ax="http://schemas.microsoft.com/office/2006/activeX" xmlns:r="http://schemas.openxmlformats.org/officeDocument/2006/relationships" ax:classid="{8BD21D60-EC42-11CE-9E0D-00AA006002F3}" ax:persistence="persistStreamInit" r:id="rId1"/>
</file>

<file path=xl/activeX/activeX15.xml><?xml version="1.0" encoding="utf-8"?>
<ax:ocx xmlns:ax="http://schemas.microsoft.com/office/2006/activeX" xmlns:r="http://schemas.openxmlformats.org/officeDocument/2006/relationships" ax:classid="{8BD21D60-EC42-11CE-9E0D-00AA006002F3}" ax:persistence="persistStreamInit" r:id="rId1"/>
</file>

<file path=xl/activeX/activeX16.xml><?xml version="1.0" encoding="utf-8"?>
<ax:ocx xmlns:ax="http://schemas.microsoft.com/office/2006/activeX" xmlns:r="http://schemas.openxmlformats.org/officeDocument/2006/relationships" ax:classid="{8BD21D60-EC42-11CE-9E0D-00AA006002F3}" ax:persistence="persistStreamInit" r:id="rId1"/>
</file>

<file path=xl/activeX/activeX17.xml><?xml version="1.0" encoding="utf-8"?>
<ax:ocx xmlns:ax="http://schemas.microsoft.com/office/2006/activeX" xmlns:r="http://schemas.openxmlformats.org/officeDocument/2006/relationships" ax:classid="{8BD21D60-EC42-11CE-9E0D-00AA006002F3}" ax:persistence="persistStreamInit" r:id="rId1"/>
</file>

<file path=xl/activeX/activeX18.xml><?xml version="1.0" encoding="utf-8"?>
<ax:ocx xmlns:ax="http://schemas.microsoft.com/office/2006/activeX" xmlns:r="http://schemas.openxmlformats.org/officeDocument/2006/relationships" ax:classid="{8BD21D60-EC42-11CE-9E0D-00AA006002F3}" ax:persistence="persistStreamInit" r:id="rId1"/>
</file>

<file path=xl/charts/_rels/chart5.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Salaires et traitements </c:v>
          </c:tx>
          <c:spPr>
            <a:ln w="28575">
              <a:noFill/>
            </a:ln>
          </c:spPr>
          <c:xVal>
            <c:numRef>
              <c:f>Base_Données!$FP$6:$FP$499</c:f>
              <c:numCache>
                <c:formatCode>#,##0</c:formatCode>
                <c:ptCount val="494"/>
                <c:pt idx="0">
                  <c:v>197314</c:v>
                </c:pt>
                <c:pt idx="1">
                  <c:v>223161</c:v>
                </c:pt>
                <c:pt idx="2">
                  <c:v>44257</c:v>
                </c:pt>
                <c:pt idx="3">
                  <c:v>47047.3</c:v>
                </c:pt>
                <c:pt idx="4">
                  <c:v>101197</c:v>
                </c:pt>
                <c:pt idx="5">
                  <c:v>122255</c:v>
                </c:pt>
                <c:pt idx="6">
                  <c:v>119810.15</c:v>
                </c:pt>
                <c:pt idx="7">
                  <c:v>242354</c:v>
                </c:pt>
                <c:pt idx="8">
                  <c:v>41736.86</c:v>
                </c:pt>
                <c:pt idx="9">
                  <c:v>46257.77</c:v>
                </c:pt>
                <c:pt idx="10">
                  <c:v>203253</c:v>
                </c:pt>
                <c:pt idx="11">
                  <c:v>50272.94</c:v>
                </c:pt>
                <c:pt idx="12">
                  <c:v>96869</c:v>
                </c:pt>
                <c:pt idx="13">
                  <c:v>99724</c:v>
                </c:pt>
                <c:pt idx="14">
                  <c:v>156454</c:v>
                </c:pt>
                <c:pt idx="15">
                  <c:v>124103.82</c:v>
                </c:pt>
                <c:pt idx="16">
                  <c:v>148489.34</c:v>
                </c:pt>
                <c:pt idx="17">
                  <c:v>54770</c:v>
                </c:pt>
                <c:pt idx="18">
                  <c:v>55326</c:v>
                </c:pt>
                <c:pt idx="19">
                  <c:v>76264</c:v>
                </c:pt>
                <c:pt idx="20">
                  <c:v>28559</c:v>
                </c:pt>
                <c:pt idx="21">
                  <c:v>113024</c:v>
                </c:pt>
                <c:pt idx="22">
                  <c:v>128804</c:v>
                </c:pt>
                <c:pt idx="23">
                  <c:v>40027</c:v>
                </c:pt>
                <c:pt idx="24">
                  <c:v>37901</c:v>
                </c:pt>
                <c:pt idx="25">
                  <c:v>44313</c:v>
                </c:pt>
                <c:pt idx="26">
                  <c:v>27417.61</c:v>
                </c:pt>
                <c:pt idx="27">
                  <c:v>29490.04</c:v>
                </c:pt>
                <c:pt idx="28">
                  <c:v>22171</c:v>
                </c:pt>
                <c:pt idx="29">
                  <c:v>91566</c:v>
                </c:pt>
                <c:pt idx="30">
                  <c:v>97199</c:v>
                </c:pt>
                <c:pt idx="31">
                  <c:v>103333</c:v>
                </c:pt>
                <c:pt idx="32">
                  <c:v>147175</c:v>
                </c:pt>
                <c:pt idx="33">
                  <c:v>134474</c:v>
                </c:pt>
                <c:pt idx="34">
                  <c:v>198714</c:v>
                </c:pt>
                <c:pt idx="35">
                  <c:v>194770</c:v>
                </c:pt>
                <c:pt idx="36">
                  <c:v>274981.7</c:v>
                </c:pt>
                <c:pt idx="37">
                  <c:v>293585.7</c:v>
                </c:pt>
                <c:pt idx="39">
                  <c:v>382621</c:v>
                </c:pt>
                <c:pt idx="40">
                  <c:v>432198</c:v>
                </c:pt>
                <c:pt idx="41">
                  <c:v>54463</c:v>
                </c:pt>
                <c:pt idx="42">
                  <c:v>223925</c:v>
                </c:pt>
                <c:pt idx="43">
                  <c:v>225302</c:v>
                </c:pt>
                <c:pt idx="44">
                  <c:v>80711</c:v>
                </c:pt>
                <c:pt idx="45">
                  <c:v>77680</c:v>
                </c:pt>
                <c:pt idx="46">
                  <c:v>288034.92</c:v>
                </c:pt>
                <c:pt idx="47">
                  <c:v>350747</c:v>
                </c:pt>
                <c:pt idx="48">
                  <c:v>79767</c:v>
                </c:pt>
                <c:pt idx="49">
                  <c:v>85801</c:v>
                </c:pt>
                <c:pt idx="50">
                  <c:v>81949</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DB19-42A3-B939-712F41B3936C}"/>
            </c:ext>
          </c:extLst>
        </c:ser>
        <c:dLbls>
          <c:showLegendKey val="0"/>
          <c:showVal val="0"/>
          <c:showCatName val="0"/>
          <c:showSerName val="0"/>
          <c:showPercent val="0"/>
          <c:showBubbleSize val="0"/>
        </c:dLbls>
        <c:axId val="220686464"/>
        <c:axId val="220688432"/>
      </c:scatterChart>
      <c:valAx>
        <c:axId val="220686464"/>
        <c:scaling>
          <c:orientation val="minMax"/>
        </c:scaling>
        <c:delete val="0"/>
        <c:axPos val="b"/>
        <c:numFmt formatCode="#,##0" sourceLinked="1"/>
        <c:majorTickMark val="out"/>
        <c:minorTickMark val="none"/>
        <c:tickLblPos val="nextTo"/>
        <c:crossAx val="220688432"/>
        <c:crosses val="autoZero"/>
        <c:crossBetween val="midCat"/>
      </c:valAx>
      <c:valAx>
        <c:axId val="220688432"/>
        <c:scaling>
          <c:orientation val="minMax"/>
        </c:scaling>
        <c:delete val="0"/>
        <c:axPos val="l"/>
        <c:majorGridlines/>
        <c:numFmt formatCode="#,##0" sourceLinked="1"/>
        <c:majorTickMark val="out"/>
        <c:minorTickMark val="none"/>
        <c:tickLblPos val="nextTo"/>
        <c:crossAx val="220686464"/>
        <c:crosses val="autoZero"/>
        <c:crossBetween val="midCat"/>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Charges de personnel</c:v>
          </c:tx>
          <c:spPr>
            <a:ln w="28575">
              <a:noFill/>
            </a:ln>
          </c:spPr>
          <c:xVal>
            <c:numRef>
              <c:f>Base_Données!$FO$6:$FO$499</c:f>
              <c:numCache>
                <c:formatCode>#,##0</c:formatCode>
                <c:ptCount val="494"/>
                <c:pt idx="0">
                  <c:v>243814</c:v>
                </c:pt>
                <c:pt idx="1">
                  <c:v>269551</c:v>
                </c:pt>
                <c:pt idx="2">
                  <c:v>55660</c:v>
                </c:pt>
                <c:pt idx="3">
                  <c:v>59152.43</c:v>
                </c:pt>
                <c:pt idx="4">
                  <c:v>127153</c:v>
                </c:pt>
                <c:pt idx="5">
                  <c:v>159357.5</c:v>
                </c:pt>
                <c:pt idx="6">
                  <c:v>148916.03999999998</c:v>
                </c:pt>
                <c:pt idx="7">
                  <c:v>309365</c:v>
                </c:pt>
                <c:pt idx="8">
                  <c:v>76011.520000000004</c:v>
                </c:pt>
                <c:pt idx="9">
                  <c:v>93254.13</c:v>
                </c:pt>
                <c:pt idx="10">
                  <c:v>260199.8</c:v>
                </c:pt>
                <c:pt idx="11">
                  <c:v>67543.05</c:v>
                </c:pt>
                <c:pt idx="12">
                  <c:v>132357</c:v>
                </c:pt>
                <c:pt idx="13">
                  <c:v>133194</c:v>
                </c:pt>
                <c:pt idx="14">
                  <c:v>199217</c:v>
                </c:pt>
                <c:pt idx="15">
                  <c:v>159638.82</c:v>
                </c:pt>
                <c:pt idx="16">
                  <c:v>215991.44</c:v>
                </c:pt>
                <c:pt idx="17">
                  <c:v>61548</c:v>
                </c:pt>
                <c:pt idx="18">
                  <c:v>74992</c:v>
                </c:pt>
                <c:pt idx="19">
                  <c:v>92943</c:v>
                </c:pt>
                <c:pt idx="20">
                  <c:v>35888.15</c:v>
                </c:pt>
                <c:pt idx="21">
                  <c:v>146178</c:v>
                </c:pt>
                <c:pt idx="22">
                  <c:v>167356</c:v>
                </c:pt>
                <c:pt idx="23">
                  <c:v>47092</c:v>
                </c:pt>
                <c:pt idx="24">
                  <c:v>44830</c:v>
                </c:pt>
                <c:pt idx="25">
                  <c:v>56978</c:v>
                </c:pt>
                <c:pt idx="26">
                  <c:v>32387.670000000002</c:v>
                </c:pt>
                <c:pt idx="27">
                  <c:v>36076.020000000004</c:v>
                </c:pt>
                <c:pt idx="28">
                  <c:v>25449</c:v>
                </c:pt>
                <c:pt idx="29">
                  <c:v>125900</c:v>
                </c:pt>
                <c:pt idx="30">
                  <c:v>133485</c:v>
                </c:pt>
                <c:pt idx="31">
                  <c:v>144039</c:v>
                </c:pt>
                <c:pt idx="32">
                  <c:v>189633</c:v>
                </c:pt>
                <c:pt idx="33">
                  <c:v>172620</c:v>
                </c:pt>
                <c:pt idx="34">
                  <c:v>274914</c:v>
                </c:pt>
                <c:pt idx="35">
                  <c:v>248243</c:v>
                </c:pt>
                <c:pt idx="36">
                  <c:v>364377.59999999998</c:v>
                </c:pt>
                <c:pt idx="37">
                  <c:v>395309.7</c:v>
                </c:pt>
                <c:pt idx="38">
                  <c:v>0</c:v>
                </c:pt>
                <c:pt idx="39">
                  <c:v>505326</c:v>
                </c:pt>
                <c:pt idx="40">
                  <c:v>572886</c:v>
                </c:pt>
                <c:pt idx="41">
                  <c:v>65206</c:v>
                </c:pt>
                <c:pt idx="42">
                  <c:v>287934</c:v>
                </c:pt>
                <c:pt idx="43">
                  <c:v>292389</c:v>
                </c:pt>
                <c:pt idx="44">
                  <c:v>101688</c:v>
                </c:pt>
                <c:pt idx="45">
                  <c:v>96684</c:v>
                </c:pt>
                <c:pt idx="46">
                  <c:v>327002.70999999996</c:v>
                </c:pt>
                <c:pt idx="47">
                  <c:v>408383</c:v>
                </c:pt>
                <c:pt idx="48">
                  <c:v>92219</c:v>
                </c:pt>
                <c:pt idx="49">
                  <c:v>105064</c:v>
                </c:pt>
                <c:pt idx="50">
                  <c:v>81949</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5132-4AD7-A51D-6931A31EAA4F}"/>
            </c:ext>
          </c:extLst>
        </c:ser>
        <c:dLbls>
          <c:showLegendKey val="0"/>
          <c:showVal val="0"/>
          <c:showCatName val="0"/>
          <c:showSerName val="0"/>
          <c:showPercent val="0"/>
          <c:showBubbleSize val="0"/>
        </c:dLbls>
        <c:axId val="220689088"/>
        <c:axId val="220687120"/>
      </c:scatterChart>
      <c:valAx>
        <c:axId val="220689088"/>
        <c:scaling>
          <c:orientation val="minMax"/>
        </c:scaling>
        <c:delete val="0"/>
        <c:axPos val="b"/>
        <c:numFmt formatCode="#,##0" sourceLinked="1"/>
        <c:majorTickMark val="out"/>
        <c:minorTickMark val="none"/>
        <c:tickLblPos val="nextTo"/>
        <c:crossAx val="220687120"/>
        <c:crosses val="autoZero"/>
        <c:crossBetween val="midCat"/>
      </c:valAx>
      <c:valAx>
        <c:axId val="220687120"/>
        <c:scaling>
          <c:orientation val="minMax"/>
        </c:scaling>
        <c:delete val="0"/>
        <c:axPos val="l"/>
        <c:majorGridlines/>
        <c:numFmt formatCode="#,##0" sourceLinked="1"/>
        <c:majorTickMark val="out"/>
        <c:minorTickMark val="none"/>
        <c:tickLblPos val="nextTo"/>
        <c:crossAx val="220689088"/>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Sécurité, gardiannage </c:v>
          </c:tx>
          <c:spPr>
            <a:ln w="28575">
              <a:noFill/>
            </a:ln>
          </c:spPr>
          <c:xVal>
            <c:numRef>
              <c:f>Base_Données!$DU$6:$DU$499</c:f>
              <c:numCache>
                <c:formatCode>#,##0</c:formatCode>
                <c:ptCount val="494"/>
                <c:pt idx="36">
                  <c:v>11877.55</c:v>
                </c:pt>
                <c:pt idx="39">
                  <c:v>33132</c:v>
                </c:pt>
                <c:pt idx="40">
                  <c:v>32912</c:v>
                </c:pt>
                <c:pt idx="42">
                  <c:v>13447</c:v>
                </c:pt>
                <c:pt idx="43">
                  <c:v>7021</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4E2F-4644-8170-94815D47E11A}"/>
            </c:ext>
          </c:extLst>
        </c:ser>
        <c:dLbls>
          <c:showLegendKey val="0"/>
          <c:showVal val="0"/>
          <c:showCatName val="0"/>
          <c:showSerName val="0"/>
          <c:showPercent val="0"/>
          <c:showBubbleSize val="0"/>
        </c:dLbls>
        <c:axId val="557879160"/>
        <c:axId val="557882768"/>
      </c:scatterChart>
      <c:valAx>
        <c:axId val="557879160"/>
        <c:scaling>
          <c:orientation val="minMax"/>
        </c:scaling>
        <c:delete val="0"/>
        <c:axPos val="b"/>
        <c:numFmt formatCode="#,##0" sourceLinked="1"/>
        <c:majorTickMark val="out"/>
        <c:minorTickMark val="none"/>
        <c:tickLblPos val="nextTo"/>
        <c:crossAx val="557882768"/>
        <c:crosses val="autoZero"/>
        <c:crossBetween val="midCat"/>
      </c:valAx>
      <c:valAx>
        <c:axId val="557882768"/>
        <c:scaling>
          <c:orientation val="minMax"/>
        </c:scaling>
        <c:delete val="0"/>
        <c:axPos val="l"/>
        <c:majorGridlines/>
        <c:numFmt formatCode="#,##0" sourceLinked="1"/>
        <c:majorTickMark val="out"/>
        <c:minorTickMark val="none"/>
        <c:tickLblPos val="nextTo"/>
        <c:crossAx val="557879160"/>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scatterChart>
        <c:scatterStyle val="lineMarker"/>
        <c:varyColors val="0"/>
        <c:ser>
          <c:idx val="0"/>
          <c:order val="0"/>
          <c:tx>
            <c:v>Variation stock boissons</c:v>
          </c:tx>
          <c:spPr>
            <a:ln w="28575">
              <a:noFill/>
            </a:ln>
          </c:spPr>
          <c:xVal>
            <c:numRef>
              <c:f>Base_Données!$CE$6:$CE$499</c:f>
              <c:numCache>
                <c:formatCode>#,##0</c:formatCode>
                <c:ptCount val="494"/>
                <c:pt idx="42">
                  <c:v>1679</c:v>
                </c:pt>
                <c:pt idx="43">
                  <c:v>-1115</c:v>
                </c:pt>
                <c:pt idx="46">
                  <c:v>-1871.2</c:v>
                </c:pt>
                <c:pt idx="47">
                  <c:v>470.7</c:v>
                </c:pt>
              </c:numCache>
            </c:numRef>
          </c:xVal>
          <c:yVal>
            <c:numRef>
              <c:f>Base_Données!$S$6:$S$499</c:f>
              <c:numCache>
                <c:formatCode>#,##0</c:formatCode>
                <c:ptCount val="494"/>
                <c:pt idx="0">
                  <c:v>1033074</c:v>
                </c:pt>
                <c:pt idx="1">
                  <c:v>970364</c:v>
                </c:pt>
                <c:pt idx="2">
                  <c:v>249810</c:v>
                </c:pt>
                <c:pt idx="3">
                  <c:v>285799.14999999997</c:v>
                </c:pt>
                <c:pt idx="4">
                  <c:v>151643</c:v>
                </c:pt>
                <c:pt idx="5">
                  <c:v>1017884.4250000002</c:v>
                </c:pt>
                <c:pt idx="6">
                  <c:v>1047014.2999999999</c:v>
                </c:pt>
                <c:pt idx="7">
                  <c:v>1052778</c:v>
                </c:pt>
                <c:pt idx="8">
                  <c:v>351485.05</c:v>
                </c:pt>
                <c:pt idx="9">
                  <c:v>372297.51999999996</c:v>
                </c:pt>
                <c:pt idx="10">
                  <c:v>1158225</c:v>
                </c:pt>
                <c:pt idx="11">
                  <c:v>221428.45999999996</c:v>
                </c:pt>
                <c:pt idx="12">
                  <c:v>440818.12</c:v>
                </c:pt>
                <c:pt idx="13">
                  <c:v>476319.96</c:v>
                </c:pt>
                <c:pt idx="14">
                  <c:v>623938</c:v>
                </c:pt>
                <c:pt idx="15">
                  <c:v>874592.54999999993</c:v>
                </c:pt>
                <c:pt idx="16">
                  <c:v>874110.42999999993</c:v>
                </c:pt>
                <c:pt idx="17">
                  <c:v>342633</c:v>
                </c:pt>
                <c:pt idx="18">
                  <c:v>425920</c:v>
                </c:pt>
                <c:pt idx="19">
                  <c:v>391146</c:v>
                </c:pt>
                <c:pt idx="20">
                  <c:v>123631.29000000001</c:v>
                </c:pt>
                <c:pt idx="21">
                  <c:v>812254</c:v>
                </c:pt>
                <c:pt idx="22">
                  <c:v>835570</c:v>
                </c:pt>
                <c:pt idx="23">
                  <c:v>162023.4</c:v>
                </c:pt>
                <c:pt idx="24">
                  <c:v>168768</c:v>
                </c:pt>
                <c:pt idx="25">
                  <c:v>330284.42000000004</c:v>
                </c:pt>
                <c:pt idx="26">
                  <c:v>189477.91</c:v>
                </c:pt>
                <c:pt idx="27">
                  <c:v>191148.73</c:v>
                </c:pt>
                <c:pt idx="28">
                  <c:v>140565</c:v>
                </c:pt>
                <c:pt idx="29">
                  <c:v>467872</c:v>
                </c:pt>
                <c:pt idx="30">
                  <c:v>500298</c:v>
                </c:pt>
                <c:pt idx="31">
                  <c:v>512628</c:v>
                </c:pt>
                <c:pt idx="32">
                  <c:v>1168317</c:v>
                </c:pt>
                <c:pt idx="33">
                  <c:v>1174595</c:v>
                </c:pt>
                <c:pt idx="34">
                  <c:v>1198643</c:v>
                </c:pt>
                <c:pt idx="35">
                  <c:v>1334787</c:v>
                </c:pt>
                <c:pt idx="36">
                  <c:v>1335296.77</c:v>
                </c:pt>
                <c:pt idx="37">
                  <c:v>1435747.29</c:v>
                </c:pt>
                <c:pt idx="38">
                  <c:v>265759</c:v>
                </c:pt>
                <c:pt idx="39">
                  <c:v>2731419.8181818184</c:v>
                </c:pt>
                <c:pt idx="40">
                  <c:v>2836066</c:v>
                </c:pt>
                <c:pt idx="41">
                  <c:v>125082</c:v>
                </c:pt>
                <c:pt idx="42">
                  <c:v>1768653.92</c:v>
                </c:pt>
                <c:pt idx="43">
                  <c:v>1923831.4</c:v>
                </c:pt>
                <c:pt idx="44">
                  <c:v>405421</c:v>
                </c:pt>
                <c:pt idx="45">
                  <c:v>380584</c:v>
                </c:pt>
                <c:pt idx="46">
                  <c:v>951599.65</c:v>
                </c:pt>
                <c:pt idx="47">
                  <c:v>1049283.54</c:v>
                </c:pt>
                <c:pt idx="48">
                  <c:v>407427</c:v>
                </c:pt>
                <c:pt idx="49">
                  <c:v>448558</c:v>
                </c:pt>
                <c:pt idx="50">
                  <c:v>291382</c:v>
                </c:pt>
                <c:pt idx="51">
                  <c:v>24287.5</c:v>
                </c:pt>
                <c:pt idx="52">
                  <c:v>23923</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numCache>
            </c:numRef>
          </c:yVal>
          <c:smooth val="0"/>
          <c:extLst>
            <c:ext xmlns:c16="http://schemas.microsoft.com/office/drawing/2014/chart" uri="{C3380CC4-5D6E-409C-BE32-E72D297353CC}">
              <c16:uniqueId val="{00000001-1523-4041-B9AB-654BBC74558E}"/>
            </c:ext>
          </c:extLst>
        </c:ser>
        <c:dLbls>
          <c:showLegendKey val="0"/>
          <c:showVal val="0"/>
          <c:showCatName val="0"/>
          <c:showSerName val="0"/>
          <c:showPercent val="0"/>
          <c:showBubbleSize val="0"/>
        </c:dLbls>
        <c:axId val="557883424"/>
        <c:axId val="557874240"/>
      </c:scatterChart>
      <c:valAx>
        <c:axId val="557883424"/>
        <c:scaling>
          <c:orientation val="minMax"/>
        </c:scaling>
        <c:delete val="0"/>
        <c:axPos val="b"/>
        <c:numFmt formatCode="#,##0" sourceLinked="1"/>
        <c:majorTickMark val="out"/>
        <c:minorTickMark val="none"/>
        <c:tickLblPos val="nextTo"/>
        <c:crossAx val="557874240"/>
        <c:crosses val="autoZero"/>
        <c:crossBetween val="midCat"/>
      </c:valAx>
      <c:valAx>
        <c:axId val="557874240"/>
        <c:scaling>
          <c:orientation val="minMax"/>
        </c:scaling>
        <c:delete val="0"/>
        <c:axPos val="l"/>
        <c:majorGridlines/>
        <c:numFmt formatCode="#,##0" sourceLinked="1"/>
        <c:majorTickMark val="out"/>
        <c:minorTickMark val="none"/>
        <c:tickLblPos val="nextTo"/>
        <c:crossAx val="557883424"/>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800020092354217"/>
          <c:y val="6.1905966550624476E-2"/>
          <c:w val="0.82064248510757209"/>
          <c:h val="0.63003475353036154"/>
        </c:manualLayout>
      </c:layout>
      <c:barChart>
        <c:barDir val="col"/>
        <c:grouping val="clustered"/>
        <c:varyColors val="0"/>
        <c:ser>
          <c:idx val="0"/>
          <c:order val="0"/>
          <c:tx>
            <c:strRef>
              <c:f>compte_résultat_sectoriels!$A$5</c:f>
              <c:strCache>
                <c:ptCount val="1"/>
                <c:pt idx="0">
                  <c:v>Ventes de marchandises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compte_résultat_sectoriels!$B$5:$E$5</c:f>
              <c:numCache>
                <c:formatCode>0.00</c:formatCode>
                <c:ptCount val="4"/>
                <c:pt idx="0">
                  <c:v>89362</c:v>
                </c:pt>
                <c:pt idx="1">
                  <c:v>107166</c:v>
                </c:pt>
                <c:pt idx="2">
                  <c:v>152224</c:v>
                </c:pt>
                <c:pt idx="3">
                  <c:v>138364</c:v>
                </c:pt>
              </c:numCache>
            </c:numRef>
          </c:val>
          <c:extLst>
            <c:ext xmlns:c16="http://schemas.microsoft.com/office/drawing/2014/chart" uri="{C3380CC4-5D6E-409C-BE32-E72D297353CC}">
              <c16:uniqueId val="{0000000B-98F9-4268-9A9E-66F1301DB5D3}"/>
            </c:ext>
          </c:extLst>
        </c:ser>
        <c:ser>
          <c:idx val="1"/>
          <c:order val="1"/>
          <c:tx>
            <c:strRef>
              <c:f>compte_résultat_sectoriels!$A$14</c:f>
              <c:strCache>
                <c:ptCount val="1"/>
                <c:pt idx="0">
                  <c:v>Achats de marchandises( y compris droits de douanes)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compte_résultat_sectoriels!$B$14:$E$14</c:f>
              <c:numCache>
                <c:formatCode>0.00</c:formatCode>
                <c:ptCount val="4"/>
                <c:pt idx="0">
                  <c:v>12152</c:v>
                </c:pt>
                <c:pt idx="1">
                  <c:v>20213</c:v>
                </c:pt>
                <c:pt idx="2">
                  <c:v>63209</c:v>
                </c:pt>
                <c:pt idx="3">
                  <c:v>51213</c:v>
                </c:pt>
              </c:numCache>
            </c:numRef>
          </c:val>
          <c:extLst>
            <c:ext xmlns:c16="http://schemas.microsoft.com/office/drawing/2014/chart" uri="{C3380CC4-5D6E-409C-BE32-E72D297353CC}">
              <c16:uniqueId val="{00000000-F077-4420-A766-FC66B49F9FD0}"/>
            </c:ext>
          </c:extLst>
        </c:ser>
        <c:dLbls>
          <c:showLegendKey val="0"/>
          <c:showVal val="0"/>
          <c:showCatName val="0"/>
          <c:showSerName val="0"/>
          <c:showPercent val="0"/>
          <c:showBubbleSize val="0"/>
        </c:dLbls>
        <c:gapWidth val="150"/>
        <c:axId val="669432296"/>
        <c:axId val="669430656"/>
      </c:barChart>
      <c:catAx>
        <c:axId val="669432296"/>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9430656"/>
        <c:crosses val="autoZero"/>
        <c:auto val="1"/>
        <c:lblAlgn val="ctr"/>
        <c:lblOffset val="100"/>
        <c:noMultiLvlLbl val="0"/>
      </c:catAx>
      <c:valAx>
        <c:axId val="6694306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9432296"/>
        <c:crosses val="autoZero"/>
        <c:crossBetween val="between"/>
      </c:valAx>
      <c:spPr>
        <a:noFill/>
        <a:ln>
          <a:noFill/>
        </a:ln>
        <a:effectLst/>
      </c:spPr>
    </c:plotArea>
    <c:legend>
      <c:legendPos val="b"/>
      <c:layout>
        <c:manualLayout>
          <c:xMode val="edge"/>
          <c:yMode val="edge"/>
          <c:x val="0.15398539346944695"/>
          <c:y val="0.86462425094506878"/>
          <c:w val="0.80326928096895578"/>
          <c:h val="0.135376093879059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compte_résultat_sectoriels!$A$6</c:f>
              <c:strCache>
                <c:ptCount val="1"/>
                <c:pt idx="0">
                  <c:v>Production vendue de services </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compte_résultat_sectoriels!$B$6:$E$6</c:f>
              <c:numCache>
                <c:formatCode>0.00</c:formatCode>
                <c:ptCount val="4"/>
                <c:pt idx="0">
                  <c:v>1282512</c:v>
                </c:pt>
                <c:pt idx="1">
                  <c:v>1310969</c:v>
                </c:pt>
                <c:pt idx="2">
                  <c:v>1416153</c:v>
                </c:pt>
                <c:pt idx="3">
                  <c:v>1411297</c:v>
                </c:pt>
              </c:numCache>
            </c:numRef>
          </c:val>
          <c:extLst>
            <c:ext xmlns:c16="http://schemas.microsoft.com/office/drawing/2014/chart" uri="{C3380CC4-5D6E-409C-BE32-E72D297353CC}">
              <c16:uniqueId val="{00000005-CFFA-4AA8-BF6C-A474CABEB528}"/>
            </c:ext>
          </c:extLst>
        </c:ser>
        <c:ser>
          <c:idx val="2"/>
          <c:order val="1"/>
          <c:tx>
            <c:strRef>
              <c:f>compte_résultat_sectoriels!$A$21</c:f>
              <c:strCache>
                <c:ptCount val="1"/>
                <c:pt idx="0">
                  <c:v>Total autres achats et charges externes </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compte_résultat_sectoriels!$B$21:$E$21</c:f>
              <c:numCache>
                <c:formatCode>0.00</c:formatCode>
                <c:ptCount val="4"/>
                <c:pt idx="0">
                  <c:v>757694</c:v>
                </c:pt>
                <c:pt idx="1">
                  <c:v>763582</c:v>
                </c:pt>
                <c:pt idx="2">
                  <c:v>806890</c:v>
                </c:pt>
                <c:pt idx="3">
                  <c:v>791145</c:v>
                </c:pt>
              </c:numCache>
            </c:numRef>
          </c:val>
          <c:extLst>
            <c:ext xmlns:c16="http://schemas.microsoft.com/office/drawing/2014/chart" uri="{C3380CC4-5D6E-409C-BE32-E72D297353CC}">
              <c16:uniqueId val="{00000001-5AE7-4B9A-921E-F97C04C13161}"/>
            </c:ext>
          </c:extLst>
        </c:ser>
        <c:ser>
          <c:idx val="3"/>
          <c:order val="2"/>
          <c:tx>
            <c:strRef>
              <c:f>compte_résultat_sectoriels!$A$25</c:f>
              <c:strCache>
                <c:ptCount val="1"/>
                <c:pt idx="0">
                  <c:v>Total frais de personnel </c:v>
                </c:pt>
              </c:strCache>
            </c:strRef>
          </c:tx>
          <c:spPr>
            <a:gradFill rotWithShape="1">
              <a:gsLst>
                <a:gs pos="0">
                  <a:schemeClr val="accent6">
                    <a:lumMod val="60000"/>
                    <a:shade val="51000"/>
                    <a:satMod val="130000"/>
                  </a:schemeClr>
                </a:gs>
                <a:gs pos="80000">
                  <a:schemeClr val="accent6">
                    <a:lumMod val="60000"/>
                    <a:shade val="93000"/>
                    <a:satMod val="130000"/>
                  </a:schemeClr>
                </a:gs>
                <a:gs pos="100000">
                  <a:schemeClr val="accent6">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compte_résultat_sectoriels!$B$25:$E$25</c:f>
              <c:numCache>
                <c:formatCode>0.00</c:formatCode>
                <c:ptCount val="4"/>
                <c:pt idx="0">
                  <c:v>317133</c:v>
                </c:pt>
                <c:pt idx="1">
                  <c:v>292656</c:v>
                </c:pt>
                <c:pt idx="2">
                  <c:v>291480</c:v>
                </c:pt>
                <c:pt idx="3">
                  <c:v>290240</c:v>
                </c:pt>
              </c:numCache>
            </c:numRef>
          </c:val>
          <c:extLst>
            <c:ext xmlns:c16="http://schemas.microsoft.com/office/drawing/2014/chart" uri="{C3380CC4-5D6E-409C-BE32-E72D297353CC}">
              <c16:uniqueId val="{00000003-5AE7-4B9A-921E-F97C04C13161}"/>
            </c:ext>
          </c:extLst>
        </c:ser>
        <c:ser>
          <c:idx val="1"/>
          <c:order val="3"/>
          <c:tx>
            <c:strRef>
              <c:f>compte_résultat_sectoriels!$A$16</c:f>
              <c:strCache>
                <c:ptCount val="1"/>
                <c:pt idx="0">
                  <c:v>Achats de matières premières et approvisionnements</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compte_résultat_sectoriels!$B$16:$E$16</c:f>
              <c:numCache>
                <c:formatCode>0.00</c:formatCode>
                <c:ptCount val="4"/>
                <c:pt idx="0">
                  <c:v>178494</c:v>
                </c:pt>
                <c:pt idx="1">
                  <c:v>171852</c:v>
                </c:pt>
                <c:pt idx="2">
                  <c:v>179708</c:v>
                </c:pt>
                <c:pt idx="3">
                  <c:v>198078</c:v>
                </c:pt>
              </c:numCache>
            </c:numRef>
          </c:val>
          <c:extLst>
            <c:ext xmlns:c16="http://schemas.microsoft.com/office/drawing/2014/chart" uri="{C3380CC4-5D6E-409C-BE32-E72D297353CC}">
              <c16:uniqueId val="{00000002-5AE7-4B9A-921E-F97C04C13161}"/>
            </c:ext>
          </c:extLst>
        </c:ser>
        <c:dLbls>
          <c:showLegendKey val="0"/>
          <c:showVal val="0"/>
          <c:showCatName val="0"/>
          <c:showSerName val="0"/>
          <c:showPercent val="0"/>
          <c:showBubbleSize val="0"/>
        </c:dLbls>
        <c:gapWidth val="100"/>
        <c:axId val="662718120"/>
        <c:axId val="662720416"/>
      </c:barChart>
      <c:catAx>
        <c:axId val="66271812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2720416"/>
        <c:crosses val="autoZero"/>
        <c:auto val="1"/>
        <c:lblAlgn val="ctr"/>
        <c:lblOffset val="100"/>
        <c:noMultiLvlLbl val="0"/>
      </c:catAx>
      <c:valAx>
        <c:axId val="66272041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627181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940900362185994"/>
          <c:y val="4.3878363647984961E-2"/>
          <c:w val="0.76808290325711792"/>
          <c:h val="0.73508984987495818"/>
        </c:manualLayout>
      </c:layout>
      <c:barChart>
        <c:barDir val="col"/>
        <c:grouping val="clustered"/>
        <c:varyColors val="0"/>
        <c:ser>
          <c:idx val="1"/>
          <c:order val="0"/>
          <c:tx>
            <c:strRef>
              <c:f>compte_résultat_sectoriels!$A$10</c:f>
              <c:strCache>
                <c:ptCount val="1"/>
                <c:pt idx="0">
                  <c:v>Subvention d'exploitation </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compte_résultat_sectoriels!$B$3:$E$3</c:f>
              <c:strCache>
                <c:ptCount val="4"/>
                <c:pt idx="0">
                  <c:v>2012</c:v>
                </c:pt>
                <c:pt idx="1">
                  <c:v>2013</c:v>
                </c:pt>
                <c:pt idx="2">
                  <c:v>2014</c:v>
                </c:pt>
                <c:pt idx="3">
                  <c:v>2015</c:v>
                </c:pt>
              </c:strCache>
            </c:strRef>
          </c:cat>
          <c:val>
            <c:numRef>
              <c:f>compte_résultat_sectoriels!$B$10:$E$10</c:f>
              <c:numCache>
                <c:formatCode>0.00</c:formatCode>
                <c:ptCount val="4"/>
                <c:pt idx="0">
                  <c:v>45872</c:v>
                </c:pt>
                <c:pt idx="1">
                  <c:v>44828</c:v>
                </c:pt>
                <c:pt idx="2">
                  <c:v>47953</c:v>
                </c:pt>
                <c:pt idx="3">
                  <c:v>35926</c:v>
                </c:pt>
              </c:numCache>
            </c:numRef>
          </c:val>
          <c:extLst>
            <c:ext xmlns:c16="http://schemas.microsoft.com/office/drawing/2014/chart" uri="{C3380CC4-5D6E-409C-BE32-E72D297353CC}">
              <c16:uniqueId val="{00000005-A1E5-4EB4-B350-4A02AD58784E}"/>
            </c:ext>
          </c:extLst>
        </c:ser>
        <c:ser>
          <c:idx val="0"/>
          <c:order val="1"/>
          <c:tx>
            <c:strRef>
              <c:f>compte_résultat_sectoriels!$A$22</c:f>
              <c:strCache>
                <c:ptCount val="1"/>
                <c:pt idx="0">
                  <c:v>Impôts, taxes et versements assimilés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compte_résultat_sectoriels!$B$3:$E$3</c:f>
              <c:strCache>
                <c:ptCount val="4"/>
                <c:pt idx="0">
                  <c:v>2012</c:v>
                </c:pt>
                <c:pt idx="1">
                  <c:v>2013</c:v>
                </c:pt>
                <c:pt idx="2">
                  <c:v>2014</c:v>
                </c:pt>
                <c:pt idx="3">
                  <c:v>2015</c:v>
                </c:pt>
              </c:strCache>
            </c:strRef>
          </c:cat>
          <c:val>
            <c:numRef>
              <c:f>compte_résultat_sectoriels!$B$22:$E$22</c:f>
              <c:numCache>
                <c:formatCode>0.00</c:formatCode>
                <c:ptCount val="4"/>
                <c:pt idx="0">
                  <c:v>48052</c:v>
                </c:pt>
                <c:pt idx="1">
                  <c:v>48486</c:v>
                </c:pt>
                <c:pt idx="2">
                  <c:v>49321</c:v>
                </c:pt>
                <c:pt idx="3">
                  <c:v>49989</c:v>
                </c:pt>
              </c:numCache>
            </c:numRef>
          </c:val>
          <c:extLst>
            <c:ext xmlns:c16="http://schemas.microsoft.com/office/drawing/2014/chart" uri="{C3380CC4-5D6E-409C-BE32-E72D297353CC}">
              <c16:uniqueId val="{00000003-A1E5-4EB4-B350-4A02AD58784E}"/>
            </c:ext>
          </c:extLst>
        </c:ser>
        <c:dLbls>
          <c:showLegendKey val="0"/>
          <c:showVal val="0"/>
          <c:showCatName val="0"/>
          <c:showSerName val="0"/>
          <c:showPercent val="0"/>
          <c:showBubbleSize val="0"/>
        </c:dLbls>
        <c:gapWidth val="100"/>
        <c:overlap val="-24"/>
        <c:axId val="757338528"/>
        <c:axId val="757339512"/>
      </c:barChart>
      <c:catAx>
        <c:axId val="75733852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757339512"/>
        <c:crosses val="autoZero"/>
        <c:auto val="1"/>
        <c:lblAlgn val="ctr"/>
        <c:lblOffset val="100"/>
        <c:noMultiLvlLbl val="0"/>
      </c:catAx>
      <c:valAx>
        <c:axId val="75733951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757338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compte_résultat_sectoriels!$A$54</c:f>
              <c:strCache>
                <c:ptCount val="1"/>
                <c:pt idx="0">
                  <c:v>Chiffre d'affaires Hors taxes </c:v>
                </c:pt>
              </c:strCache>
            </c:strRef>
          </c:tx>
          <c:spPr>
            <a:solidFill>
              <a:srgbClr val="0099FF"/>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compte_résultat_sectoriels!$B$54:$E$54</c:f>
              <c:numCache>
                <c:formatCode>0.00</c:formatCode>
                <c:ptCount val="4"/>
                <c:pt idx="0">
                  <c:v>1371874</c:v>
                </c:pt>
                <c:pt idx="1">
                  <c:v>1418134</c:v>
                </c:pt>
                <c:pt idx="2">
                  <c:v>1568377</c:v>
                </c:pt>
                <c:pt idx="3">
                  <c:v>1549661</c:v>
                </c:pt>
              </c:numCache>
            </c:numRef>
          </c:val>
          <c:extLst>
            <c:ext xmlns:c16="http://schemas.microsoft.com/office/drawing/2014/chart" uri="{C3380CC4-5D6E-409C-BE32-E72D297353CC}">
              <c16:uniqueId val="{00000000-0BEB-483B-A1F8-C3A630C599A2}"/>
            </c:ext>
          </c:extLst>
        </c:ser>
        <c:ser>
          <c:idx val="1"/>
          <c:order val="1"/>
          <c:tx>
            <c:strRef>
              <c:f>compte_résultat_sectoriels!$A$67</c:f>
              <c:strCache>
                <c:ptCount val="1"/>
                <c:pt idx="0">
                  <c:v> =Valeur ajoutée produite</c:v>
                </c:pt>
              </c:strCache>
            </c:strRef>
          </c:tx>
          <c:spPr>
            <a:solidFill>
              <a:schemeClr val="accent4"/>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compte_résultat_sectoriels!$B$67:$E$67</c:f>
              <c:numCache>
                <c:formatCode>0.00</c:formatCode>
                <c:ptCount val="4"/>
                <c:pt idx="0">
                  <c:v>386988</c:v>
                </c:pt>
                <c:pt idx="1">
                  <c:v>411616</c:v>
                </c:pt>
                <c:pt idx="2">
                  <c:v>463903</c:v>
                </c:pt>
                <c:pt idx="3">
                  <c:v>450143</c:v>
                </c:pt>
              </c:numCache>
            </c:numRef>
          </c:val>
          <c:extLst>
            <c:ext xmlns:c16="http://schemas.microsoft.com/office/drawing/2014/chart" uri="{C3380CC4-5D6E-409C-BE32-E72D297353CC}">
              <c16:uniqueId val="{00000001-0BEB-483B-A1F8-C3A630C599A2}"/>
            </c:ext>
          </c:extLst>
        </c:ser>
        <c:dLbls>
          <c:showLegendKey val="0"/>
          <c:showVal val="0"/>
          <c:showCatName val="0"/>
          <c:showSerName val="0"/>
          <c:showPercent val="0"/>
          <c:showBubbleSize val="0"/>
        </c:dLbls>
        <c:gapWidth val="100"/>
        <c:overlap val="-24"/>
        <c:axId val="628724464"/>
        <c:axId val="628720856"/>
      </c:barChart>
      <c:catAx>
        <c:axId val="6287244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0856"/>
        <c:crosses val="autoZero"/>
        <c:auto val="1"/>
        <c:lblAlgn val="ctr"/>
        <c:lblOffset val="100"/>
        <c:noMultiLvlLbl val="0"/>
      </c:catAx>
      <c:valAx>
        <c:axId val="6287208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4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compte_résultat_sectoriels!$A$72</c:f>
              <c:strCache>
                <c:ptCount val="1"/>
                <c:pt idx="0">
                  <c:v>= Excédent brut d'exploitation</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compte_résultat_sectoriels!$B$72:$E$72</c:f>
              <c:numCache>
                <c:formatCode>0.00</c:formatCode>
                <c:ptCount val="4"/>
                <c:pt idx="0">
                  <c:v>67675</c:v>
                </c:pt>
                <c:pt idx="1">
                  <c:v>115302</c:v>
                </c:pt>
                <c:pt idx="2">
                  <c:v>171055</c:v>
                </c:pt>
                <c:pt idx="3">
                  <c:v>145840</c:v>
                </c:pt>
              </c:numCache>
            </c:numRef>
          </c:val>
          <c:extLst>
            <c:ext xmlns:c16="http://schemas.microsoft.com/office/drawing/2014/chart" uri="{C3380CC4-5D6E-409C-BE32-E72D297353CC}">
              <c16:uniqueId val="{00000001-7315-45DC-AF1F-00CBECBFA54B}"/>
            </c:ext>
          </c:extLst>
        </c:ser>
        <c:ser>
          <c:idx val="2"/>
          <c:order val="1"/>
          <c:tx>
            <c:strRef>
              <c:f>compte_résultat_sectoriels!$A$84</c:f>
              <c:strCache>
                <c:ptCount val="1"/>
                <c:pt idx="0">
                  <c:v>= Capacité d'auto-financement</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compte_résultat_sectoriels!$B$84:$E$84</c:f>
              <c:numCache>
                <c:formatCode>0.00</c:formatCode>
                <c:ptCount val="4"/>
                <c:pt idx="0">
                  <c:v>33084</c:v>
                </c:pt>
                <c:pt idx="1">
                  <c:v>83898</c:v>
                </c:pt>
                <c:pt idx="2">
                  <c:v>142845</c:v>
                </c:pt>
                <c:pt idx="3">
                  <c:v>121296</c:v>
                </c:pt>
              </c:numCache>
            </c:numRef>
          </c:val>
          <c:extLst>
            <c:ext xmlns:c16="http://schemas.microsoft.com/office/drawing/2014/chart" uri="{C3380CC4-5D6E-409C-BE32-E72D297353CC}">
              <c16:uniqueId val="{00000004-7315-45DC-AF1F-00CBECBFA54B}"/>
            </c:ext>
          </c:extLst>
        </c:ser>
        <c:ser>
          <c:idx val="1"/>
          <c:order val="2"/>
          <c:tx>
            <c:strRef>
              <c:f>compte_résultat_sectoriels!$A$58</c:f>
              <c:strCache>
                <c:ptCount val="1"/>
                <c:pt idx="0">
                  <c:v>= Marge commerciales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compte_résultat_sectoriels!$B$51:$E$51</c:f>
              <c:strCache>
                <c:ptCount val="4"/>
                <c:pt idx="0">
                  <c:v>2012</c:v>
                </c:pt>
                <c:pt idx="1">
                  <c:v>2013</c:v>
                </c:pt>
                <c:pt idx="2">
                  <c:v>2014</c:v>
                </c:pt>
                <c:pt idx="3">
                  <c:v>2015</c:v>
                </c:pt>
              </c:strCache>
            </c:strRef>
          </c:cat>
          <c:val>
            <c:numRef>
              <c:f>compte_résultat_sectoriels!$B$58:$E$58</c:f>
              <c:numCache>
                <c:formatCode>0.00</c:formatCode>
                <c:ptCount val="4"/>
                <c:pt idx="0">
                  <c:v>77354</c:v>
                </c:pt>
                <c:pt idx="1">
                  <c:v>84079</c:v>
                </c:pt>
                <c:pt idx="2">
                  <c:v>89640</c:v>
                </c:pt>
                <c:pt idx="3">
                  <c:v>81626</c:v>
                </c:pt>
              </c:numCache>
            </c:numRef>
          </c:val>
          <c:extLst>
            <c:ext xmlns:c16="http://schemas.microsoft.com/office/drawing/2014/chart" uri="{C3380CC4-5D6E-409C-BE32-E72D297353CC}">
              <c16:uniqueId val="{00000002-7315-45DC-AF1F-00CBECBFA54B}"/>
            </c:ext>
          </c:extLst>
        </c:ser>
        <c:dLbls>
          <c:showLegendKey val="0"/>
          <c:showVal val="0"/>
          <c:showCatName val="0"/>
          <c:showSerName val="0"/>
          <c:showPercent val="0"/>
          <c:showBubbleSize val="0"/>
        </c:dLbls>
        <c:gapWidth val="100"/>
        <c:overlap val="-24"/>
        <c:axId val="628724464"/>
        <c:axId val="628720856"/>
      </c:barChart>
      <c:catAx>
        <c:axId val="62872446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0856"/>
        <c:crosses val="autoZero"/>
        <c:auto val="1"/>
        <c:lblAlgn val="ctr"/>
        <c:lblOffset val="100"/>
        <c:noMultiLvlLbl val="0"/>
      </c:catAx>
      <c:valAx>
        <c:axId val="628720856"/>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28724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64254296166126"/>
          <c:y val="4.6296296296296294E-2"/>
          <c:w val="0.82062729658792655"/>
          <c:h val="0.75371172353455818"/>
        </c:manualLayout>
      </c:layout>
      <c:barChart>
        <c:barDir val="col"/>
        <c:grouping val="clustered"/>
        <c:varyColors val="0"/>
        <c:ser>
          <c:idx val="0"/>
          <c:order val="0"/>
          <c:tx>
            <c:strRef>
              <c:f>compte_résultat_sectoriels!$A$33</c:f>
              <c:strCache>
                <c:ptCount val="1"/>
                <c:pt idx="0">
                  <c:v>Produits financiers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compte_résultat_sectoriels!$B$33:$E$33</c:f>
              <c:numCache>
                <c:formatCode>0.00</c:formatCode>
                <c:ptCount val="4"/>
                <c:pt idx="0">
                  <c:v>152337</c:v>
                </c:pt>
                <c:pt idx="1">
                  <c:v>30361</c:v>
                </c:pt>
                <c:pt idx="2">
                  <c:v>27263</c:v>
                </c:pt>
                <c:pt idx="3">
                  <c:v>49216</c:v>
                </c:pt>
              </c:numCache>
            </c:numRef>
          </c:val>
          <c:extLst>
            <c:ext xmlns:c16="http://schemas.microsoft.com/office/drawing/2014/chart" uri="{C3380CC4-5D6E-409C-BE32-E72D297353CC}">
              <c16:uniqueId val="{00000000-5E4D-4FCC-8544-0F5D7DCEBAE1}"/>
            </c:ext>
          </c:extLst>
        </c:ser>
        <c:ser>
          <c:idx val="1"/>
          <c:order val="1"/>
          <c:tx>
            <c:strRef>
              <c:f>compte_résultat_sectoriels!$A$34</c:f>
              <c:strCache>
                <c:ptCount val="1"/>
                <c:pt idx="0">
                  <c:v>Charges financières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compte_résultat_sectoriels!$B$34:$E$34</c:f>
              <c:numCache>
                <c:formatCode>0.00</c:formatCode>
                <c:ptCount val="4"/>
                <c:pt idx="0">
                  <c:v>23733</c:v>
                </c:pt>
                <c:pt idx="1">
                  <c:v>37383</c:v>
                </c:pt>
                <c:pt idx="2">
                  <c:v>31071</c:v>
                </c:pt>
                <c:pt idx="3">
                  <c:v>36591</c:v>
                </c:pt>
              </c:numCache>
            </c:numRef>
          </c:val>
          <c:extLst>
            <c:ext xmlns:c16="http://schemas.microsoft.com/office/drawing/2014/chart" uri="{C3380CC4-5D6E-409C-BE32-E72D297353CC}">
              <c16:uniqueId val="{00000001-5E4D-4FCC-8544-0F5D7DCEBAE1}"/>
            </c:ext>
          </c:extLst>
        </c:ser>
        <c:dLbls>
          <c:showLegendKey val="0"/>
          <c:showVal val="0"/>
          <c:showCatName val="0"/>
          <c:showSerName val="0"/>
          <c:showPercent val="0"/>
          <c:showBubbleSize val="0"/>
        </c:dLbls>
        <c:gapWidth val="100"/>
        <c:overlap val="-24"/>
        <c:axId val="655249080"/>
        <c:axId val="655239240"/>
      </c:barChart>
      <c:catAx>
        <c:axId val="655249080"/>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5239240"/>
        <c:crosses val="autoZero"/>
        <c:auto val="1"/>
        <c:lblAlgn val="ctr"/>
        <c:lblOffset val="100"/>
        <c:noMultiLvlLbl val="0"/>
      </c:catAx>
      <c:valAx>
        <c:axId val="655239240"/>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52490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870525227763066"/>
          <c:y val="9.4872776319626706E-2"/>
          <c:w val="0.77299678166038921"/>
          <c:h val="0.70159813356663747"/>
        </c:manualLayout>
      </c:layout>
      <c:barChart>
        <c:barDir val="col"/>
        <c:grouping val="clustered"/>
        <c:varyColors val="0"/>
        <c:ser>
          <c:idx val="4"/>
          <c:order val="0"/>
          <c:tx>
            <c:strRef>
              <c:f>compte_résultat_sectoriels!$F$1:$F$3</c:f>
              <c:strCache>
                <c:ptCount val="3"/>
                <c:pt idx="0">
                  <c:v>Postes principaux et SIG sectoriels des de 2012 à 2015</c:v>
                </c:pt>
                <c:pt idx="1">
                  <c:v>2015</c:v>
                </c:pt>
                <c:pt idx="2">
                  <c:v>Variation 
2012/2013</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compte_résultat_sectoriels!$F$4:$F$46</c:f>
            </c:numRef>
          </c:val>
          <c:extLst>
            <c:ext xmlns:c16="http://schemas.microsoft.com/office/drawing/2014/chart" uri="{C3380CC4-5D6E-409C-BE32-E72D297353CC}">
              <c16:uniqueId val="{00000004-C948-4B38-B1C9-291D0ED0C74C}"/>
            </c:ext>
          </c:extLst>
        </c:ser>
        <c:ser>
          <c:idx val="5"/>
          <c:order val="1"/>
          <c:tx>
            <c:strRef>
              <c:f>compte_résultat_sectoriels!$G$1:$G$3</c:f>
              <c:strCache>
                <c:ptCount val="3"/>
                <c:pt idx="0">
                  <c:v>Postes principaux et SIG sectoriels des de 2012 à 2015</c:v>
                </c:pt>
                <c:pt idx="1">
                  <c:v>2015</c:v>
                </c:pt>
                <c:pt idx="2">
                  <c:v>Variation
2013/2014</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compte_résultat_sectoriels!$G$4:$G$46</c:f>
            </c:numRef>
          </c:val>
          <c:extLst>
            <c:ext xmlns:c16="http://schemas.microsoft.com/office/drawing/2014/chart" uri="{C3380CC4-5D6E-409C-BE32-E72D297353CC}">
              <c16:uniqueId val="{00000005-C948-4B38-B1C9-291D0ED0C74C}"/>
            </c:ext>
          </c:extLst>
        </c:ser>
        <c:ser>
          <c:idx val="6"/>
          <c:order val="2"/>
          <c:tx>
            <c:strRef>
              <c:f>compte_résultat_sectoriels!$H$1:$H$3</c:f>
              <c:strCache>
                <c:ptCount val="3"/>
                <c:pt idx="0">
                  <c:v>Postes principaux et SIG sectoriels des de 2012 à 2015</c:v>
                </c:pt>
                <c:pt idx="1">
                  <c:v>2015</c:v>
                </c:pt>
                <c:pt idx="2">
                  <c:v>Variation
2014/2015</c:v>
                </c:pt>
              </c:strCache>
            </c:strRef>
          </c:tx>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compte_résultat_sectoriels!$H$4:$H$46</c:f>
            </c:numRef>
          </c:val>
          <c:extLst>
            <c:ext xmlns:c16="http://schemas.microsoft.com/office/drawing/2014/chart" uri="{C3380CC4-5D6E-409C-BE32-E72D297353CC}">
              <c16:uniqueId val="{00000006-C948-4B38-B1C9-291D0ED0C74C}"/>
            </c:ext>
          </c:extLst>
        </c:ser>
        <c:ser>
          <c:idx val="7"/>
          <c:order val="3"/>
          <c:tx>
            <c:strRef>
              <c:f>compte_résultat_sectoriels!$I$1:$I$3</c:f>
              <c:strCache>
                <c:ptCount val="3"/>
                <c:pt idx="0">
                  <c:v>Postes principaux et SIG sectoriels des de 2012 à 2015</c:v>
                </c:pt>
                <c:pt idx="1">
                  <c:v>2015</c:v>
                </c:pt>
                <c:pt idx="2">
                  <c:v>Variation
2012/2015</c:v>
                </c:pt>
              </c:strCache>
            </c:strRef>
          </c:tx>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compte_résultat_sectoriels!$I$4:$I$46</c:f>
            </c:numRef>
          </c:val>
          <c:extLst>
            <c:ext xmlns:c16="http://schemas.microsoft.com/office/drawing/2014/chart" uri="{C3380CC4-5D6E-409C-BE32-E72D297353CC}">
              <c16:uniqueId val="{00000007-C948-4B38-B1C9-291D0ED0C74C}"/>
            </c:ext>
          </c:extLst>
        </c:ser>
        <c:ser>
          <c:idx val="0"/>
          <c:order val="4"/>
          <c:tx>
            <c:strRef>
              <c:f>compte_résultat_sectoriels!$A$38</c:f>
              <c:strCache>
                <c:ptCount val="1"/>
                <c:pt idx="0">
                  <c:v>Produits exceptionnels </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compte_résultat_sectoriels!$B$38:$E$38</c:f>
              <c:numCache>
                <c:formatCode>0.00</c:formatCode>
                <c:ptCount val="4"/>
                <c:pt idx="0">
                  <c:v>160211</c:v>
                </c:pt>
                <c:pt idx="1">
                  <c:v>139360</c:v>
                </c:pt>
                <c:pt idx="2">
                  <c:v>167009</c:v>
                </c:pt>
                <c:pt idx="3">
                  <c:v>168358</c:v>
                </c:pt>
              </c:numCache>
            </c:numRef>
          </c:val>
          <c:extLst>
            <c:ext xmlns:c16="http://schemas.microsoft.com/office/drawing/2014/chart" uri="{C3380CC4-5D6E-409C-BE32-E72D297353CC}">
              <c16:uniqueId val="{00000009-C948-4B38-B1C9-291D0ED0C74C}"/>
            </c:ext>
          </c:extLst>
        </c:ser>
        <c:ser>
          <c:idx val="1"/>
          <c:order val="5"/>
          <c:tx>
            <c:strRef>
              <c:f>compte_résultat_sectoriels!$A$39</c:f>
              <c:strCache>
                <c:ptCount val="1"/>
                <c:pt idx="0">
                  <c:v>Charges exceptionnelles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compte_résultat_sectoriels!$B$2:$E$2</c:f>
              <c:numCache>
                <c:formatCode>General</c:formatCode>
                <c:ptCount val="4"/>
                <c:pt idx="0">
                  <c:v>2012</c:v>
                </c:pt>
                <c:pt idx="1">
                  <c:v>2013</c:v>
                </c:pt>
                <c:pt idx="2">
                  <c:v>2014</c:v>
                </c:pt>
                <c:pt idx="3">
                  <c:v>2015</c:v>
                </c:pt>
              </c:numCache>
            </c:numRef>
          </c:cat>
          <c:val>
            <c:numRef>
              <c:f>compte_résultat_sectoriels!$B$39:$E$39</c:f>
              <c:numCache>
                <c:formatCode>0.00</c:formatCode>
                <c:ptCount val="4"/>
                <c:pt idx="0">
                  <c:v>107997</c:v>
                </c:pt>
                <c:pt idx="1">
                  <c:v>67656</c:v>
                </c:pt>
                <c:pt idx="2">
                  <c:v>82779</c:v>
                </c:pt>
                <c:pt idx="3">
                  <c:v>85171</c:v>
                </c:pt>
              </c:numCache>
            </c:numRef>
          </c:val>
          <c:extLst>
            <c:ext xmlns:c16="http://schemas.microsoft.com/office/drawing/2014/chart" uri="{C3380CC4-5D6E-409C-BE32-E72D297353CC}">
              <c16:uniqueId val="{0000000A-C948-4B38-B1C9-291D0ED0C74C}"/>
            </c:ext>
          </c:extLst>
        </c:ser>
        <c:dLbls>
          <c:showLegendKey val="0"/>
          <c:showVal val="0"/>
          <c:showCatName val="0"/>
          <c:showSerName val="0"/>
          <c:showPercent val="0"/>
          <c:showBubbleSize val="0"/>
        </c:dLbls>
        <c:gapWidth val="100"/>
        <c:overlap val="-24"/>
        <c:axId val="658325944"/>
        <c:axId val="658326600"/>
      </c:barChart>
      <c:catAx>
        <c:axId val="658325944"/>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8326600"/>
        <c:crosses val="autoZero"/>
        <c:auto val="1"/>
        <c:lblAlgn val="ctr"/>
        <c:lblOffset val="100"/>
        <c:noMultiLvlLbl val="0"/>
      </c:catAx>
      <c:valAx>
        <c:axId val="658326600"/>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658325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vmlDrawing5.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16.emf"/><Relationship Id="rId1" Type="http://schemas.openxmlformats.org/officeDocument/2006/relationships/image" Target="../media/image15.emf"/><Relationship Id="rId6" Type="http://schemas.openxmlformats.org/officeDocument/2006/relationships/image" Target="../media/image13.emf"/><Relationship Id="rId5" Type="http://schemas.openxmlformats.org/officeDocument/2006/relationships/image" Target="../media/image14.emf"/><Relationship Id="rId4"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9525</xdr:rowOff>
        </xdr:from>
        <xdr:to>
          <xdr:col>0</xdr:col>
          <xdr:colOff>314325</xdr:colOff>
          <xdr:row>1</xdr:row>
          <xdr:rowOff>590550</xdr:rowOff>
        </xdr:to>
        <xdr:sp macro="" textlink="">
          <xdr:nvSpPr>
            <xdr:cNvPr id="1324" name="Button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323850</xdr:colOff>
          <xdr:row>1</xdr:row>
          <xdr:rowOff>9525</xdr:rowOff>
        </xdr:from>
        <xdr:to>
          <xdr:col>0</xdr:col>
          <xdr:colOff>742950</xdr:colOff>
          <xdr:row>1</xdr:row>
          <xdr:rowOff>180975</xdr:rowOff>
        </xdr:to>
        <xdr:sp macro="" textlink="">
          <xdr:nvSpPr>
            <xdr:cNvPr id="1325" name="Button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706</a:t>
              </a:r>
            </a:p>
            <a:p>
              <a:pPr algn="ctr" rtl="0">
                <a:defRPr sz="1000"/>
              </a:pPr>
              <a:r>
                <a:rPr lang="fr-FR" sz="1100" b="0" i="0" u="none" strike="noStrike" baseline="0">
                  <a:solidFill>
                    <a:srgbClr val="000000"/>
                  </a:solidFill>
                  <a:latin typeface="Calibri"/>
                  <a:cs typeface="Calibri"/>
                </a:rPr>
                <a:t>Bouton 301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9525</xdr:rowOff>
        </xdr:from>
        <xdr:to>
          <xdr:col>0</xdr:col>
          <xdr:colOff>1181100</xdr:colOff>
          <xdr:row>1</xdr:row>
          <xdr:rowOff>190500</xdr:rowOff>
        </xdr:to>
        <xdr:sp macro="" textlink="">
          <xdr:nvSpPr>
            <xdr:cNvPr id="1326" name="Button 302" hidden="1">
              <a:extLst>
                <a:ext uri="{63B3BB69-23CF-44E3-9099-C40C66FF867C}">
                  <a14:compatExt spid="_x0000_s1326"/>
                </a:ext>
                <a:ext uri="{FF2B5EF4-FFF2-40B4-BE49-F238E27FC236}">
                  <a16:creationId xmlns:a16="http://schemas.microsoft.com/office/drawing/2014/main" id="{00000000-0008-0000-0000-00002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74_79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190500</xdr:rowOff>
        </xdr:from>
        <xdr:to>
          <xdr:col>0</xdr:col>
          <xdr:colOff>1181100</xdr:colOff>
          <xdr:row>1</xdr:row>
          <xdr:rowOff>371475</xdr:rowOff>
        </xdr:to>
        <xdr:sp macro="" textlink="">
          <xdr:nvSpPr>
            <xdr:cNvPr id="1327" name="Button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752475</xdr:colOff>
          <xdr:row>1</xdr:row>
          <xdr:rowOff>381000</xdr:rowOff>
        </xdr:from>
        <xdr:to>
          <xdr:col>0</xdr:col>
          <xdr:colOff>1181100</xdr:colOff>
          <xdr:row>1</xdr:row>
          <xdr:rowOff>590550</xdr:rowOff>
        </xdr:to>
        <xdr:sp macro="" textlink="">
          <xdr:nvSpPr>
            <xdr:cNvPr id="1328" name="Button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1190625</xdr:colOff>
          <xdr:row>1</xdr:row>
          <xdr:rowOff>9525</xdr:rowOff>
        </xdr:from>
        <xdr:to>
          <xdr:col>0</xdr:col>
          <xdr:colOff>1485900</xdr:colOff>
          <xdr:row>2</xdr:row>
          <xdr:rowOff>0</xdr:rowOff>
        </xdr:to>
        <xdr:sp macro="" textlink="">
          <xdr:nvSpPr>
            <xdr:cNvPr id="1329" name="Button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1495425</xdr:colOff>
          <xdr:row>1</xdr:row>
          <xdr:rowOff>9525</xdr:rowOff>
        </xdr:from>
        <xdr:to>
          <xdr:col>1</xdr:col>
          <xdr:colOff>485775</xdr:colOff>
          <xdr:row>1</xdr:row>
          <xdr:rowOff>190500</xdr:rowOff>
        </xdr:to>
        <xdr:sp macro="" textlink="">
          <xdr:nvSpPr>
            <xdr:cNvPr id="1330" name="Button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600_08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1485900</xdr:colOff>
          <xdr:row>1</xdr:row>
          <xdr:rowOff>209550</xdr:rowOff>
        </xdr:from>
        <xdr:to>
          <xdr:col>1</xdr:col>
          <xdr:colOff>485775</xdr:colOff>
          <xdr:row>1</xdr:row>
          <xdr:rowOff>381000</xdr:rowOff>
        </xdr:to>
        <xdr:sp macro="" textlink="">
          <xdr:nvSpPr>
            <xdr:cNvPr id="1331" name="Button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604_06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19050</xdr:rowOff>
        </xdr:from>
        <xdr:to>
          <xdr:col>1</xdr:col>
          <xdr:colOff>990600</xdr:colOff>
          <xdr:row>1</xdr:row>
          <xdr:rowOff>209550</xdr:rowOff>
        </xdr:to>
        <xdr:sp macro="" textlink="">
          <xdr:nvSpPr>
            <xdr:cNvPr id="1334" name="Button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611_14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409575</xdr:rowOff>
        </xdr:from>
        <xdr:to>
          <xdr:col>1</xdr:col>
          <xdr:colOff>990600</xdr:colOff>
          <xdr:row>2</xdr:row>
          <xdr:rowOff>0</xdr:rowOff>
        </xdr:to>
        <xdr:sp macro="" textlink="">
          <xdr:nvSpPr>
            <xdr:cNvPr id="1335" name="Button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621_22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28575</xdr:colOff>
          <xdr:row>2</xdr:row>
          <xdr:rowOff>28575</xdr:rowOff>
        </xdr:from>
        <xdr:to>
          <xdr:col>1</xdr:col>
          <xdr:colOff>2371725</xdr:colOff>
          <xdr:row>2</xdr:row>
          <xdr:rowOff>342900</xdr:rowOff>
        </xdr:to>
        <xdr:sp macro="" textlink="">
          <xdr:nvSpPr>
            <xdr:cNvPr id="1345" name="Button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identification et recherche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1</xdr:row>
          <xdr:rowOff>180975</xdr:rowOff>
        </xdr:from>
        <xdr:to>
          <xdr:col>0</xdr:col>
          <xdr:colOff>742950</xdr:colOff>
          <xdr:row>1</xdr:row>
          <xdr:rowOff>381000</xdr:rowOff>
        </xdr:to>
        <xdr:sp macro="" textlink="">
          <xdr:nvSpPr>
            <xdr:cNvPr id="1506" name="Button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314325</xdr:colOff>
          <xdr:row>1</xdr:row>
          <xdr:rowOff>381000</xdr:rowOff>
        </xdr:from>
        <xdr:to>
          <xdr:col>0</xdr:col>
          <xdr:colOff>742950</xdr:colOff>
          <xdr:row>1</xdr:row>
          <xdr:rowOff>590550</xdr:rowOff>
        </xdr:to>
        <xdr:sp macro="" textlink="">
          <xdr:nvSpPr>
            <xdr:cNvPr id="1507" name="Button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708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1495425</xdr:colOff>
          <xdr:row>1</xdr:row>
          <xdr:rowOff>400050</xdr:rowOff>
        </xdr:from>
        <xdr:to>
          <xdr:col>1</xdr:col>
          <xdr:colOff>485775</xdr:colOff>
          <xdr:row>1</xdr:row>
          <xdr:rowOff>590550</xdr:rowOff>
        </xdr:to>
        <xdr:sp macro="" textlink="">
          <xdr:nvSpPr>
            <xdr:cNvPr id="1509" name="Button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606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485775</xdr:colOff>
          <xdr:row>1</xdr:row>
          <xdr:rowOff>219075</xdr:rowOff>
        </xdr:from>
        <xdr:to>
          <xdr:col>1</xdr:col>
          <xdr:colOff>990600</xdr:colOff>
          <xdr:row>1</xdr:row>
          <xdr:rowOff>381000</xdr:rowOff>
        </xdr:to>
        <xdr:sp macro="" textlink="">
          <xdr:nvSpPr>
            <xdr:cNvPr id="1510" name="Button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615_16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9525</xdr:rowOff>
        </xdr:from>
        <xdr:to>
          <xdr:col>1</xdr:col>
          <xdr:colOff>1495425</xdr:colOff>
          <xdr:row>1</xdr:row>
          <xdr:rowOff>200025</xdr:rowOff>
        </xdr:to>
        <xdr:sp macro="" textlink="">
          <xdr:nvSpPr>
            <xdr:cNvPr id="1512" name="Button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623_24</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1</xdr:row>
          <xdr:rowOff>209550</xdr:rowOff>
        </xdr:from>
        <xdr:to>
          <xdr:col>1</xdr:col>
          <xdr:colOff>1485900</xdr:colOff>
          <xdr:row>1</xdr:row>
          <xdr:rowOff>390525</xdr:rowOff>
        </xdr:to>
        <xdr:sp macro="" textlink="">
          <xdr:nvSpPr>
            <xdr:cNvPr id="1514" name="Button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625_26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1000125</xdr:colOff>
          <xdr:row>1</xdr:row>
          <xdr:rowOff>400050</xdr:rowOff>
        </xdr:from>
        <xdr:to>
          <xdr:col>1</xdr:col>
          <xdr:colOff>1485900</xdr:colOff>
          <xdr:row>2</xdr:row>
          <xdr:rowOff>0</xdr:rowOff>
        </xdr:to>
        <xdr:sp macro="" textlink="">
          <xdr:nvSpPr>
            <xdr:cNvPr id="1516" name="Button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627_28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9525</xdr:rowOff>
        </xdr:from>
        <xdr:to>
          <xdr:col>1</xdr:col>
          <xdr:colOff>2028825</xdr:colOff>
          <xdr:row>1</xdr:row>
          <xdr:rowOff>209550</xdr:rowOff>
        </xdr:to>
        <xdr:sp macro="" textlink="">
          <xdr:nvSpPr>
            <xdr:cNvPr id="1520" name="Button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1504950</xdr:colOff>
          <xdr:row>1</xdr:row>
          <xdr:rowOff>219075</xdr:rowOff>
        </xdr:from>
        <xdr:to>
          <xdr:col>1</xdr:col>
          <xdr:colOff>2028825</xdr:colOff>
          <xdr:row>1</xdr:row>
          <xdr:rowOff>400050</xdr:rowOff>
        </xdr:to>
        <xdr:sp macro="" textlink="">
          <xdr:nvSpPr>
            <xdr:cNvPr id="1522" name="Button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64_68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1514475</xdr:colOff>
          <xdr:row>1</xdr:row>
          <xdr:rowOff>409575</xdr:rowOff>
        </xdr:from>
        <xdr:to>
          <xdr:col>1</xdr:col>
          <xdr:colOff>2028825</xdr:colOff>
          <xdr:row>2</xdr:row>
          <xdr:rowOff>0</xdr:rowOff>
        </xdr:to>
        <xdr:sp macro="" textlink="">
          <xdr:nvSpPr>
            <xdr:cNvPr id="1523" name="Button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65_66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2038350</xdr:colOff>
          <xdr:row>1</xdr:row>
          <xdr:rowOff>9525</xdr:rowOff>
        </xdr:from>
        <xdr:to>
          <xdr:col>1</xdr:col>
          <xdr:colOff>2324100</xdr:colOff>
          <xdr:row>1</xdr:row>
          <xdr:rowOff>600075</xdr:rowOff>
        </xdr:to>
        <xdr:sp macro="" textlink="">
          <xdr:nvSpPr>
            <xdr:cNvPr id="1525" name="Button 501" hidden="1">
              <a:extLst>
                <a:ext uri="{63B3BB69-23CF-44E3-9099-C40C66FF867C}">
                  <a14:compatExt spid="_x0000_s1525"/>
                </a:ext>
                <a:ext uri="{FF2B5EF4-FFF2-40B4-BE49-F238E27FC236}">
                  <a16:creationId xmlns:a16="http://schemas.microsoft.com/office/drawing/2014/main" id="{00000000-0008-0000-0000-0000F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67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1</xdr:row>
          <xdr:rowOff>400050</xdr:rowOff>
        </xdr:from>
        <xdr:to>
          <xdr:col>10</xdr:col>
          <xdr:colOff>0</xdr:colOff>
          <xdr:row>1</xdr:row>
          <xdr:rowOff>590550</xdr:rowOff>
        </xdr:to>
        <xdr:sp macro="" textlink="">
          <xdr:nvSpPr>
            <xdr:cNvPr id="1537" name="Button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rechercher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1</xdr:row>
          <xdr:rowOff>180975</xdr:rowOff>
        </xdr:from>
        <xdr:to>
          <xdr:col>11</xdr:col>
          <xdr:colOff>771525</xdr:colOff>
          <xdr:row>1</xdr:row>
          <xdr:rowOff>371475</xdr:rowOff>
        </xdr:to>
        <xdr:sp macro="" textlink="">
          <xdr:nvSpPr>
            <xdr:cNvPr id="1589" name="Button 565" hidden="1">
              <a:extLst>
                <a:ext uri="{63B3BB69-23CF-44E3-9099-C40C66FF867C}">
                  <a14:compatExt spid="_x0000_s1589"/>
                </a:ext>
                <a:ext uri="{FF2B5EF4-FFF2-40B4-BE49-F238E27FC236}">
                  <a16:creationId xmlns:a16="http://schemas.microsoft.com/office/drawing/2014/main" id="{00000000-0008-0000-0000-000035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Masquer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1</xdr:row>
          <xdr:rowOff>9525</xdr:rowOff>
        </xdr:from>
        <xdr:to>
          <xdr:col>11</xdr:col>
          <xdr:colOff>771525</xdr:colOff>
          <xdr:row>1</xdr:row>
          <xdr:rowOff>180975</xdr:rowOff>
        </xdr:to>
        <xdr:sp macro="" textlink="">
          <xdr:nvSpPr>
            <xdr:cNvPr id="1602" name="Button 578" hidden="1">
              <a:extLst>
                <a:ext uri="{63B3BB69-23CF-44E3-9099-C40C66FF867C}">
                  <a14:compatExt spid="_x0000_s1602"/>
                </a:ext>
                <a:ext uri="{FF2B5EF4-FFF2-40B4-BE49-F238E27FC236}">
                  <a16:creationId xmlns:a16="http://schemas.microsoft.com/office/drawing/2014/main" id="{00000000-0008-0000-0000-00004206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Afficher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12</xdr:row>
          <xdr:rowOff>28575</xdr:rowOff>
        </xdr:from>
        <xdr:to>
          <xdr:col>0</xdr:col>
          <xdr:colOff>1123950</xdr:colOff>
          <xdr:row>13</xdr:row>
          <xdr:rowOff>161925</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1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Calculer</a:t>
              </a:r>
            </a:p>
          </xdr:txBody>
        </xdr:sp>
        <xdr:clientData fPrintsWithSheet="0"/>
      </xdr:twoCellAnchor>
    </mc:Choice>
    <mc:Fallback/>
  </mc:AlternateContent>
  <xdr:twoCellAnchor>
    <xdr:from>
      <xdr:col>3</xdr:col>
      <xdr:colOff>0</xdr:colOff>
      <xdr:row>1</xdr:row>
      <xdr:rowOff>0</xdr:rowOff>
    </xdr:from>
    <xdr:to>
      <xdr:col>12</xdr:col>
      <xdr:colOff>127000</xdr:colOff>
      <xdr:row>17</xdr:row>
      <xdr:rowOff>117475</xdr:rowOff>
    </xdr:to>
    <xdr:graphicFrame macro="">
      <xdr:nvGraphicFramePr>
        <xdr:cNvPr id="6154" name="Chart_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19</xdr:row>
      <xdr:rowOff>0</xdr:rowOff>
    </xdr:from>
    <xdr:to>
      <xdr:col>12</xdr:col>
      <xdr:colOff>127000</xdr:colOff>
      <xdr:row>35</xdr:row>
      <xdr:rowOff>127000</xdr:rowOff>
    </xdr:to>
    <xdr:graphicFrame macro="">
      <xdr:nvGraphicFramePr>
        <xdr:cNvPr id="6155" name="Chart_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1</xdr:row>
      <xdr:rowOff>0</xdr:rowOff>
    </xdr:from>
    <xdr:to>
      <xdr:col>22</xdr:col>
      <xdr:colOff>127000</xdr:colOff>
      <xdr:row>17</xdr:row>
      <xdr:rowOff>117475</xdr:rowOff>
    </xdr:to>
    <xdr:graphicFrame macro="">
      <xdr:nvGraphicFramePr>
        <xdr:cNvPr id="6156" name="Chart_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19</xdr:row>
      <xdr:rowOff>0</xdr:rowOff>
    </xdr:from>
    <xdr:to>
      <xdr:col>22</xdr:col>
      <xdr:colOff>127000</xdr:colOff>
      <xdr:row>35</xdr:row>
      <xdr:rowOff>127000</xdr:rowOff>
    </xdr:to>
    <xdr:graphicFrame macro="">
      <xdr:nvGraphicFramePr>
        <xdr:cNvPr id="6157" name="Chart_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0</xdr:row>
          <xdr:rowOff>0</xdr:rowOff>
        </xdr:from>
        <xdr:to>
          <xdr:col>2</xdr:col>
          <xdr:colOff>0</xdr:colOff>
          <xdr:row>0</xdr:row>
          <xdr:rowOff>180975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Charge d'explotiation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0</xdr:row>
          <xdr:rowOff>200025</xdr:rowOff>
        </xdr:from>
        <xdr:to>
          <xdr:col>1</xdr:col>
          <xdr:colOff>1857375</xdr:colOff>
          <xdr:row>0</xdr:row>
          <xdr:rowOff>381000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Produits d'eploitation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400050</xdr:rowOff>
        </xdr:from>
        <xdr:to>
          <xdr:col>1</xdr:col>
          <xdr:colOff>1857375</xdr:colOff>
          <xdr:row>0</xdr:row>
          <xdr:rowOff>590550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Chiffre d'affaire</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19050</xdr:colOff>
          <xdr:row>0</xdr:row>
          <xdr:rowOff>219075</xdr:rowOff>
        </xdr:from>
        <xdr:to>
          <xdr:col>2</xdr:col>
          <xdr:colOff>1647825</xdr:colOff>
          <xdr:row>0</xdr:row>
          <xdr:rowOff>390525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Valeur ajoutée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0</xdr:row>
          <xdr:rowOff>390525</xdr:rowOff>
        </xdr:from>
        <xdr:to>
          <xdr:col>2</xdr:col>
          <xdr:colOff>1628775</xdr:colOff>
          <xdr:row>0</xdr:row>
          <xdr:rowOff>581025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EBE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419100</xdr:rowOff>
        </xdr:from>
        <xdr:to>
          <xdr:col>3</xdr:col>
          <xdr:colOff>581025</xdr:colOff>
          <xdr:row>0</xdr:row>
          <xdr:rowOff>600075</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CAF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9525</xdr:rowOff>
        </xdr:from>
        <xdr:to>
          <xdr:col>3</xdr:col>
          <xdr:colOff>590550</xdr:colOff>
          <xdr:row>0</xdr:row>
          <xdr:rowOff>209550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d'exploitation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1647825</xdr:colOff>
          <xdr:row>0</xdr:row>
          <xdr:rowOff>209550</xdr:rowOff>
        </xdr:from>
        <xdr:to>
          <xdr:col>3</xdr:col>
          <xdr:colOff>590550</xdr:colOff>
          <xdr:row>0</xdr:row>
          <xdr:rowOff>409575</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financier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600075</xdr:colOff>
          <xdr:row>0</xdr:row>
          <xdr:rowOff>0</xdr:rowOff>
        </xdr:from>
        <xdr:to>
          <xdr:col>3</xdr:col>
          <xdr:colOff>2009775</xdr:colOff>
          <xdr:row>0</xdr:row>
          <xdr:rowOff>190500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exceptionnel</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600075</xdr:colOff>
          <xdr:row>0</xdr:row>
          <xdr:rowOff>190500</xdr:rowOff>
        </xdr:from>
        <xdr:to>
          <xdr:col>3</xdr:col>
          <xdr:colOff>2009775</xdr:colOff>
          <xdr:row>0</xdr:row>
          <xdr:rowOff>390525</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RCAI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590550</xdr:colOff>
          <xdr:row>0</xdr:row>
          <xdr:rowOff>400050</xdr:rowOff>
        </xdr:from>
        <xdr:to>
          <xdr:col>3</xdr:col>
          <xdr:colOff>2009775</xdr:colOff>
          <xdr:row>1</xdr:row>
          <xdr:rowOff>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Résultat net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0</xdr:row>
          <xdr:rowOff>19050</xdr:rowOff>
        </xdr:from>
        <xdr:to>
          <xdr:col>2</xdr:col>
          <xdr:colOff>1609725</xdr:colOff>
          <xdr:row>0</xdr:row>
          <xdr:rowOff>200025</xdr:rowOff>
        </xdr:to>
        <xdr:sp macro="" textlink="">
          <xdr:nvSpPr>
            <xdr:cNvPr id="4109" name="Button 13"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taux de marge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2933700</xdr:colOff>
          <xdr:row>84</xdr:row>
          <xdr:rowOff>0</xdr:rowOff>
        </xdr:from>
        <xdr:to>
          <xdr:col>0</xdr:col>
          <xdr:colOff>3209925</xdr:colOff>
          <xdr:row>84</xdr:row>
          <xdr:rowOff>0</xdr:rowOff>
        </xdr:to>
        <xdr:sp macro="" textlink="">
          <xdr:nvSpPr>
            <xdr:cNvPr id="9253" name="Button 37" hidden="1">
              <a:extLst>
                <a:ext uri="{63B3BB69-23CF-44E3-9099-C40C66FF867C}">
                  <a14:compatExt spid="_x0000_s9253"/>
                </a:ext>
                <a:ext uri="{FF2B5EF4-FFF2-40B4-BE49-F238E27FC236}">
                  <a16:creationId xmlns:a16="http://schemas.microsoft.com/office/drawing/2014/main" id="{00000000-0008-0000-0400-00002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3267075</xdr:colOff>
          <xdr:row>84</xdr:row>
          <xdr:rowOff>0</xdr:rowOff>
        </xdr:from>
        <xdr:to>
          <xdr:col>0</xdr:col>
          <xdr:colOff>3533775</xdr:colOff>
          <xdr:row>84</xdr:row>
          <xdr:rowOff>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400-00002C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t>
              </a:r>
            </a:p>
          </xdr:txBody>
        </xdr:sp>
        <xdr:clientData fPrintsWithSheet="0"/>
      </xdr:twoCellAnchor>
    </mc:Choice>
    <mc:Fallback/>
  </mc:AlternateContent>
  <xdr:twoCellAnchor>
    <xdr:from>
      <xdr:col>9</xdr:col>
      <xdr:colOff>52778</xdr:colOff>
      <xdr:row>2</xdr:row>
      <xdr:rowOff>351546</xdr:rowOff>
    </xdr:from>
    <xdr:to>
      <xdr:col>13</xdr:col>
      <xdr:colOff>306972</xdr:colOff>
      <xdr:row>15</xdr:row>
      <xdr:rowOff>77450</xdr:rowOff>
    </xdr:to>
    <xdr:graphicFrame macro="">
      <xdr:nvGraphicFramePr>
        <xdr:cNvPr id="2" name="Graphique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57729</xdr:colOff>
      <xdr:row>15</xdr:row>
      <xdr:rowOff>86236</xdr:rowOff>
    </xdr:from>
    <xdr:to>
      <xdr:col>13</xdr:col>
      <xdr:colOff>306972</xdr:colOff>
      <xdr:row>29</xdr:row>
      <xdr:rowOff>136070</xdr:rowOff>
    </xdr:to>
    <xdr:graphicFrame macro="">
      <xdr:nvGraphicFramePr>
        <xdr:cNvPr id="3" name="Graphique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344713</xdr:colOff>
      <xdr:row>15</xdr:row>
      <xdr:rowOff>81193</xdr:rowOff>
    </xdr:from>
    <xdr:to>
      <xdr:col>17</xdr:col>
      <xdr:colOff>371731</xdr:colOff>
      <xdr:row>29</xdr:row>
      <xdr:rowOff>133270</xdr:rowOff>
    </xdr:to>
    <xdr:graphicFrame macro="">
      <xdr:nvGraphicFramePr>
        <xdr:cNvPr id="4" name="Graphique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18143</xdr:colOff>
      <xdr:row>50</xdr:row>
      <xdr:rowOff>341512</xdr:rowOff>
    </xdr:from>
    <xdr:to>
      <xdr:col>12</xdr:col>
      <xdr:colOff>672353</xdr:colOff>
      <xdr:row>65</xdr:row>
      <xdr:rowOff>217716</xdr:rowOff>
    </xdr:to>
    <xdr:graphicFrame macro="">
      <xdr:nvGraphicFramePr>
        <xdr:cNvPr id="5" name="Graphique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22410</xdr:colOff>
      <xdr:row>66</xdr:row>
      <xdr:rowOff>11201</xdr:rowOff>
    </xdr:from>
    <xdr:to>
      <xdr:col>12</xdr:col>
      <xdr:colOff>671285</xdr:colOff>
      <xdr:row>80</xdr:row>
      <xdr:rowOff>81642</xdr:rowOff>
    </xdr:to>
    <xdr:graphicFrame macro="">
      <xdr:nvGraphicFramePr>
        <xdr:cNvPr id="46" name="Graphique 45">
          <a:extLst>
            <a:ext uri="{FF2B5EF4-FFF2-40B4-BE49-F238E27FC236}">
              <a16:creationId xmlns:a16="http://schemas.microsoft.com/office/drawing/2014/main" id="{00000000-0008-0000-0400-00002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28575</xdr:colOff>
          <xdr:row>0</xdr:row>
          <xdr:rowOff>66675</xdr:rowOff>
        </xdr:from>
        <xdr:to>
          <xdr:col>9</xdr:col>
          <xdr:colOff>38100</xdr:colOff>
          <xdr:row>0</xdr:row>
          <xdr:rowOff>419100</xdr:rowOff>
        </xdr:to>
        <xdr:sp macro="" textlink="">
          <xdr:nvSpPr>
            <xdr:cNvPr id="9261" name="ToggleButton1" hidden="1">
              <a:extLst>
                <a:ext uri="{63B3BB69-23CF-44E3-9099-C40C66FF867C}">
                  <a14:compatExt spid="_x0000_s9261"/>
                </a:ext>
                <a:ext uri="{FF2B5EF4-FFF2-40B4-BE49-F238E27FC236}">
                  <a16:creationId xmlns:a16="http://schemas.microsoft.com/office/drawing/2014/main" id="{00000000-0008-0000-0400-00002D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2943225</xdr:colOff>
          <xdr:row>3</xdr:row>
          <xdr:rowOff>9525</xdr:rowOff>
        </xdr:from>
        <xdr:to>
          <xdr:col>0</xdr:col>
          <xdr:colOff>3371850</xdr:colOff>
          <xdr:row>4</xdr:row>
          <xdr:rowOff>9525</xdr:rowOff>
        </xdr:to>
        <xdr:sp macro="" textlink="">
          <xdr:nvSpPr>
            <xdr:cNvPr id="9262" name="ToggleButton2" hidden="1">
              <a:extLst>
                <a:ext uri="{63B3BB69-23CF-44E3-9099-C40C66FF867C}">
                  <a14:compatExt spid="_x0000_s9262"/>
                </a:ext>
                <a:ext uri="{FF2B5EF4-FFF2-40B4-BE49-F238E27FC236}">
                  <a16:creationId xmlns:a16="http://schemas.microsoft.com/office/drawing/2014/main" id="{00000000-0008-0000-0400-00002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2076450</xdr:colOff>
          <xdr:row>17</xdr:row>
          <xdr:rowOff>9525</xdr:rowOff>
        </xdr:from>
        <xdr:to>
          <xdr:col>0</xdr:col>
          <xdr:colOff>2505075</xdr:colOff>
          <xdr:row>18</xdr:row>
          <xdr:rowOff>9525</xdr:rowOff>
        </xdr:to>
        <xdr:sp macro="" textlink="">
          <xdr:nvSpPr>
            <xdr:cNvPr id="9263" name="ToggleButton3" hidden="1">
              <a:extLst>
                <a:ext uri="{63B3BB69-23CF-44E3-9099-C40C66FF867C}">
                  <a14:compatExt spid="_x0000_s9263"/>
                </a:ext>
                <a:ext uri="{FF2B5EF4-FFF2-40B4-BE49-F238E27FC236}">
                  <a16:creationId xmlns:a16="http://schemas.microsoft.com/office/drawing/2014/main" id="{00000000-0008-0000-0400-00002F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2124075</xdr:colOff>
          <xdr:row>20</xdr:row>
          <xdr:rowOff>9525</xdr:rowOff>
        </xdr:from>
        <xdr:to>
          <xdr:col>0</xdr:col>
          <xdr:colOff>2552700</xdr:colOff>
          <xdr:row>21</xdr:row>
          <xdr:rowOff>9525</xdr:rowOff>
        </xdr:to>
        <xdr:sp macro="" textlink="">
          <xdr:nvSpPr>
            <xdr:cNvPr id="9264" name="ToggleButton4" hidden="1">
              <a:extLst>
                <a:ext uri="{63B3BB69-23CF-44E3-9099-C40C66FF867C}">
                  <a14:compatExt spid="_x0000_s9264"/>
                </a:ext>
                <a:ext uri="{FF2B5EF4-FFF2-40B4-BE49-F238E27FC236}">
                  <a16:creationId xmlns:a16="http://schemas.microsoft.com/office/drawing/2014/main" id="{00000000-0008-0000-0400-000030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2943225</xdr:colOff>
          <xdr:row>24</xdr:row>
          <xdr:rowOff>9525</xdr:rowOff>
        </xdr:from>
        <xdr:to>
          <xdr:col>0</xdr:col>
          <xdr:colOff>3371850</xdr:colOff>
          <xdr:row>25</xdr:row>
          <xdr:rowOff>19050</xdr:rowOff>
        </xdr:to>
        <xdr:sp macro="" textlink="">
          <xdr:nvSpPr>
            <xdr:cNvPr id="9265" name="ToggleButton5" hidden="1">
              <a:extLst>
                <a:ext uri="{63B3BB69-23CF-44E3-9099-C40C66FF867C}">
                  <a14:compatExt spid="_x0000_s9265"/>
                </a:ext>
                <a:ext uri="{FF2B5EF4-FFF2-40B4-BE49-F238E27FC236}">
                  <a16:creationId xmlns:a16="http://schemas.microsoft.com/office/drawing/2014/main" id="{00000000-0008-0000-0400-000031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3381375</xdr:colOff>
          <xdr:row>35</xdr:row>
          <xdr:rowOff>9525</xdr:rowOff>
        </xdr:from>
        <xdr:to>
          <xdr:col>0</xdr:col>
          <xdr:colOff>3810000</xdr:colOff>
          <xdr:row>35</xdr:row>
          <xdr:rowOff>276225</xdr:rowOff>
        </xdr:to>
        <xdr:sp macro="" textlink="">
          <xdr:nvSpPr>
            <xdr:cNvPr id="9266" name="ToggleButton6" hidden="1">
              <a:extLst>
                <a:ext uri="{63B3BB69-23CF-44E3-9099-C40C66FF867C}">
                  <a14:compatExt spid="_x0000_s9266"/>
                </a:ext>
                <a:ext uri="{FF2B5EF4-FFF2-40B4-BE49-F238E27FC236}">
                  <a16:creationId xmlns:a16="http://schemas.microsoft.com/office/drawing/2014/main" id="{00000000-0008-0000-0400-00003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3057525</xdr:colOff>
          <xdr:row>39</xdr:row>
          <xdr:rowOff>9525</xdr:rowOff>
        </xdr:from>
        <xdr:to>
          <xdr:col>0</xdr:col>
          <xdr:colOff>3486150</xdr:colOff>
          <xdr:row>40</xdr:row>
          <xdr:rowOff>0</xdr:rowOff>
        </xdr:to>
        <xdr:sp macro="" textlink="">
          <xdr:nvSpPr>
            <xdr:cNvPr id="9267" name="ToggleButton7" hidden="1">
              <a:extLst>
                <a:ext uri="{63B3BB69-23CF-44E3-9099-C40C66FF867C}">
                  <a14:compatExt spid="_x0000_s9267"/>
                </a:ext>
                <a:ext uri="{FF2B5EF4-FFF2-40B4-BE49-F238E27FC236}">
                  <a16:creationId xmlns:a16="http://schemas.microsoft.com/office/drawing/2014/main" id="{00000000-0008-0000-0400-00003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3086100</xdr:colOff>
          <xdr:row>45</xdr:row>
          <xdr:rowOff>9525</xdr:rowOff>
        </xdr:from>
        <xdr:to>
          <xdr:col>0</xdr:col>
          <xdr:colOff>3514725</xdr:colOff>
          <xdr:row>46</xdr:row>
          <xdr:rowOff>9525</xdr:rowOff>
        </xdr:to>
        <xdr:sp macro="" textlink="">
          <xdr:nvSpPr>
            <xdr:cNvPr id="9268" name="ToggleButton8" hidden="1">
              <a:extLst>
                <a:ext uri="{63B3BB69-23CF-44E3-9099-C40C66FF867C}">
                  <a14:compatExt spid="_x0000_s9268"/>
                </a:ext>
                <a:ext uri="{FF2B5EF4-FFF2-40B4-BE49-F238E27FC236}">
                  <a16:creationId xmlns:a16="http://schemas.microsoft.com/office/drawing/2014/main" id="{00000000-0008-0000-0400-00003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2924175</xdr:colOff>
          <xdr:row>57</xdr:row>
          <xdr:rowOff>9525</xdr:rowOff>
        </xdr:from>
        <xdr:to>
          <xdr:col>0</xdr:col>
          <xdr:colOff>3362325</xdr:colOff>
          <xdr:row>58</xdr:row>
          <xdr:rowOff>0</xdr:rowOff>
        </xdr:to>
        <xdr:sp macro="" textlink="">
          <xdr:nvSpPr>
            <xdr:cNvPr id="9269" name="ToggleButton9" hidden="1">
              <a:extLst>
                <a:ext uri="{63B3BB69-23CF-44E3-9099-C40C66FF867C}">
                  <a14:compatExt spid="_x0000_s9269"/>
                </a:ext>
                <a:ext uri="{FF2B5EF4-FFF2-40B4-BE49-F238E27FC236}">
                  <a16:creationId xmlns:a16="http://schemas.microsoft.com/office/drawing/2014/main" id="{00000000-0008-0000-0400-00003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2781300</xdr:colOff>
          <xdr:row>66</xdr:row>
          <xdr:rowOff>9525</xdr:rowOff>
        </xdr:from>
        <xdr:to>
          <xdr:col>0</xdr:col>
          <xdr:colOff>3219450</xdr:colOff>
          <xdr:row>66</xdr:row>
          <xdr:rowOff>257175</xdr:rowOff>
        </xdr:to>
        <xdr:sp macro="" textlink="">
          <xdr:nvSpPr>
            <xdr:cNvPr id="9270" name="ToggleButton10" hidden="1">
              <a:extLst>
                <a:ext uri="{63B3BB69-23CF-44E3-9099-C40C66FF867C}">
                  <a14:compatExt spid="_x0000_s9270"/>
                </a:ext>
                <a:ext uri="{FF2B5EF4-FFF2-40B4-BE49-F238E27FC236}">
                  <a16:creationId xmlns:a16="http://schemas.microsoft.com/office/drawing/2014/main" id="{00000000-0008-0000-0400-00003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2619375</xdr:colOff>
          <xdr:row>71</xdr:row>
          <xdr:rowOff>9525</xdr:rowOff>
        </xdr:from>
        <xdr:to>
          <xdr:col>0</xdr:col>
          <xdr:colOff>3057525</xdr:colOff>
          <xdr:row>72</xdr:row>
          <xdr:rowOff>0</xdr:rowOff>
        </xdr:to>
        <xdr:sp macro="" textlink="">
          <xdr:nvSpPr>
            <xdr:cNvPr id="9271" name="ToggleButton11" hidden="1">
              <a:extLst>
                <a:ext uri="{63B3BB69-23CF-44E3-9099-C40C66FF867C}">
                  <a14:compatExt spid="_x0000_s9271"/>
                </a:ext>
                <a:ext uri="{FF2B5EF4-FFF2-40B4-BE49-F238E27FC236}">
                  <a16:creationId xmlns:a16="http://schemas.microsoft.com/office/drawing/2014/main" id="{00000000-0008-0000-0400-00003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2505075</xdr:colOff>
          <xdr:row>83</xdr:row>
          <xdr:rowOff>19050</xdr:rowOff>
        </xdr:from>
        <xdr:to>
          <xdr:col>0</xdr:col>
          <xdr:colOff>2943225</xdr:colOff>
          <xdr:row>84</xdr:row>
          <xdr:rowOff>0</xdr:rowOff>
        </xdr:to>
        <xdr:sp macro="" textlink="">
          <xdr:nvSpPr>
            <xdr:cNvPr id="9272" name="ToggleButton12" hidden="1">
              <a:extLst>
                <a:ext uri="{63B3BB69-23CF-44E3-9099-C40C66FF867C}">
                  <a14:compatExt spid="_x0000_s9272"/>
                </a:ext>
                <a:ext uri="{FF2B5EF4-FFF2-40B4-BE49-F238E27FC236}">
                  <a16:creationId xmlns:a16="http://schemas.microsoft.com/office/drawing/2014/main" id="{00000000-0008-0000-0400-00003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37183</xdr:colOff>
      <xdr:row>29</xdr:row>
      <xdr:rowOff>143887</xdr:rowOff>
    </xdr:from>
    <xdr:to>
      <xdr:col>13</xdr:col>
      <xdr:colOff>304509</xdr:colOff>
      <xdr:row>42</xdr:row>
      <xdr:rowOff>72704</xdr:rowOff>
    </xdr:to>
    <xdr:graphicFrame macro="">
      <xdr:nvGraphicFramePr>
        <xdr:cNvPr id="6" name="Graphique 5">
          <a:extLst>
            <a:ext uri="{FF2B5EF4-FFF2-40B4-BE49-F238E27FC236}">
              <a16:creationId xmlns:a16="http://schemas.microsoft.com/office/drawing/2014/main" id="{00000000-0008-0000-04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13</xdr:col>
      <xdr:colOff>344714</xdr:colOff>
      <xdr:row>29</xdr:row>
      <xdr:rowOff>142656</xdr:rowOff>
    </xdr:from>
    <xdr:to>
      <xdr:col>17</xdr:col>
      <xdr:colOff>360190</xdr:colOff>
      <xdr:row>42</xdr:row>
      <xdr:rowOff>71473</xdr:rowOff>
    </xdr:to>
    <xdr:graphicFrame macro="">
      <xdr:nvGraphicFramePr>
        <xdr:cNvPr id="7" name="Graphique 6">
          <a:extLst>
            <a:ext uri="{FF2B5EF4-FFF2-40B4-BE49-F238E27FC236}">
              <a16:creationId xmlns:a16="http://schemas.microsoft.com/office/drawing/2014/main" id="{00000000-0008-0000-04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2</xdr:row>
          <xdr:rowOff>9525</xdr:rowOff>
        </xdr:from>
        <xdr:to>
          <xdr:col>0</xdr:col>
          <xdr:colOff>904875</xdr:colOff>
          <xdr:row>2</xdr:row>
          <xdr:rowOff>304800</xdr:rowOff>
        </xdr:to>
        <xdr:sp macro="" textlink="">
          <xdr:nvSpPr>
            <xdr:cNvPr id="8211" name="ToggleButton1" hidden="1">
              <a:extLst>
                <a:ext uri="{63B3BB69-23CF-44E3-9099-C40C66FF867C}">
                  <a14:compatExt spid="_x0000_s8211"/>
                </a:ext>
                <a:ext uri="{FF2B5EF4-FFF2-40B4-BE49-F238E27FC236}">
                  <a16:creationId xmlns:a16="http://schemas.microsoft.com/office/drawing/2014/main" id="{00000000-0008-0000-0500-00001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933450</xdr:colOff>
          <xdr:row>2</xdr:row>
          <xdr:rowOff>9525</xdr:rowOff>
        </xdr:from>
        <xdr:to>
          <xdr:col>0</xdr:col>
          <xdr:colOff>1685925</xdr:colOff>
          <xdr:row>2</xdr:row>
          <xdr:rowOff>304800</xdr:rowOff>
        </xdr:to>
        <xdr:sp macro="" textlink="">
          <xdr:nvSpPr>
            <xdr:cNvPr id="8212" name="ToggleButton2" hidden="1">
              <a:extLst>
                <a:ext uri="{63B3BB69-23CF-44E3-9099-C40C66FF867C}">
                  <a14:compatExt spid="_x0000_s8212"/>
                </a:ext>
                <a:ext uri="{FF2B5EF4-FFF2-40B4-BE49-F238E27FC236}">
                  <a16:creationId xmlns:a16="http://schemas.microsoft.com/office/drawing/2014/main" id="{00000000-0008-0000-0500-00001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1714500</xdr:colOff>
          <xdr:row>2</xdr:row>
          <xdr:rowOff>19050</xdr:rowOff>
        </xdr:from>
        <xdr:to>
          <xdr:col>0</xdr:col>
          <xdr:colOff>2505075</xdr:colOff>
          <xdr:row>2</xdr:row>
          <xdr:rowOff>304800</xdr:rowOff>
        </xdr:to>
        <xdr:sp macro="" textlink="">
          <xdr:nvSpPr>
            <xdr:cNvPr id="8213" name="ToggleButton3" hidden="1">
              <a:extLst>
                <a:ext uri="{63B3BB69-23CF-44E3-9099-C40C66FF867C}">
                  <a14:compatExt spid="_x0000_s8213"/>
                </a:ext>
                <a:ext uri="{FF2B5EF4-FFF2-40B4-BE49-F238E27FC236}">
                  <a16:creationId xmlns:a16="http://schemas.microsoft.com/office/drawing/2014/main" id="{00000000-0008-0000-0500-00001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2552700</xdr:colOff>
          <xdr:row>2</xdr:row>
          <xdr:rowOff>9525</xdr:rowOff>
        </xdr:from>
        <xdr:to>
          <xdr:col>1</xdr:col>
          <xdr:colOff>133350</xdr:colOff>
          <xdr:row>2</xdr:row>
          <xdr:rowOff>304800</xdr:rowOff>
        </xdr:to>
        <xdr:sp macro="" textlink="">
          <xdr:nvSpPr>
            <xdr:cNvPr id="8214" name="ToggleButton4" hidden="1">
              <a:extLst>
                <a:ext uri="{63B3BB69-23CF-44E3-9099-C40C66FF867C}">
                  <a14:compatExt spid="_x0000_s8214"/>
                </a:ext>
                <a:ext uri="{FF2B5EF4-FFF2-40B4-BE49-F238E27FC236}">
                  <a16:creationId xmlns:a16="http://schemas.microsoft.com/office/drawing/2014/main" id="{00000000-0008-0000-0500-00001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xdr:row>
          <xdr:rowOff>9525</xdr:rowOff>
        </xdr:from>
        <xdr:to>
          <xdr:col>2</xdr:col>
          <xdr:colOff>66675</xdr:colOff>
          <xdr:row>2</xdr:row>
          <xdr:rowOff>304800</xdr:rowOff>
        </xdr:to>
        <xdr:sp macro="" textlink="">
          <xdr:nvSpPr>
            <xdr:cNvPr id="8219" name="ToggleButton5" hidden="1">
              <a:extLst>
                <a:ext uri="{63B3BB69-23CF-44E3-9099-C40C66FF867C}">
                  <a14:compatExt spid="_x0000_s8219"/>
                </a:ext>
                <a:ext uri="{FF2B5EF4-FFF2-40B4-BE49-F238E27FC236}">
                  <a16:creationId xmlns:a16="http://schemas.microsoft.com/office/drawing/2014/main" id="{00000000-0008-0000-0500-00001B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xdr:row>
          <xdr:rowOff>9525</xdr:rowOff>
        </xdr:from>
        <xdr:to>
          <xdr:col>3</xdr:col>
          <xdr:colOff>142875</xdr:colOff>
          <xdr:row>2</xdr:row>
          <xdr:rowOff>304800</xdr:rowOff>
        </xdr:to>
        <xdr:sp macro="" textlink="">
          <xdr:nvSpPr>
            <xdr:cNvPr id="8223" name="ToggleButton6" hidden="1">
              <a:extLst>
                <a:ext uri="{63B3BB69-23CF-44E3-9099-C40C66FF867C}">
                  <a14:compatExt spid="_x0000_s8223"/>
                </a:ext>
                <a:ext uri="{FF2B5EF4-FFF2-40B4-BE49-F238E27FC236}">
                  <a16:creationId xmlns:a16="http://schemas.microsoft.com/office/drawing/2014/main" id="{00000000-0008-0000-0500-00001F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A5:GJ499" totalsRowShown="0" headerRowDxfId="217" dataDxfId="215" headerRowBorderDxfId="216" tableBorderDxfId="214">
  <autoFilter ref="A5:GJ499"/>
  <sortState ref="A6:GJ999">
    <sortCondition descending="1" ref="B5:B1002"/>
  </sortState>
  <tableColumns count="192">
    <tableColumn id="1" name="n°complexe ou n°auto " dataDxfId="213"/>
    <tableColumn id="2" name="RAISON SOCIALE" dataDxfId="212"/>
    <tableColumn id="201" name="Année d'exercice" dataDxfId="211"/>
    <tableColumn id="200" name="Date de début d'exercice" dataDxfId="210"/>
    <tableColumn id="197" name="Date de fin d'exercice "/>
    <tableColumn id="190" name="MOIS EX" dataDxfId="209"/>
    <tableColumn id="3" name="NUMERO " dataDxfId="208"/>
    <tableColumn id="4" name="RUE " dataDxfId="207"/>
    <tableColumn id="5" name="CODE POSTAL " dataDxfId="206"/>
    <tableColumn id="6" name="VILLE" dataDxfId="205"/>
    <tableColumn id="11" name="Nombre de salles" dataDxfId="204"/>
    <tableColumn id="12" name="Fauteuils" dataDxfId="203"/>
    <tableColumn id="13" name="SEMAINES" dataDxfId="202"/>
    <tableColumn id="182" name="SEANCES"/>
    <tableColumn id="14" name="ENTREES" dataDxfId="201"/>
    <tableColumn id="15" name="RECETTES" dataDxfId="200"/>
    <tableColumn id="16" name="Total des comptes des produits " dataDxfId="199" dataCellStyle="Milliers">
      <calculatedColumnFormula>R6+BH6+BK6</calculatedColumnFormula>
    </tableColumn>
    <tableColumn id="17" name="Total Produits d'exploitation" dataDxfId="198" dataCellStyle="Milliers">
      <calculatedColumnFormula>S6+AU6</calculatedColumnFormula>
    </tableColumn>
    <tableColumn id="18" name="Chiffre d'affaires nets " dataDxfId="197" dataCellStyle="Milliers">
      <calculatedColumnFormula>T6+AC6+AL6</calculatedColumnFormula>
    </tableColumn>
    <tableColumn id="19" name="Total vente marchandises " dataDxfId="196" dataCellStyle="Milliers">
      <calculatedColumnFormula>SUM(V6:AB6)</calculatedColumnFormula>
    </tableColumn>
    <tableColumn id="152" name="Total vente alimentaire HT" dataDxfId="195">
      <calculatedColumnFormula>SUM(Tableau1[[#This Row],[Vente confiserie]:[Vente boisson]])</calculatedColumnFormula>
    </tableColumn>
    <tableColumn id="20" name="Vente confiserie" dataDxfId="194"/>
    <tableColumn id="21" name="Vente boisson" dataDxfId="193"/>
    <tableColumn id="223" name="Vente + location lunnette 3D" dataDxfId="192">
      <calculatedColumnFormula>SUM(Tableau1[[#This Row],[Vente lunette]:[Location lunette]])</calculatedColumnFormula>
    </tableColumn>
    <tableColumn id="176" name="Vente lunette" dataDxfId="191"/>
    <tableColumn id="186" name="Location lunette" dataDxfId="190"/>
    <tableColumn id="189" name="Vente affiche"/>
    <tableColumn id="22" name="Autres ou non précisé" dataDxfId="189"/>
    <tableColumn id="23" name="Total production vendue de services " dataDxfId="188" dataCellStyle="Milliers">
      <calculatedColumnFormula>SUM(AD6:AK6)</calculatedColumnFormula>
    </tableColumn>
    <tableColumn id="24" name="Recette guichet " dataDxfId="187" dataCellStyle="Milliers"/>
    <tableColumn id="202" name="Contribution/supplément prestation 3D"/>
    <tableColumn id="185" name="Recette ddm HT "/>
    <tableColumn id="25" name="Recettes spectacle " dataDxfId="186" dataCellStyle="Milliers"/>
    <tableColumn id="196" name="Recettes chèques cinema"/>
    <tableColumn id="194" name="Recette Abonnements"/>
    <tableColumn id="151" name="TSA (non comprises)"/>
    <tableColumn id="26" name="Autres ou non précisé " dataDxfId="185" dataCellStyle="Milliers"/>
    <tableColumn id="27" name="Produit des activités annexes " dataDxfId="184" dataCellStyle="Milliers">
      <calculatedColumnFormula>SUM(AM6:AO6,AQ6:AT6)</calculatedColumnFormula>
    </tableColumn>
    <tableColumn id="28" name="Frais de gestion" dataDxfId="183" dataCellStyle="Milliers"/>
    <tableColumn id="178" name="Commission et courtage" dataDxfId="182" dataCellStyle="Milliers">
      <calculatedColumnFormula>4126.66+801.44</calculatedColumnFormula>
    </tableColumn>
    <tableColumn id="29" name="Location de salle" dataDxfId="181" dataCellStyle="Milliers"/>
    <tableColumn id="30" name="Somme publicité (nationale + locale + programme)" dataDxfId="180" dataCellStyle="Milliers">
      <calculatedColumnFormula>SUM(AQ6:AS6)</calculatedColumnFormula>
    </tableColumn>
    <tableColumn id="31" name="Publicité écran  nationale" dataDxfId="179" dataCellStyle="Milliers"/>
    <tableColumn id="32" name="Publicité écran locale" dataDxfId="178" dataCellStyle="Milliers"/>
    <tableColumn id="33" name="Pub sur programme ou pub non précisé " dataDxfId="177" dataCellStyle="Milliers"/>
    <tableColumn id="34" name="Autres ou non précisé 2" dataDxfId="176" dataCellStyle="Milliers"/>
    <tableColumn id="35" name=" Autres produits d'exploitation" dataDxfId="175" dataCellStyle="Milliers">
      <calculatedColumnFormula>SUM(AV6,AZ6,BD6)</calculatedColumnFormula>
    </tableColumn>
    <tableColumn id="36" name="Subventions d'exploitation" dataDxfId="174" dataCellStyle="Milliers">
      <calculatedColumnFormula>SUM(AW6:AY6)</calculatedColumnFormula>
    </tableColumn>
    <tableColumn id="37" name="Subventions d'exploitation cinema" dataDxfId="173" dataCellStyle="Milliers"/>
    <tableColumn id="38" name="Subventions ART et ESSAI" dataDxfId="172" dataCellStyle="Milliers"/>
    <tableColumn id="39" name="Autres ou non précisé 3" dataDxfId="171" dataCellStyle="Milliers"/>
    <tableColumn id="40" name="Reprises provisions et transfert de charges " dataDxfId="170" dataCellStyle="Milliers">
      <calculatedColumnFormula>SUM(BA6:BC6)</calculatedColumnFormula>
    </tableColumn>
    <tableColumn id="41" name="Reprises provisions" dataDxfId="169" dataCellStyle="Milliers"/>
    <tableColumn id="42" name="Transfert de charges " dataDxfId="168" dataCellStyle="Milliers"/>
    <tableColumn id="43" name="Autres ou non précisé 4" dataDxfId="167" dataCellStyle="Milliers"/>
    <tableColumn id="44" name="Autres produits" dataDxfId="166" dataCellStyle="Milliers">
      <calculatedColumnFormula>SUM(#REF!)</calculatedColumnFormula>
    </tableColumn>
    <tableColumn id="204" name="ticket/carte/abonnement périmé" dataDxfId="165"/>
    <tableColumn id="47" name="Contributions aux déploiements numériques( VPF)" dataDxfId="164" dataCellStyle="Milliers"/>
    <tableColumn id="48" name="Autres ou non précisé 5" dataDxfId="163" dataCellStyle="Milliers"/>
    <tableColumn id="49" name="Produits financiers" dataDxfId="162" dataCellStyle="Milliers">
      <calculatedColumnFormula>SUM(BI6:BJ6)</calculatedColumnFormula>
    </tableColumn>
    <tableColumn id="50" name="Autres intérets et prod assimiles " dataDxfId="161" dataCellStyle="Milliers"/>
    <tableColumn id="51" name="Produit nets sur cession valeurs mobilieres" dataDxfId="160" dataCellStyle="Milliers"/>
    <tableColumn id="52" name="Produits exceptionnels" dataDxfId="159" dataCellStyle="Milliers">
      <calculatedColumnFormula>SUM(BL6:BQ6)</calculatedColumnFormula>
    </tableColumn>
    <tableColumn id="53" name="produit exceptionnels de getion" dataDxfId="158" dataCellStyle="Milliers"/>
    <tableColumn id="54" name="Produits cession éléments actif" dataDxfId="157" dataCellStyle="Milliers"/>
    <tableColumn id="55" name="produits exceptionnels en capital" dataDxfId="156" dataCellStyle="Milliers"/>
    <tableColumn id="56" name="Subventions invest.résultat" dataDxfId="155" dataCellStyle="Milliers"/>
    <tableColumn id="184" name="Reprises sur provisions et transferts de charges" dataDxfId="154" dataCellStyle="Milliers"/>
    <tableColumn id="57" name="Autres ou non précisé 6" dataDxfId="153" dataCellStyle="Milliers"/>
    <tableColumn id="58" name="Total des comptes de charges " dataDxfId="152" dataCellStyle="Milliers">
      <calculatedColumnFormula>BS6+GB6+GE6+GJ6</calculatedColumnFormula>
    </tableColumn>
    <tableColumn id="59" name="Total charges d'exploitation" dataDxfId="151" dataCellStyle="Milliers">
      <calculatedColumnFormula>BT6+CH6+FE6+FO6+FS6+FV6</calculatedColumnFormula>
    </tableColumn>
    <tableColumn id="60" name="Achats" dataDxfId="150" dataCellStyle="Milliers">
      <calculatedColumnFormula>SUM(BU6,CC6,BZ6)</calculatedColumnFormula>
    </tableColumn>
    <tableColumn id="61" name="Achats de marchandises" dataDxfId="149" dataCellStyle="Milliers">
      <calculatedColumnFormula>SUM(BW6:BY6)</calculatedColumnFormula>
    </tableColumn>
    <tableColumn id="179" name="Total achat conf+boiss" dataDxfId="148">
      <calculatedColumnFormula>SUM(Tableau1[[#This Row],[Achats confiserie]:[Achats boisson]])</calculatedColumnFormula>
    </tableColumn>
    <tableColumn id="62" name="Achats confiserie" dataDxfId="147" dataCellStyle="Milliers"/>
    <tableColumn id="63" name="Achats boisson" dataDxfId="146" dataCellStyle="Milliers"/>
    <tableColumn id="64" name="Autres ou non précisé 7" dataDxfId="145" dataCellStyle="Milliers"/>
    <tableColumn id="210" name="Achats de matières premières et appro" dataDxfId="144" dataCellStyle="Milliers">
      <calculatedColumnFormula>SUM(CA6:CB6)</calculatedColumnFormula>
    </tableColumn>
    <tableColumn id="209" name="Frais 3D/lunette"/>
    <tableColumn id="208" name="Autres ou non précisé 9"/>
    <tableColumn id="65" name="Variation de stock" dataDxfId="143" dataCellStyle="Milliers">
      <calculatedColumnFormula>SUM(CD6:CG6)</calculatedColumnFormula>
    </tableColumn>
    <tableColumn id="66" name="Variation stock confiserie" dataDxfId="142" dataCellStyle="Milliers"/>
    <tableColumn id="67" name="Variation stock boissons" dataDxfId="141" dataCellStyle="Milliers"/>
    <tableColumn id="68" name="Variation stock lunette 3D" dataDxfId="140" dataCellStyle="Milliers"/>
    <tableColumn id="69" name="Autres ou non précisé 8" dataDxfId="139" dataCellStyle="Milliers"/>
    <tableColumn id="74" name="Autres achats et charges externes" dataDxfId="138" dataCellStyle="Milliers">
      <calculatedColumnFormula>SUM(CI6,CO6,CX6,DD6,DI6,DM6,DP6,DS6,DW6,EC6,EL6,ET6,EZ6,FC6,EI6)</calculatedColumnFormula>
    </tableColumn>
    <tableColumn id="75" name="Achats d'études et de prestations de services" dataDxfId="137" dataCellStyle="Milliers">
      <calculatedColumnFormula>SUM(CJ6:CN6)</calculatedColumnFormula>
    </tableColumn>
    <tableColumn id="76" name="Prest/_x000a_programmation " dataDxfId="136" dataCellStyle="Milliers"/>
    <tableColumn id="77" name="Location de films en salle" dataDxfId="135" dataCellStyle="Milliers"/>
    <tableColumn id="78" name="Achats _x000a_affiches" dataDxfId="134" dataCellStyle="Milliers"/>
    <tableColumn id="80" name="Location spectacle" dataDxfId="133" dataCellStyle="Milliers"/>
    <tableColumn id="81" name="Autres ou non précisé 10" dataDxfId="132" dataCellStyle="Milliers"/>
    <tableColumn id="82" name="Matières et fournitures non stockées" dataDxfId="131" dataCellStyle="Milliers">
      <calculatedColumnFormula>SUM(CQ6:CW6)</calculatedColumnFormula>
    </tableColumn>
    <tableColumn id="211" name="Energie et eau" dataDxfId="130" dataCellStyle="Milliers">
      <calculatedColumnFormula>SUM(Tableau1[[#This Row],[Fourniture eau]:[Energie (non précisé)]])</calculatedColumnFormula>
    </tableColumn>
    <tableColumn id="83" name="Fourniture eau" dataDxfId="129" dataCellStyle="Milliers"/>
    <tableColumn id="84" name="Electricité " dataDxfId="128" dataCellStyle="Milliers"/>
    <tableColumn id="85" name="Gaz" dataDxfId="127" dataCellStyle="Milliers"/>
    <tableColumn id="188" name="Energie (non précisé)" dataDxfId="126" dataCellStyle="Milliers"/>
    <tableColumn id="86" name="Petit équipement,Outillage, fourniture et produit d'entretien" dataDxfId="125" dataCellStyle="Milliers"/>
    <tableColumn id="207" name="Fournitures administratives et billeterie" dataDxfId="124"/>
    <tableColumn id="88" name="Autres ou non précisé 11" dataDxfId="123" dataCellStyle="Milliers"/>
    <tableColumn id="89" name="Locations" dataDxfId="122" dataCellStyle="Milliers">
      <calculatedColumnFormula>SUM(CZ6:DC6)</calculatedColumnFormula>
    </tableColumn>
    <tableColumn id="193" name="Sous-traitance" dataDxfId="121" dataCellStyle="Milliers"/>
    <tableColumn id="90" name="Location Immob, parking" dataDxfId="120" dataCellStyle="Milliers"/>
    <tableColumn id="91" name="Location Mobilière" dataDxfId="119" dataCellStyle="Milliers"/>
    <tableColumn id="92" name="Location services monétiques_x000a_(TPE)" dataDxfId="118" dataCellStyle="Milliers"/>
    <tableColumn id="93" name="Autres ou non précisé 12" dataDxfId="117" dataCellStyle="Milliers"/>
    <tableColumn id="94" name="Entretien, nettoyage et réparations immobilier" dataDxfId="116" dataCellStyle="Milliers">
      <calculatedColumnFormula>SUM(DE6:DH6)</calculatedColumnFormula>
    </tableColumn>
    <tableColumn id="95" name="Nettoyage  des locaux (intérieurs)" dataDxfId="115" dataCellStyle="Milliers"/>
    <tableColumn id="96" name="entretien des espaces extérieurs " dataDxfId="114" dataCellStyle="Milliers"/>
    <tableColumn id="97" name="Entretien et réparation immobiler  " dataDxfId="113" dataCellStyle="Milliers"/>
    <tableColumn id="98" name="Autres ou non précisé 13" dataDxfId="112" dataCellStyle="Milliers"/>
    <tableColumn id="99" name="Entretien et réparation matériel (mobilier)" dataDxfId="111" dataCellStyle="Milliers">
      <calculatedColumnFormula>SUM(Tableau1[[#This Row],[Entretien et réparation matériel de projection]:[Autres ou non précisé 14]])</calculatedColumnFormula>
    </tableColumn>
    <tableColumn id="100" name="Entretien et réparation matériel de projection" dataDxfId="110" dataCellStyle="Milliers"/>
    <tableColumn id="101" name="Entretien cabine" dataDxfId="109" dataCellStyle="Milliers"/>
    <tableColumn id="103" name="Autres ou non précisé 14" dataDxfId="108" dataCellStyle="Milliers"/>
    <tableColumn id="104" name="Maintenance" dataDxfId="107" dataCellStyle="Milliers">
      <calculatedColumnFormula>SUM(DN6:DO6)</calculatedColumnFormula>
    </tableColumn>
    <tableColumn id="105" name="Maintenance matériel de projection" dataDxfId="106" dataCellStyle="Milliers"/>
    <tableColumn id="110" name="Autres ou maintenance  non précisée " dataDxfId="105" dataCellStyle="Milliers"/>
    <tableColumn id="111" name="Prime d'assurance et documentation diverses" dataDxfId="104" dataCellStyle="Milliers">
      <calculatedColumnFormula>SUM(DQ6:DR6)</calculatedColumnFormula>
    </tableColumn>
    <tableColumn id="112" name="Prime d'assurance et multirisque et autres assurances" dataDxfId="103" dataCellStyle="Milliers"/>
    <tableColumn id="113" name="documentation et autres " dataDxfId="102" dataCellStyle="Milliers"/>
    <tableColumn id="114" name="personnel extérieur" dataDxfId="101" dataCellStyle="Milliers">
      <calculatedColumnFormula>SUM(DT6:DV6)</calculatedColumnFormula>
    </tableColumn>
    <tableColumn id="115" name="personnel détaché" dataDxfId="100" dataCellStyle="Milliers"/>
    <tableColumn id="116" name="Sécurité, gardiannage " dataDxfId="99" dataCellStyle="Milliers"/>
    <tableColumn id="117" name="Autres ou _x000a_non précisé 15" dataDxfId="98" dataCellStyle="Milliers"/>
    <tableColumn id="118" name=" Rémunéraition honoraires" dataDxfId="97" dataCellStyle="Milliers">
      <calculatedColumnFormula>SUM(Tableau1[[#This Row],[Comission et courtage sur achats]:[Autres ou honoraires
 non précisé ]])</calculatedColumnFormula>
    </tableColumn>
    <tableColumn id="192" name="Comission et courtage sur achats" dataDxfId="96"/>
    <tableColumn id="191" name="Comission et courtage sur ventes" dataDxfId="95"/>
    <tableColumn id="119" name="Honoraires comptables" dataDxfId="94" dataCellStyle="Milliers"/>
    <tableColumn id="120" name="Honoraires Juridique" dataDxfId="93" dataCellStyle="Milliers"/>
    <tableColumn id="121" name="Autres ou honoraires_x000a_ non précisé " dataDxfId="92" dataCellStyle="Milliers"/>
    <tableColumn id="122" name="Publicité,relations extérieur" dataDxfId="91" dataCellStyle="Milliers">
      <calculatedColumnFormula>SUM(ED6:EH6)</calculatedColumnFormula>
    </tableColumn>
    <tableColumn id="123" name="Affichages ponctuels et permanents" dataDxfId="90" dataCellStyle="Milliers"/>
    <tableColumn id="195" name="Annonce et insertion"/>
    <tableColumn id="124" name="Publications, impressions_x000a_(programme)" dataDxfId="89" dataCellStyle="Milliers"/>
    <tableColumn id="125" name="Animations diverses" dataDxfId="88" dataCellStyle="Milliers"/>
    <tableColumn id="126" name="Autres ou _x000a_non précisé _x000a_" dataDxfId="87" dataCellStyle="Milliers"/>
    <tableColumn id="127" name="624: frais de _x000a_transports sur achats/films" dataDxfId="86" dataCellStyle="Milliers"/>
    <tableColumn id="217" name="Transports sur films" dataDxfId="85"/>
    <tableColumn id="218" name="autres " dataDxfId="84"/>
    <tableColumn id="128" name="Frais de déplacement et restauration" dataDxfId="83" dataCellStyle="Milliers">
      <calculatedColumnFormula>SUM(EM6:ES6)</calculatedColumnFormula>
    </tableColumn>
    <tableColumn id="129" name="Frais de déplacement" dataDxfId="82" dataCellStyle="Milliers"/>
    <tableColumn id="212" name="Mission et reception"/>
    <tableColumn id="222" name="Frais de séminaire et colloque"/>
    <tableColumn id="221" name="Location véhicule"/>
    <tableColumn id="220" name="Entretiens et réparation véhicule"/>
    <tableColumn id="219" name="Carburants"/>
    <tableColumn id="132" name="Autres ou _x000a_non précisé _x000a_17" dataDxfId="81" dataCellStyle="Milliers"/>
    <tableColumn id="133" name="Frais postaux, télécommunications" dataDxfId="80" dataCellStyle="Milliers">
      <calculatedColumnFormula>SUM(EU6:EY6)</calculatedColumnFormula>
    </tableColumn>
    <tableColumn id="134" name="Telephone" dataDxfId="79" dataCellStyle="Milliers"/>
    <tableColumn id="135" name="Internet" dataDxfId="78" dataCellStyle="Milliers"/>
    <tableColumn id="136" name="Télécommunication et postaux non précisée" dataDxfId="77" dataCellStyle="Milliers"/>
    <tableColumn id="137" name="Postaux" dataDxfId="76" dataCellStyle="Milliers"/>
    <tableColumn id="138" name="Autres ou non précisé2" dataDxfId="75" dataCellStyle="Milliers"/>
    <tableColumn id="139" name="Services bancaires et assimilés" dataDxfId="74" dataCellStyle="Milliers">
      <calculatedColumnFormula>SUM(FA6:FB6)</calculatedColumnFormula>
    </tableColumn>
    <tableColumn id="140" name="Frais sur CB" dataDxfId="73" dataCellStyle="Milliers"/>
    <tableColumn id="141" name="Services bancaires" dataDxfId="72" dataCellStyle="Milliers"/>
    <tableColumn id="142" name="Cotisations" dataDxfId="71" dataCellStyle="Milliers">
      <calculatedColumnFormula>SUM(FD6:FD6)</calculatedColumnFormula>
    </tableColumn>
    <tableColumn id="144" name="Cotisations2" dataDxfId="70" dataCellStyle="Milliers"/>
    <tableColumn id="145" name="Impots, taxes et versements assimilés" dataDxfId="69" dataCellStyle="Milliers">
      <calculatedColumnFormula>SUM(FF6,FJ6)</calculatedColumnFormula>
    </tableColumn>
    <tableColumn id="146" name="Impots et taxes _x000a_sur rémunération" dataDxfId="68" dataCellStyle="Milliers">
      <calculatedColumnFormula>SUM(FG6:FI6)</calculatedColumnFormula>
    </tableColumn>
    <tableColumn id="147" name="Formation professionnelle continue" dataDxfId="67" dataCellStyle="Milliers"/>
    <tableColumn id="148" name="Taxe d'apprentissage" dataDxfId="66" dataCellStyle="Milliers"/>
    <tableColumn id="149" name="Autres ou non précisé21" dataDxfId="65" dataCellStyle="Milliers"/>
    <tableColumn id="150" name="Autres Impots et taxes" dataDxfId="64" dataCellStyle="Milliers">
      <calculatedColumnFormula>SUM(FK6:FN6)</calculatedColumnFormula>
    </tableColumn>
    <tableColumn id="183" name="CVAE+CFE=CET" dataDxfId="63" dataCellStyle="Milliers"/>
    <tableColumn id="153" name="Taxe foncière" dataDxfId="62" dataCellStyle="Milliers"/>
    <tableColumn id="154" name="Cotisations CNC" dataDxfId="61" dataCellStyle="Milliers"/>
    <tableColumn id="155" name="Autres ou non précisé22" dataDxfId="60" dataCellStyle="Milliers"/>
    <tableColumn id="156" name="Charges de personnel" dataDxfId="59" dataCellStyle="Milliers">
      <calculatedColumnFormula>SUM(FP6:FR6)</calculatedColumnFormula>
    </tableColumn>
    <tableColumn id="157" name="Salaires et traitements " dataDxfId="58" dataCellStyle="Milliers"/>
    <tableColumn id="158" name="Charges sociales" dataDxfId="57" dataCellStyle="Milliers"/>
    <tableColumn id="159" name="Autres ou non précisé23" dataDxfId="56" dataCellStyle="Milliers"/>
    <tableColumn id="160" name="Dotations d'exploitation" dataDxfId="55" dataCellStyle="Milliers">
      <calculatedColumnFormula>SUM(FT6:FU6)</calculatedColumnFormula>
    </tableColumn>
    <tableColumn id="161" name="Amortissements immobilisations incorporelles &amp;  corporelles" dataDxfId="54" dataCellStyle="Milliers"/>
    <tableColumn id="162" name="Autres ou non précisé24" dataDxfId="53" dataCellStyle="Milliers"/>
    <tableColumn id="163" name="Autres charges " dataDxfId="52" dataCellStyle="Milliers">
      <calculatedColumnFormula>SUM(Tableau1[[#This Row],[Droits d''auteurs SACEM + cotisations SACEM]:[Autres ou non préciés]])</calculatedColumnFormula>
    </tableColumn>
    <tableColumn id="164" name="Somme SACEM,SPRE" dataDxfId="51" dataCellStyle="Milliers">
      <calculatedColumnFormula>SUM(FX6:FZ6)</calculatedColumnFormula>
    </tableColumn>
    <tableColumn id="214" name="Droits d'auteurs SACEM + cotisations SACEM"/>
    <tableColumn id="166" name="SPRE rémunération" dataDxfId="50" dataCellStyle="Milliers"/>
    <tableColumn id="167" name="SPRE, SACEM non précisé " dataDxfId="49" dataCellStyle="Milliers"/>
    <tableColumn id="168" name="Autres ou non préciés" dataDxfId="48" dataCellStyle="Milliers"/>
    <tableColumn id="169" name="Charges _x000a_financières" dataDxfId="47" dataCellStyle="Milliers">
      <calculatedColumnFormula>SUM(GC6:GD6)</calculatedColumnFormula>
    </tableColumn>
    <tableColumn id="170" name="Intérets sur emprunts" dataDxfId="46"/>
    <tableColumn id="171" name="Autres ou non précisé25" dataDxfId="45"/>
    <tableColumn id="172" name="Charges exceptionnelles" dataDxfId="44" dataCellStyle="Milliers">
      <calculatedColumnFormula>SUM(GF6:GI6)</calculatedColumnFormula>
    </tableColumn>
    <tableColumn id="173" name="Charges exceptionnelles _x000a_sur opérations de gestion" dataDxfId="43"/>
    <tableColumn id="181" name="Charges exceptionnelles _x000a_sur opérations en capital "/>
    <tableColumn id="187" name="Autres charges _x000a_exceptionnelles"/>
    <tableColumn id="174" name="Dot aux amort_x000a_ et prov excep" dataDxfId="42"/>
    <tableColumn id="175" name="impôts sur les bénéfices" dataDxfId="41"/>
  </tableColumns>
  <tableStyleInfo showFirstColumn="0" showLastColumn="0" showRowStripes="1" showColumnStripes="0"/>
</table>
</file>

<file path=xl/tables/table2.xml><?xml version="1.0" encoding="utf-8"?>
<table xmlns="http://schemas.openxmlformats.org/spreadsheetml/2006/main" id="7" name="Tableau7" displayName="Tableau7" ref="A3:R497" totalsRowShown="0" headerRowDxfId="38" headerRowBorderDxfId="37" tableBorderDxfId="36" totalsRowBorderDxfId="35">
  <autoFilter ref="A3:R497"/>
  <sortState ref="A4:R500">
    <sortCondition descending="1" ref="B3:B500"/>
  </sortState>
  <tableColumns count="18">
    <tableColumn id="1" name="n°complexe ou n°auto " dataDxfId="34">
      <calculatedColumnFormula>Base_Données!A6</calculatedColumnFormula>
    </tableColumn>
    <tableColumn id="2" name="RAISON SOCIALE" dataDxfId="33">
      <calculatedColumnFormula>Base_Données!B6</calculatedColumnFormula>
    </tableColumn>
    <tableColumn id="3" name="Année d'exercice" dataDxfId="32">
      <calculatedColumnFormula>Base_Données!C6</calculatedColumnFormula>
    </tableColumn>
    <tableColumn id="4" name="Total des comptes des produits " dataDxfId="31">
      <calculatedColumnFormula>Base_Données!Q6</calculatedColumnFormula>
    </tableColumn>
    <tableColumn id="5" name="Total des comptes de charges " dataDxfId="30">
      <calculatedColumnFormula>Base_Données!BR6</calculatedColumnFormula>
    </tableColumn>
    <tableColumn id="6" name="Total Produits d'exploitation" dataDxfId="29">
      <calculatedColumnFormula>Base_Données!R6</calculatedColumnFormula>
    </tableColumn>
    <tableColumn id="7" name="Total charges d'exploitation" dataDxfId="28">
      <calculatedColumnFormula>Base_Données!BS6</calculatedColumnFormula>
    </tableColumn>
    <tableColumn id="8" name="Résultat d'exploitation" dataDxfId="27">
      <calculatedColumnFormula>SIG!F4-SIG!G4</calculatedColumnFormula>
    </tableColumn>
    <tableColumn id="9" name="Résultat financier " dataDxfId="26">
      <calculatedColumnFormula>Base_Données!BI6+Base_Données!BJ6-Base_Données!GC6-Base_Données!GD6</calculatedColumnFormula>
    </tableColumn>
    <tableColumn id="10" name="Résultat courant avant impôt" dataDxfId="25">
      <calculatedColumnFormula>H4+(I4)</calculatedColumnFormula>
    </tableColumn>
    <tableColumn id="11" name="Résultat exceptionnel" dataDxfId="24">
      <calculatedColumnFormula>Base_Données!BK6-Base_Données!GE6</calculatedColumnFormula>
    </tableColumn>
    <tableColumn id="12" name="Résultat net " dataDxfId="23">
      <calculatedColumnFormula>D4-E4</calculatedColumnFormula>
    </tableColumn>
    <tableColumn id="13" name="Chiffre d'affaires nets " dataDxfId="22">
      <calculatedColumnFormula>Base_Données!S6</calculatedColumnFormula>
    </tableColumn>
    <tableColumn id="14" name="Marge commerciale" dataDxfId="21">
      <calculatedColumnFormula>Base_Données!T6-(Base_Données!BU6+Base_Données!BZ6+Base_Données!CC6)</calculatedColumnFormula>
    </tableColumn>
    <tableColumn id="15" name="Marge production" dataDxfId="20">
      <calculatedColumnFormula>Base_Données!AC6+Base_Données!AL6-(Base_Données!CI6)</calculatedColumnFormula>
    </tableColumn>
    <tableColumn id="16" name="Valeur ajoutée" dataDxfId="19">
      <calculatedColumnFormula>L4+Base_Données!GJ6+Base_Données!GE6+Base_Données!GB6+Base_Données!FV6+Base_Données!FS6+Base_Données!FO6+Base_Données!FE6-(Base_Données!BK6+Base_Données!BH6+Base_Données!AU6)</calculatedColumnFormula>
    </tableColumn>
    <tableColumn id="17" name="EBE" dataDxfId="18">
      <calculatedColumnFormula>P4+Base_Données!AV6-Base_Données!FE6-Base_Données!FO6</calculatedColumnFormula>
    </tableColumn>
    <tableColumn id="18" name="CAF" dataDxfId="17">
      <calculatedColumnFormula>SIG!Q4+Base_Données!BD6+Base_Données!BH6+Base_Données!BL6+Base_Données!BM6+Base_Données!BN6-Base_Données!GB6-Base_Données!GJ6-Base_Données!GF6</calculatedColumnFormula>
    </tableColumn>
  </tableColumns>
  <tableStyleInfo name="TableStyleMedium4" showFirstColumn="0" showLastColumn="0" showRowStripes="1" showColumnStripes="0"/>
</table>
</file>

<file path=xl/tables/table3.xml><?xml version="1.0" encoding="utf-8"?>
<table xmlns="http://schemas.openxmlformats.org/spreadsheetml/2006/main" id="2" name="Tableau2" displayName="Tableau2" ref="O1:P111" totalsRowShown="0" headerRowDxfId="15" headerRowBorderDxfId="14" tableBorderDxfId="13" totalsRowBorderDxfId="12">
  <autoFilter ref="O1:P111"/>
  <sortState ref="O2:P111">
    <sortCondition ref="O1:O111"/>
  </sortState>
  <tableColumns count="2">
    <tableColumn id="1" name="Poste" dataDxfId="11"/>
    <tableColumn id="2" name="Compte" dataDxfId="10"/>
  </tableColumns>
  <tableStyleInfo name="TableStyleMedium2" showFirstColumn="0" showLastColumn="0" showRowStripes="1" showColumnStripes="0"/>
</table>
</file>

<file path=xl/tables/table4.xml><?xml version="1.0" encoding="utf-8"?>
<table xmlns="http://schemas.openxmlformats.org/spreadsheetml/2006/main" id="3" name="Tableau4" displayName="Tableau4" ref="K1:K7" totalsRowShown="0" headerRowDxfId="9">
  <autoFilter ref="K1:K7"/>
  <tableColumns count="1">
    <tableColumn id="1" name="Année d'exercice"/>
  </tableColumns>
  <tableStyleInfo name="TableStyleMedium2" showFirstColumn="0" showLastColumn="0" showRowStripes="1" showColumnStripes="0"/>
</table>
</file>

<file path=xl/tables/table5.xml><?xml version="1.0" encoding="utf-8"?>
<table xmlns="http://schemas.openxmlformats.org/spreadsheetml/2006/main" id="6" name="Tableau6" displayName="Tableau6" ref="M1:M24" totalsRowShown="0" headerRowDxfId="8" headerRowBorderDxfId="7" tableBorderDxfId="6" totalsRowBorderDxfId="5">
  <autoFilter ref="M1:M24"/>
  <tableColumns count="1">
    <tableColumn id="1" name="Nombre de salle" dataDxfId="4"/>
  </tableColumns>
  <tableStyleInfo name="TableStyleMedium2" showFirstColumn="0" showLastColumn="0" showRowStripes="1" showColumnStripes="0"/>
</table>
</file>

<file path=xl/tables/table6.xml><?xml version="1.0" encoding="utf-8"?>
<table xmlns="http://schemas.openxmlformats.org/spreadsheetml/2006/main" id="4" name="Tableau5" displayName="Tableau5" ref="B3:B13" totalsRowShown="0" headerRowDxfId="3" dataDxfId="2" tableBorderDxfId="1">
  <autoFilter ref="B3:B13"/>
  <tableColumns count="1">
    <tableColumn id="1" name="Colonne1"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5.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4.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40.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trlProp" Target="../ctrlProps/ctrlProp39.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5.xml"/><Relationship Id="rId13" Type="http://schemas.openxmlformats.org/officeDocument/2006/relationships/image" Target="../media/image17.emf"/><Relationship Id="rId3" Type="http://schemas.openxmlformats.org/officeDocument/2006/relationships/vmlDrawing" Target="../drawings/vmlDrawing6.vml"/><Relationship Id="rId7" Type="http://schemas.openxmlformats.org/officeDocument/2006/relationships/image" Target="../media/image14.emf"/><Relationship Id="rId12" Type="http://schemas.openxmlformats.org/officeDocument/2006/relationships/control" Target="../activeX/activeX17.xml"/><Relationship Id="rId2" Type="http://schemas.openxmlformats.org/officeDocument/2006/relationships/drawing" Target="../drawings/drawing5.xml"/><Relationship Id="rId16" Type="http://schemas.openxmlformats.org/officeDocument/2006/relationships/comments" Target="../comments3.xml"/><Relationship Id="rId1" Type="http://schemas.openxmlformats.org/officeDocument/2006/relationships/printerSettings" Target="../printerSettings/printerSettings6.bin"/><Relationship Id="rId6" Type="http://schemas.openxmlformats.org/officeDocument/2006/relationships/control" Target="../activeX/activeX14.xml"/><Relationship Id="rId11" Type="http://schemas.openxmlformats.org/officeDocument/2006/relationships/image" Target="../media/image16.emf"/><Relationship Id="rId5" Type="http://schemas.openxmlformats.org/officeDocument/2006/relationships/image" Target="../media/image13.emf"/><Relationship Id="rId15" Type="http://schemas.openxmlformats.org/officeDocument/2006/relationships/image" Target="../media/image18.emf"/><Relationship Id="rId10" Type="http://schemas.openxmlformats.org/officeDocument/2006/relationships/control" Target="../activeX/activeX16.xml"/><Relationship Id="rId4" Type="http://schemas.openxmlformats.org/officeDocument/2006/relationships/control" Target="../activeX/activeX13.xml"/><Relationship Id="rId9" Type="http://schemas.openxmlformats.org/officeDocument/2006/relationships/image" Target="../media/image15.emf"/><Relationship Id="rId14" Type="http://schemas.openxmlformats.org/officeDocument/2006/relationships/control" Target="../activeX/activeX18.xml"/></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7" Type="http://schemas.openxmlformats.org/officeDocument/2006/relationships/comments" Target="../comments4.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GJ499"/>
  <sheetViews>
    <sheetView zoomScale="70" zoomScaleNormal="70" workbookViewId="0">
      <pane xSplit="3" ySplit="5" topLeftCell="D43" activePane="bottomRight" state="frozen"/>
      <selection pane="topRight" activeCell="D1" sqref="D1"/>
      <selection pane="bottomLeft" activeCell="A6" sqref="A6"/>
      <selection pane="bottomRight" activeCell="A56" sqref="A56"/>
    </sheetView>
  </sheetViews>
  <sheetFormatPr baseColWidth="10" defaultRowHeight="15" x14ac:dyDescent="0.25"/>
  <cols>
    <col min="1" max="1" width="21.7109375" customWidth="1"/>
    <col min="2" max="2" width="33.28515625" customWidth="1"/>
    <col min="3" max="3" width="12.140625" customWidth="1"/>
    <col min="4" max="4" width="11.7109375" customWidth="1"/>
    <col min="5" max="5" width="18.85546875" customWidth="1"/>
    <col min="6" max="6" width="9.85546875" customWidth="1"/>
    <col min="7" max="7" width="10.42578125" customWidth="1"/>
    <col min="8" max="8" width="25" customWidth="1"/>
    <col min="9" max="9" width="12.28515625" customWidth="1"/>
    <col min="10" max="10" width="23.140625" bestFit="1" customWidth="1"/>
    <col min="11" max="11" width="12.28515625" customWidth="1"/>
    <col min="12" max="12" width="11.140625" customWidth="1"/>
    <col min="13" max="13" width="12.140625" customWidth="1"/>
    <col min="14" max="14" width="20.140625" customWidth="1"/>
    <col min="15" max="15" width="27.5703125" customWidth="1"/>
    <col min="16" max="16" width="25.140625" customWidth="1"/>
    <col min="17" max="17" width="28.5703125" customWidth="1"/>
    <col min="18" max="18" width="26.28515625" customWidth="1"/>
    <col min="19" max="19" width="19.42578125" customWidth="1"/>
    <col min="20" max="20" width="19.5703125" customWidth="1"/>
    <col min="21" max="21" width="21.28515625" customWidth="1"/>
    <col min="22" max="22" width="15.140625" customWidth="1"/>
    <col min="23" max="23" width="13.42578125" customWidth="1"/>
    <col min="24" max="24" width="16.28515625" customWidth="1"/>
    <col min="25" max="25" width="14.5703125" customWidth="1"/>
    <col min="26" max="27" width="13.85546875" customWidth="1"/>
    <col min="28" max="28" width="13.7109375" customWidth="1"/>
    <col min="29" max="29" width="21.140625" customWidth="1"/>
    <col min="30" max="30" width="15.42578125" customWidth="1"/>
    <col min="31" max="31" width="21.5703125" customWidth="1"/>
    <col min="32" max="32" width="14.85546875" customWidth="1"/>
    <col min="33" max="33" width="16.42578125" customWidth="1"/>
    <col min="34" max="34" width="17.5703125" customWidth="1"/>
    <col min="35" max="35" width="14.85546875" customWidth="1"/>
    <col min="36" max="36" width="19" customWidth="1"/>
    <col min="37" max="37" width="16" customWidth="1"/>
    <col min="38" max="38" width="21.85546875" customWidth="1"/>
    <col min="39" max="39" width="15.42578125" customWidth="1"/>
    <col min="40" max="40" width="15" customWidth="1"/>
    <col min="41" max="41" width="13.5703125" customWidth="1"/>
    <col min="42" max="42" width="24.42578125" customWidth="1"/>
    <col min="43" max="43" width="15.85546875" customWidth="1"/>
    <col min="44" max="44" width="15.140625" customWidth="1"/>
    <col min="45" max="45" width="18.5703125" customWidth="1"/>
    <col min="46" max="46" width="16.140625" customWidth="1"/>
    <col min="47" max="47" width="24.7109375" customWidth="1"/>
    <col min="48" max="48" width="18.5703125" customWidth="1"/>
    <col min="49" max="49" width="21.42578125" customWidth="1"/>
    <col min="50" max="50" width="17.42578125" customWidth="1"/>
    <col min="51" max="51" width="16.42578125" customWidth="1"/>
    <col min="52" max="52" width="27.28515625" customWidth="1"/>
    <col min="53" max="53" width="15.42578125" customWidth="1"/>
    <col min="54" max="54" width="15.85546875" customWidth="1"/>
    <col min="55" max="55" width="15" customWidth="1"/>
    <col min="56" max="56" width="15.7109375" customWidth="1"/>
    <col min="57" max="57" width="23.140625" customWidth="1"/>
    <col min="58" max="58" width="28.42578125" customWidth="1"/>
    <col min="59" max="59" width="19.140625" customWidth="1"/>
    <col min="60" max="60" width="26.5703125" customWidth="1"/>
    <col min="61" max="61" width="29.28515625" customWidth="1"/>
    <col min="62" max="62" width="30.140625" customWidth="1"/>
    <col min="63" max="63" width="31.5703125" customWidth="1"/>
    <col min="64" max="64" width="23.5703125" customWidth="1"/>
    <col min="65" max="65" width="24.140625" customWidth="1"/>
    <col min="66" max="66" width="25.140625" customWidth="1"/>
    <col min="67" max="67" width="34.42578125" customWidth="1"/>
    <col min="68" max="68" width="25.5703125" customWidth="1"/>
    <col min="69" max="69" width="25.28515625" customWidth="1"/>
    <col min="70" max="70" width="28" customWidth="1"/>
    <col min="71" max="71" width="27.5703125" customWidth="1"/>
    <col min="72" max="72" width="13.85546875" customWidth="1"/>
    <col min="73" max="73" width="19.140625" customWidth="1"/>
    <col min="74" max="74" width="18.5703125" customWidth="1"/>
    <col min="75" max="75" width="17.42578125" customWidth="1"/>
    <col min="76" max="76" width="15.85546875" customWidth="1"/>
    <col min="77" max="80" width="22.85546875" customWidth="1"/>
    <col min="81" max="81" width="23.140625" customWidth="1"/>
    <col min="82" max="82" width="19.5703125" customWidth="1"/>
    <col min="83" max="83" width="19.28515625" customWidth="1"/>
    <col min="84" max="84" width="18.85546875" customWidth="1"/>
    <col min="85" max="85" width="18.42578125" customWidth="1"/>
    <col min="86" max="86" width="33.5703125" customWidth="1"/>
    <col min="87" max="87" width="29.140625" customWidth="1"/>
    <col min="88" max="88" width="13.5703125" bestFit="1" customWidth="1"/>
    <col min="89" max="89" width="16.5703125" customWidth="1"/>
    <col min="90" max="90" width="13" customWidth="1"/>
    <col min="91" max="91" width="14.28515625" customWidth="1"/>
    <col min="92" max="92" width="17.42578125" customWidth="1"/>
    <col min="93" max="93" width="26.7109375" customWidth="1"/>
    <col min="94" max="94" width="18" customWidth="1"/>
    <col min="95" max="95" width="15.28515625" customWidth="1"/>
    <col min="96" max="96" width="11.85546875" customWidth="1"/>
    <col min="97" max="98" width="11.5703125" customWidth="1"/>
    <col min="99" max="99" width="33.140625" customWidth="1"/>
    <col min="100" max="100" width="25.140625" customWidth="1"/>
    <col min="101" max="101" width="22.140625" customWidth="1"/>
    <col min="102" max="103" width="14.140625" customWidth="1"/>
    <col min="104" max="104" width="16.7109375" customWidth="1"/>
    <col min="105" max="105" width="14.85546875" customWidth="1"/>
    <col min="106" max="106" width="27.140625" customWidth="1"/>
    <col min="107" max="107" width="23.7109375" customWidth="1"/>
    <col min="108" max="108" width="28.5703125" customWidth="1"/>
    <col min="109" max="109" width="20.140625" customWidth="1"/>
    <col min="110" max="110" width="21" customWidth="1"/>
    <col min="111" max="111" width="19.42578125" customWidth="1"/>
    <col min="112" max="112" width="17.28515625" customWidth="1"/>
    <col min="113" max="113" width="28.85546875" customWidth="1"/>
    <col min="114" max="114" width="21.85546875" customWidth="1"/>
    <col min="115" max="115" width="15" customWidth="1"/>
    <col min="116" max="116" width="15.28515625" customWidth="1"/>
    <col min="117" max="117" width="13.85546875" customWidth="1"/>
    <col min="118" max="118" width="23.85546875" customWidth="1"/>
    <col min="119" max="119" width="22.7109375" customWidth="1"/>
    <col min="120" max="120" width="30.85546875" customWidth="1"/>
    <col min="121" max="121" width="20.7109375" customWidth="1"/>
    <col min="122" max="122" width="14.85546875" customWidth="1"/>
    <col min="123" max="123" width="20.140625" customWidth="1"/>
    <col min="124" max="124" width="16.7109375" customWidth="1"/>
    <col min="125" max="125" width="14.42578125" customWidth="1"/>
    <col min="126" max="126" width="13.85546875" customWidth="1"/>
    <col min="127" max="127" width="22.5703125" customWidth="1"/>
    <col min="128" max="128" width="20.42578125" customWidth="1"/>
    <col min="129" max="129" width="22" customWidth="1"/>
    <col min="130" max="131" width="16.140625" customWidth="1"/>
    <col min="132" max="132" width="14.42578125" customWidth="1"/>
    <col min="133" max="133" width="23.5703125" customWidth="1"/>
    <col min="134" max="134" width="24.5703125" customWidth="1"/>
    <col min="135" max="135" width="21.140625" customWidth="1"/>
    <col min="136" max="136" width="15.85546875" customWidth="1"/>
    <col min="137" max="137" width="14.140625" customWidth="1"/>
    <col min="138" max="138" width="12.85546875" customWidth="1"/>
    <col min="139" max="139" width="27.85546875" customWidth="1"/>
    <col min="140" max="140" width="17.42578125" customWidth="1"/>
    <col min="141" max="141" width="11.5703125" customWidth="1"/>
    <col min="142" max="142" width="18.28515625" customWidth="1"/>
    <col min="143" max="143" width="15.28515625" customWidth="1"/>
    <col min="144" max="144" width="11.85546875" customWidth="1"/>
    <col min="145" max="145" width="17.85546875" customWidth="1"/>
    <col min="146" max="146" width="11.28515625" customWidth="1"/>
    <col min="147" max="147" width="18.140625" customWidth="1"/>
    <col min="148" max="148" width="11.85546875" customWidth="1"/>
    <col min="149" max="149" width="13.42578125" customWidth="1"/>
    <col min="150" max="150" width="22.42578125" customWidth="1"/>
    <col min="151" max="151" width="15.28515625" customWidth="1"/>
    <col min="152" max="152" width="12" customWidth="1"/>
    <col min="153" max="153" width="21.28515625" customWidth="1"/>
    <col min="154" max="154" width="13.140625" customWidth="1"/>
    <col min="155" max="155" width="14" customWidth="1"/>
    <col min="156" max="156" width="23.7109375" customWidth="1"/>
    <col min="157" max="157" width="20.5703125" customWidth="1"/>
    <col min="158" max="158" width="17" customWidth="1"/>
    <col min="159" max="159" width="23.28515625" customWidth="1"/>
    <col min="160" max="160" width="14" customWidth="1"/>
    <col min="161" max="161" width="23.28515625" customWidth="1"/>
    <col min="162" max="162" width="19.7109375" customWidth="1"/>
    <col min="163" max="163" width="19.28515625" customWidth="1"/>
    <col min="164" max="164" width="18.28515625" customWidth="1"/>
    <col min="165" max="165" width="15.42578125" customWidth="1"/>
    <col min="166" max="166" width="23.28515625" customWidth="1"/>
    <col min="167" max="167" width="20" customWidth="1"/>
    <col min="168" max="168" width="17.42578125" customWidth="1"/>
    <col min="169" max="169" width="14.28515625" customWidth="1"/>
    <col min="170" max="170" width="16.85546875" customWidth="1"/>
    <col min="171" max="171" width="38.140625" customWidth="1"/>
    <col min="172" max="172" width="30.140625" customWidth="1"/>
    <col min="173" max="173" width="19.42578125" customWidth="1"/>
    <col min="174" max="174" width="22.42578125" customWidth="1"/>
    <col min="175" max="175" width="30.140625" customWidth="1"/>
    <col min="176" max="176" width="36.42578125" customWidth="1"/>
    <col min="177" max="177" width="28.140625" customWidth="1"/>
    <col min="178" max="178" width="30.140625" customWidth="1"/>
    <col min="179" max="179" width="20.5703125" customWidth="1"/>
    <col min="180" max="180" width="23.140625" customWidth="1"/>
    <col min="181" max="181" width="21.85546875" customWidth="1"/>
    <col min="182" max="182" width="19.5703125" customWidth="1"/>
    <col min="183" max="183" width="26" customWidth="1"/>
    <col min="184" max="184" width="21.42578125" customWidth="1"/>
    <col min="185" max="185" width="19.5703125" bestFit="1" customWidth="1"/>
    <col min="186" max="186" width="26.140625" customWidth="1"/>
    <col min="187" max="187" width="22.85546875" customWidth="1"/>
    <col min="188" max="188" width="31" customWidth="1"/>
    <col min="189" max="189" width="28.5703125" customWidth="1"/>
    <col min="190" max="190" width="22.7109375" customWidth="1"/>
    <col min="191" max="191" width="33.42578125" customWidth="1"/>
    <col min="192" max="192" width="27.85546875" customWidth="1"/>
    <col min="193" max="16384" width="11.42578125" style="213"/>
  </cols>
  <sheetData>
    <row r="1" spans="1:192" ht="14.45" customHeight="1" x14ac:dyDescent="0.25">
      <c r="A1" s="148" t="s">
        <v>186</v>
      </c>
      <c r="B1" s="148" t="s">
        <v>187</v>
      </c>
      <c r="C1" s="182"/>
      <c r="D1" s="403" t="s">
        <v>388</v>
      </c>
      <c r="E1" s="404"/>
      <c r="F1" s="404"/>
      <c r="G1" s="405"/>
      <c r="H1" s="403" t="s">
        <v>259</v>
      </c>
      <c r="I1" s="404"/>
      <c r="J1" s="405"/>
      <c r="K1" s="416" t="s">
        <v>454</v>
      </c>
      <c r="L1" s="417"/>
      <c r="M1" s="401"/>
      <c r="N1" s="402"/>
      <c r="O1" s="11"/>
      <c r="P1" s="211"/>
      <c r="Q1" s="347" t="s">
        <v>220</v>
      </c>
      <c r="R1" s="348"/>
      <c r="S1" s="353" t="s">
        <v>45</v>
      </c>
      <c r="T1" s="353"/>
      <c r="U1" s="353"/>
      <c r="V1" s="353"/>
      <c r="W1" s="353"/>
      <c r="X1" s="353"/>
      <c r="Y1" s="353"/>
      <c r="Z1" s="353"/>
      <c r="AA1" s="353"/>
      <c r="AB1" s="353"/>
      <c r="AC1" s="353"/>
      <c r="AD1" s="353"/>
      <c r="AE1" s="353"/>
      <c r="AF1" s="353"/>
      <c r="AG1" s="353"/>
      <c r="AH1" s="353"/>
      <c r="AI1" s="353"/>
      <c r="AJ1" s="353"/>
      <c r="AK1" s="353"/>
      <c r="AL1" s="353"/>
      <c r="AM1" s="353"/>
      <c r="AN1" s="353"/>
      <c r="AO1" s="353"/>
      <c r="AP1" s="353"/>
      <c r="AQ1" s="353"/>
      <c r="AR1" s="353"/>
      <c r="AS1" s="353"/>
      <c r="AT1" s="353"/>
      <c r="AU1" s="349" t="s">
        <v>47</v>
      </c>
      <c r="AV1" s="349"/>
      <c r="AW1" s="349"/>
      <c r="AX1" s="349"/>
      <c r="AY1" s="349"/>
      <c r="AZ1" s="349"/>
      <c r="BA1" s="349"/>
      <c r="BB1" s="349"/>
      <c r="BC1" s="349"/>
      <c r="BD1" s="349"/>
      <c r="BE1" s="349"/>
      <c r="BF1" s="349"/>
      <c r="BG1" s="349"/>
      <c r="BH1" s="352" t="s">
        <v>112</v>
      </c>
      <c r="BI1" s="352"/>
      <c r="BJ1" s="352"/>
      <c r="BK1" s="349" t="s">
        <v>48</v>
      </c>
      <c r="BL1" s="349"/>
      <c r="BM1" s="349"/>
      <c r="BN1" s="349"/>
      <c r="BO1" s="349"/>
      <c r="BP1" s="349"/>
      <c r="BQ1" s="349"/>
      <c r="BR1" s="350" t="s">
        <v>223</v>
      </c>
      <c r="BS1" s="351"/>
      <c r="BT1" s="352" t="s">
        <v>49</v>
      </c>
      <c r="BU1" s="352"/>
      <c r="BV1" s="352"/>
      <c r="BW1" s="352"/>
      <c r="BX1" s="352"/>
      <c r="BY1" s="352"/>
      <c r="BZ1" s="352"/>
      <c r="CA1" s="352"/>
      <c r="CB1" s="352"/>
      <c r="CC1" s="352"/>
      <c r="CD1" s="352"/>
      <c r="CE1" s="352"/>
      <c r="CF1" s="352"/>
      <c r="CG1" s="352"/>
      <c r="CH1" s="349" t="s">
        <v>73</v>
      </c>
      <c r="CI1" s="349"/>
      <c r="CJ1" s="349"/>
      <c r="CK1" s="349"/>
      <c r="CL1" s="349"/>
      <c r="CM1" s="349"/>
      <c r="CN1" s="349"/>
      <c r="CO1" s="349"/>
      <c r="CP1" s="349"/>
      <c r="CQ1" s="349"/>
      <c r="CR1" s="349"/>
      <c r="CS1" s="349"/>
      <c r="CT1" s="349"/>
      <c r="CU1" s="349"/>
      <c r="CV1" s="349"/>
      <c r="CW1" s="349"/>
      <c r="CX1" s="349" t="s">
        <v>73</v>
      </c>
      <c r="CY1" s="349"/>
      <c r="CZ1" s="349"/>
      <c r="DA1" s="349"/>
      <c r="DB1" s="349"/>
      <c r="DC1" s="349"/>
      <c r="DD1" s="349"/>
      <c r="DE1" s="349"/>
      <c r="DF1" s="349"/>
      <c r="DG1" s="349"/>
      <c r="DH1" s="349"/>
      <c r="DI1" s="354" t="s">
        <v>73</v>
      </c>
      <c r="DJ1" s="355"/>
      <c r="DK1" s="355"/>
      <c r="DL1" s="355"/>
      <c r="DM1" s="355"/>
      <c r="DN1" s="355"/>
      <c r="DO1" s="355"/>
      <c r="DP1" s="355"/>
      <c r="DQ1" s="355"/>
      <c r="DR1" s="356"/>
      <c r="DS1" s="349" t="s">
        <v>73</v>
      </c>
      <c r="DT1" s="349"/>
      <c r="DU1" s="349"/>
      <c r="DV1" s="349"/>
      <c r="DW1" s="349"/>
      <c r="DX1" s="349"/>
      <c r="DY1" s="349"/>
      <c r="DZ1" s="349"/>
      <c r="EA1" s="349"/>
      <c r="EB1" s="349"/>
      <c r="EC1" s="349"/>
      <c r="ED1" s="349"/>
      <c r="EE1" s="349"/>
      <c r="EF1" s="349"/>
      <c r="EG1" s="349"/>
      <c r="EH1" s="349"/>
      <c r="EI1" s="349" t="s">
        <v>73</v>
      </c>
      <c r="EJ1" s="349"/>
      <c r="EK1" s="349"/>
      <c r="EL1" s="349"/>
      <c r="EM1" s="349"/>
      <c r="EN1" s="349"/>
      <c r="EO1" s="349"/>
      <c r="EP1" s="349"/>
      <c r="EQ1" s="349"/>
      <c r="ER1" s="349"/>
      <c r="ES1" s="349"/>
      <c r="ET1" s="349"/>
      <c r="EU1" s="349"/>
      <c r="EV1" s="349"/>
      <c r="EW1" s="349"/>
      <c r="EX1" s="349"/>
      <c r="EY1" s="349"/>
      <c r="EZ1" s="349"/>
      <c r="FA1" s="349"/>
      <c r="FB1" s="349"/>
      <c r="FC1" s="349"/>
      <c r="FD1" s="349"/>
      <c r="FE1" s="352" t="s">
        <v>80</v>
      </c>
      <c r="FF1" s="352"/>
      <c r="FG1" s="352"/>
      <c r="FH1" s="352"/>
      <c r="FI1" s="352"/>
      <c r="FJ1" s="352"/>
      <c r="FK1" s="352"/>
      <c r="FL1" s="352"/>
      <c r="FM1" s="352"/>
      <c r="FN1" s="352"/>
      <c r="FO1" s="349" t="s">
        <v>83</v>
      </c>
      <c r="FP1" s="349"/>
      <c r="FQ1" s="349"/>
      <c r="FR1" s="349"/>
      <c r="FS1" s="360" t="s">
        <v>85</v>
      </c>
      <c r="FT1" s="360"/>
      <c r="FU1" s="360"/>
      <c r="FV1" s="349" t="s">
        <v>125</v>
      </c>
      <c r="FW1" s="349"/>
      <c r="FX1" s="349"/>
      <c r="FY1" s="349"/>
      <c r="FZ1" s="349"/>
      <c r="GA1" s="349"/>
      <c r="GB1" s="352" t="s">
        <v>188</v>
      </c>
      <c r="GC1" s="352"/>
      <c r="GD1" s="352"/>
      <c r="GE1" s="349" t="s">
        <v>91</v>
      </c>
      <c r="GF1" s="349"/>
      <c r="GG1" s="349"/>
      <c r="GH1" s="349"/>
      <c r="GI1" s="349"/>
      <c r="GJ1" s="10"/>
    </row>
    <row r="2" spans="1:192" ht="47.1" customHeight="1" x14ac:dyDescent="0.25">
      <c r="A2" s="151"/>
      <c r="B2" s="150"/>
      <c r="C2" s="183" t="s">
        <v>260</v>
      </c>
      <c r="D2" s="406" t="s">
        <v>353</v>
      </c>
      <c r="E2" s="407"/>
      <c r="F2" s="407"/>
      <c r="G2" s="408"/>
      <c r="H2" s="406" t="str">
        <f>VLOOKUP(D2,Tableau3,2,FALSE)</f>
        <v>627: frais bancaires (hors intérêts)</v>
      </c>
      <c r="I2" s="407"/>
      <c r="J2" s="408"/>
      <c r="K2" s="414" t="s">
        <v>419</v>
      </c>
      <c r="L2" s="415"/>
      <c r="M2" s="399"/>
      <c r="N2" s="400"/>
      <c r="O2" s="326"/>
      <c r="P2" s="11"/>
      <c r="Q2" s="348"/>
      <c r="R2" s="348"/>
      <c r="S2" s="353"/>
      <c r="T2" s="353"/>
      <c r="U2" s="353"/>
      <c r="V2" s="353"/>
      <c r="W2" s="353"/>
      <c r="X2" s="353"/>
      <c r="Y2" s="353"/>
      <c r="Z2" s="353"/>
      <c r="AA2" s="353"/>
      <c r="AB2" s="353"/>
      <c r="AC2" s="353"/>
      <c r="AD2" s="353"/>
      <c r="AE2" s="353"/>
      <c r="AF2" s="353"/>
      <c r="AG2" s="353"/>
      <c r="AH2" s="353"/>
      <c r="AI2" s="353"/>
      <c r="AJ2" s="353"/>
      <c r="AK2" s="353"/>
      <c r="AL2" s="353"/>
      <c r="AM2" s="353"/>
      <c r="AN2" s="353"/>
      <c r="AO2" s="353"/>
      <c r="AP2" s="353"/>
      <c r="AQ2" s="353"/>
      <c r="AR2" s="353"/>
      <c r="AS2" s="353"/>
      <c r="AT2" s="353"/>
      <c r="AU2" s="349"/>
      <c r="AV2" s="349"/>
      <c r="AW2" s="349"/>
      <c r="AX2" s="349"/>
      <c r="AY2" s="349"/>
      <c r="AZ2" s="349"/>
      <c r="BA2" s="349"/>
      <c r="BB2" s="349"/>
      <c r="BC2" s="349"/>
      <c r="BD2" s="349"/>
      <c r="BE2" s="349"/>
      <c r="BF2" s="349"/>
      <c r="BG2" s="349"/>
      <c r="BH2" s="352"/>
      <c r="BI2" s="352"/>
      <c r="BJ2" s="352"/>
      <c r="BK2" s="349"/>
      <c r="BL2" s="349"/>
      <c r="BM2" s="349"/>
      <c r="BN2" s="349"/>
      <c r="BO2" s="349"/>
      <c r="BP2" s="349"/>
      <c r="BQ2" s="349"/>
      <c r="BR2" s="351"/>
      <c r="BS2" s="351"/>
      <c r="BT2" s="352"/>
      <c r="BU2" s="352"/>
      <c r="BV2" s="352"/>
      <c r="BW2" s="352"/>
      <c r="BX2" s="352"/>
      <c r="BY2" s="352"/>
      <c r="BZ2" s="352"/>
      <c r="CA2" s="352"/>
      <c r="CB2" s="352"/>
      <c r="CC2" s="352"/>
      <c r="CD2" s="352"/>
      <c r="CE2" s="352"/>
      <c r="CF2" s="352"/>
      <c r="CG2" s="352"/>
      <c r="CH2" s="349"/>
      <c r="CI2" s="349"/>
      <c r="CJ2" s="349"/>
      <c r="CK2" s="349"/>
      <c r="CL2" s="349"/>
      <c r="CM2" s="349"/>
      <c r="CN2" s="349"/>
      <c r="CO2" s="349"/>
      <c r="CP2" s="349"/>
      <c r="CQ2" s="349"/>
      <c r="CR2" s="349"/>
      <c r="CS2" s="349"/>
      <c r="CT2" s="349"/>
      <c r="CU2" s="349"/>
      <c r="CV2" s="349"/>
      <c r="CW2" s="349"/>
      <c r="CX2" s="349"/>
      <c r="CY2" s="349"/>
      <c r="CZ2" s="349"/>
      <c r="DA2" s="349"/>
      <c r="DB2" s="349"/>
      <c r="DC2" s="349"/>
      <c r="DD2" s="349"/>
      <c r="DE2" s="349"/>
      <c r="DF2" s="349"/>
      <c r="DG2" s="349"/>
      <c r="DH2" s="349"/>
      <c r="DI2" s="357"/>
      <c r="DJ2" s="358"/>
      <c r="DK2" s="358"/>
      <c r="DL2" s="358"/>
      <c r="DM2" s="358"/>
      <c r="DN2" s="358"/>
      <c r="DO2" s="358"/>
      <c r="DP2" s="358"/>
      <c r="DQ2" s="358"/>
      <c r="DR2" s="359"/>
      <c r="DS2" s="349"/>
      <c r="DT2" s="349"/>
      <c r="DU2" s="349"/>
      <c r="DV2" s="349"/>
      <c r="DW2" s="349"/>
      <c r="DX2" s="349"/>
      <c r="DY2" s="349"/>
      <c r="DZ2" s="349"/>
      <c r="EA2" s="349"/>
      <c r="EB2" s="349"/>
      <c r="EC2" s="349"/>
      <c r="ED2" s="349"/>
      <c r="EE2" s="349"/>
      <c r="EF2" s="349"/>
      <c r="EG2" s="349"/>
      <c r="EH2" s="349"/>
      <c r="EI2" s="349"/>
      <c r="EJ2" s="349"/>
      <c r="EK2" s="349"/>
      <c r="EL2" s="349"/>
      <c r="EM2" s="349"/>
      <c r="EN2" s="349"/>
      <c r="EO2" s="349"/>
      <c r="EP2" s="349"/>
      <c r="EQ2" s="349"/>
      <c r="ER2" s="349"/>
      <c r="ES2" s="349"/>
      <c r="ET2" s="349"/>
      <c r="EU2" s="349"/>
      <c r="EV2" s="349"/>
      <c r="EW2" s="349"/>
      <c r="EX2" s="349"/>
      <c r="EY2" s="349"/>
      <c r="EZ2" s="349"/>
      <c r="FA2" s="349"/>
      <c r="FB2" s="349"/>
      <c r="FC2" s="349"/>
      <c r="FD2" s="349"/>
      <c r="FE2" s="352"/>
      <c r="FF2" s="352"/>
      <c r="FG2" s="352"/>
      <c r="FH2" s="352"/>
      <c r="FI2" s="352"/>
      <c r="FJ2" s="352"/>
      <c r="FK2" s="352"/>
      <c r="FL2" s="352"/>
      <c r="FM2" s="352"/>
      <c r="FN2" s="352"/>
      <c r="FO2" s="349"/>
      <c r="FP2" s="349"/>
      <c r="FQ2" s="349"/>
      <c r="FR2" s="349"/>
      <c r="FS2" s="360"/>
      <c r="FT2" s="360"/>
      <c r="FU2" s="360"/>
      <c r="FV2" s="349"/>
      <c r="FW2" s="349"/>
      <c r="FX2" s="349"/>
      <c r="FY2" s="349"/>
      <c r="FZ2" s="349"/>
      <c r="GA2" s="349"/>
      <c r="GB2" s="352"/>
      <c r="GC2" s="352"/>
      <c r="GD2" s="352"/>
      <c r="GE2" s="349"/>
      <c r="GF2" s="349"/>
      <c r="GG2" s="349"/>
      <c r="GH2" s="349"/>
      <c r="GI2" s="349"/>
      <c r="GJ2" s="193"/>
    </row>
    <row r="3" spans="1:192" ht="33.6" customHeight="1" x14ac:dyDescent="0.25">
      <c r="A3" s="149" t="s">
        <v>107</v>
      </c>
      <c r="B3" s="149"/>
      <c r="C3" s="411" t="s">
        <v>102</v>
      </c>
      <c r="D3" s="412"/>
      <c r="E3" s="412"/>
      <c r="F3" s="413"/>
      <c r="G3" s="369" t="s">
        <v>101</v>
      </c>
      <c r="H3" s="370"/>
      <c r="I3" s="370"/>
      <c r="J3" s="371"/>
      <c r="K3" s="409" t="s">
        <v>108</v>
      </c>
      <c r="L3" s="410"/>
      <c r="M3" s="388" t="s">
        <v>109</v>
      </c>
      <c r="N3" s="389"/>
      <c r="O3" s="389"/>
      <c r="P3" s="390"/>
      <c r="Q3" s="152"/>
      <c r="R3" s="153"/>
      <c r="S3" s="6"/>
      <c r="T3" s="380" t="s">
        <v>261</v>
      </c>
      <c r="U3" s="381"/>
      <c r="V3" s="381"/>
      <c r="W3" s="381"/>
      <c r="X3" s="381"/>
      <c r="Y3" s="381"/>
      <c r="Z3" s="381"/>
      <c r="AA3" s="381"/>
      <c r="AB3" s="382"/>
      <c r="AC3" s="385" t="s">
        <v>404</v>
      </c>
      <c r="AD3" s="386"/>
      <c r="AE3" s="386"/>
      <c r="AF3" s="386"/>
      <c r="AG3" s="386"/>
      <c r="AH3" s="386"/>
      <c r="AI3" s="386"/>
      <c r="AJ3" s="386"/>
      <c r="AK3" s="387"/>
      <c r="AL3" s="396" t="s">
        <v>46</v>
      </c>
      <c r="AM3" s="396"/>
      <c r="AN3" s="396"/>
      <c r="AO3" s="396"/>
      <c r="AP3" s="396" t="s">
        <v>526</v>
      </c>
      <c r="AQ3" s="396"/>
      <c r="AR3" s="396"/>
      <c r="AS3" s="396"/>
      <c r="AT3" s="396"/>
      <c r="AU3" s="7"/>
      <c r="AV3" s="391" t="s">
        <v>280</v>
      </c>
      <c r="AW3" s="392"/>
      <c r="AX3" s="392"/>
      <c r="AY3" s="393"/>
      <c r="AZ3" s="363" t="s">
        <v>281</v>
      </c>
      <c r="BA3" s="364"/>
      <c r="BB3" s="364"/>
      <c r="BC3" s="365"/>
      <c r="BD3" s="363" t="s">
        <v>285</v>
      </c>
      <c r="BE3" s="364"/>
      <c r="BF3" s="364"/>
      <c r="BG3" s="365"/>
      <c r="BH3" s="9"/>
      <c r="BI3" s="394" t="s">
        <v>289</v>
      </c>
      <c r="BJ3" s="395"/>
      <c r="BK3" s="8"/>
      <c r="BL3" s="197" t="s">
        <v>414</v>
      </c>
      <c r="BM3" s="197" t="s">
        <v>415</v>
      </c>
      <c r="BN3" s="197" t="s">
        <v>416</v>
      </c>
      <c r="BO3" s="197" t="s">
        <v>418</v>
      </c>
      <c r="BP3" s="197" t="s">
        <v>417</v>
      </c>
      <c r="BQ3" s="13"/>
      <c r="BR3" s="383"/>
      <c r="BS3" s="384"/>
      <c r="BT3" s="3"/>
      <c r="BU3" s="385" t="s">
        <v>50</v>
      </c>
      <c r="BV3" s="386"/>
      <c r="BW3" s="386"/>
      <c r="BX3" s="386"/>
      <c r="BY3" s="387"/>
      <c r="BZ3" s="385" t="s">
        <v>411</v>
      </c>
      <c r="CA3" s="386"/>
      <c r="CB3" s="387"/>
      <c r="CC3" s="385" t="s">
        <v>297</v>
      </c>
      <c r="CD3" s="386"/>
      <c r="CE3" s="386"/>
      <c r="CF3" s="386"/>
      <c r="CG3" s="387"/>
      <c r="CH3" s="5"/>
      <c r="CI3" s="372" t="s">
        <v>402</v>
      </c>
      <c r="CJ3" s="373"/>
      <c r="CK3" s="373"/>
      <c r="CL3" s="373"/>
      <c r="CM3" s="373"/>
      <c r="CN3" s="374"/>
      <c r="CO3" s="372" t="s">
        <v>182</v>
      </c>
      <c r="CP3" s="373"/>
      <c r="CQ3" s="373"/>
      <c r="CR3" s="373"/>
      <c r="CS3" s="373"/>
      <c r="CT3" s="373"/>
      <c r="CU3" s="373"/>
      <c r="CV3" s="373"/>
      <c r="CW3" s="374"/>
      <c r="CX3" s="366" t="s">
        <v>410</v>
      </c>
      <c r="CY3" s="367"/>
      <c r="CZ3" s="367"/>
      <c r="DA3" s="367"/>
      <c r="DB3" s="367"/>
      <c r="DC3" s="368"/>
      <c r="DD3" s="366" t="s">
        <v>408</v>
      </c>
      <c r="DE3" s="367"/>
      <c r="DF3" s="367"/>
      <c r="DG3" s="367"/>
      <c r="DH3" s="368"/>
      <c r="DI3" s="366" t="s">
        <v>407</v>
      </c>
      <c r="DJ3" s="367"/>
      <c r="DK3" s="367"/>
      <c r="DL3" s="368"/>
      <c r="DM3" s="366" t="s">
        <v>322</v>
      </c>
      <c r="DN3" s="367"/>
      <c r="DO3" s="368"/>
      <c r="DP3" s="372" t="s">
        <v>412</v>
      </c>
      <c r="DQ3" s="373"/>
      <c r="DR3" s="374"/>
      <c r="DS3" s="366" t="s">
        <v>326</v>
      </c>
      <c r="DT3" s="367"/>
      <c r="DU3" s="367"/>
      <c r="DV3" s="368"/>
      <c r="DW3" s="366" t="s">
        <v>180</v>
      </c>
      <c r="DX3" s="367"/>
      <c r="DY3" s="367"/>
      <c r="DZ3" s="367"/>
      <c r="EA3" s="367"/>
      <c r="EB3" s="368"/>
      <c r="EC3" s="366" t="s">
        <v>334</v>
      </c>
      <c r="ED3" s="367"/>
      <c r="EE3" s="367"/>
      <c r="EF3" s="367"/>
      <c r="EG3" s="367"/>
      <c r="EH3" s="368"/>
      <c r="EI3" s="375" t="s">
        <v>340</v>
      </c>
      <c r="EJ3" s="376"/>
      <c r="EK3" s="377"/>
      <c r="EL3" s="379" t="s">
        <v>212</v>
      </c>
      <c r="EM3" s="379"/>
      <c r="EN3" s="379"/>
      <c r="EO3" s="379"/>
      <c r="EP3" s="379"/>
      <c r="EQ3" s="379"/>
      <c r="ER3" s="379"/>
      <c r="ES3" s="379"/>
      <c r="ET3" s="372" t="s">
        <v>183</v>
      </c>
      <c r="EU3" s="373"/>
      <c r="EV3" s="373"/>
      <c r="EW3" s="373"/>
      <c r="EX3" s="373"/>
      <c r="EY3" s="374"/>
      <c r="EZ3" s="372" t="s">
        <v>198</v>
      </c>
      <c r="FA3" s="373"/>
      <c r="FB3" s="373"/>
      <c r="FC3" s="373" t="s">
        <v>366</v>
      </c>
      <c r="FD3" s="374"/>
      <c r="FE3" s="126"/>
      <c r="FF3" s="378" t="s">
        <v>409</v>
      </c>
      <c r="FG3" s="378"/>
      <c r="FH3" s="378"/>
      <c r="FI3" s="378"/>
      <c r="FJ3" s="378" t="s">
        <v>361</v>
      </c>
      <c r="FK3" s="378"/>
      <c r="FL3" s="378"/>
      <c r="FM3" s="378"/>
      <c r="FN3" s="378"/>
      <c r="FO3" s="127" t="s">
        <v>369</v>
      </c>
      <c r="FP3" s="194" t="s">
        <v>184</v>
      </c>
      <c r="FQ3" s="144" t="s">
        <v>185</v>
      </c>
      <c r="FR3" s="144"/>
      <c r="FS3" s="125"/>
      <c r="FT3" s="397" t="s">
        <v>406</v>
      </c>
      <c r="FU3" s="398"/>
      <c r="FV3" s="2"/>
      <c r="FW3" s="363" t="s">
        <v>377</v>
      </c>
      <c r="FX3" s="364"/>
      <c r="FY3" s="364"/>
      <c r="FZ3" s="364"/>
      <c r="GA3" s="365"/>
      <c r="GB3" s="4"/>
      <c r="GC3" s="361" t="s">
        <v>379</v>
      </c>
      <c r="GD3" s="362"/>
      <c r="GE3" s="127"/>
      <c r="GF3" s="12" t="s">
        <v>383</v>
      </c>
      <c r="GG3" s="12" t="s">
        <v>384</v>
      </c>
      <c r="GH3" s="128"/>
      <c r="GI3" s="195" t="s">
        <v>385</v>
      </c>
      <c r="GJ3" s="196" t="s">
        <v>387</v>
      </c>
    </row>
    <row r="4" spans="1:192" ht="3.95" customHeight="1" x14ac:dyDescent="0.25">
      <c r="A4" s="187"/>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c r="BY4" s="188"/>
      <c r="BZ4" s="188"/>
      <c r="CA4" s="188"/>
      <c r="CB4" s="188"/>
      <c r="CC4" s="188"/>
      <c r="CD4" s="188"/>
      <c r="CE4" s="188"/>
      <c r="CF4" s="188"/>
      <c r="CG4" s="188"/>
      <c r="CH4" s="188"/>
      <c r="CI4" s="188"/>
      <c r="CJ4" s="188"/>
      <c r="CK4" s="188"/>
      <c r="CL4" s="188"/>
      <c r="CM4" s="188"/>
      <c r="CN4" s="188"/>
      <c r="CO4" s="188"/>
      <c r="CP4" s="188"/>
      <c r="CQ4" s="188"/>
      <c r="CR4" s="188"/>
      <c r="CS4" s="188"/>
      <c r="CT4" s="188"/>
      <c r="CU4" s="188"/>
      <c r="CV4" s="188"/>
      <c r="CW4" s="188"/>
      <c r="CX4" s="188"/>
      <c r="CY4" s="188"/>
      <c r="CZ4" s="188"/>
      <c r="DA4" s="188"/>
      <c r="DB4" s="188"/>
      <c r="DC4" s="188"/>
      <c r="DD4" s="188"/>
      <c r="DE4" s="188"/>
      <c r="DF4" s="188"/>
      <c r="DG4" s="188"/>
      <c r="DH4" s="188"/>
      <c r="DI4" s="188"/>
      <c r="DJ4" s="188"/>
      <c r="DK4" s="188"/>
      <c r="DL4" s="188"/>
      <c r="DM4" s="188"/>
      <c r="DN4" s="188"/>
      <c r="DO4" s="188"/>
      <c r="DP4" s="188"/>
      <c r="DQ4" s="188"/>
      <c r="DR4" s="188"/>
      <c r="DS4" s="188"/>
      <c r="DT4" s="188"/>
      <c r="DU4" s="188"/>
      <c r="DV4" s="188"/>
      <c r="DW4" s="188"/>
      <c r="DX4" s="188"/>
      <c r="DY4" s="188"/>
      <c r="DZ4" s="188"/>
      <c r="EA4" s="188"/>
      <c r="EB4" s="188"/>
      <c r="EC4" s="188"/>
      <c r="ED4" s="188"/>
      <c r="EE4" s="188"/>
      <c r="EF4" s="188"/>
      <c r="EG4" s="188"/>
      <c r="EH4" s="188"/>
      <c r="EI4" s="188"/>
      <c r="EJ4" s="188"/>
      <c r="EK4" s="188"/>
      <c r="EL4" s="188"/>
      <c r="EM4" s="188"/>
      <c r="EN4" s="188"/>
      <c r="EO4" s="188"/>
      <c r="EP4" s="188"/>
      <c r="EQ4" s="188"/>
      <c r="ER4" s="188"/>
      <c r="ES4" s="188"/>
      <c r="ET4" s="188"/>
      <c r="EU4" s="188"/>
      <c r="EV4" s="188"/>
      <c r="EW4" s="188"/>
      <c r="EX4" s="188"/>
      <c r="EY4" s="188"/>
      <c r="EZ4" s="188"/>
      <c r="FA4" s="188"/>
      <c r="FB4" s="188"/>
      <c r="FC4" s="188"/>
      <c r="FD4" s="188"/>
      <c r="FE4" s="188"/>
      <c r="FF4" s="188"/>
      <c r="FG4" s="188"/>
      <c r="FH4" s="188"/>
      <c r="FI4" s="188"/>
      <c r="FJ4" s="188"/>
      <c r="FK4" s="188"/>
      <c r="FL4" s="188"/>
      <c r="FM4" s="188"/>
      <c r="FN4" s="188"/>
      <c r="FO4" s="188"/>
      <c r="FP4" s="188"/>
      <c r="FQ4" s="188"/>
      <c r="FR4" s="188"/>
      <c r="FS4" s="188"/>
      <c r="FT4" s="188"/>
      <c r="FU4" s="188"/>
      <c r="FV4" s="188"/>
      <c r="FW4" s="188"/>
      <c r="FX4" s="188"/>
      <c r="FY4" s="188"/>
      <c r="FZ4" s="188"/>
      <c r="GA4" s="188"/>
      <c r="GB4" s="188"/>
      <c r="GC4" s="188"/>
      <c r="GD4" s="188"/>
      <c r="GE4" s="188"/>
      <c r="GF4" s="188"/>
      <c r="GG4" s="188"/>
      <c r="GH4" s="188"/>
      <c r="GI4" s="188"/>
      <c r="GJ4" s="188"/>
    </row>
    <row r="5" spans="1:192" ht="47.45" customHeight="1" x14ac:dyDescent="0.25">
      <c r="A5" s="146" t="s">
        <v>103</v>
      </c>
      <c r="B5" s="146" t="s">
        <v>100</v>
      </c>
      <c r="C5" s="146" t="s">
        <v>97</v>
      </c>
      <c r="D5" s="146" t="s">
        <v>95</v>
      </c>
      <c r="E5" s="146" t="s">
        <v>96</v>
      </c>
      <c r="F5" s="146" t="s">
        <v>20</v>
      </c>
      <c r="G5" s="147" t="s">
        <v>12</v>
      </c>
      <c r="H5" s="19" t="s">
        <v>13</v>
      </c>
      <c r="I5" s="19" t="s">
        <v>14</v>
      </c>
      <c r="J5" s="19" t="s">
        <v>2</v>
      </c>
      <c r="K5" s="20" t="s">
        <v>0</v>
      </c>
      <c r="L5" s="20" t="s">
        <v>1</v>
      </c>
      <c r="M5" s="21" t="s">
        <v>172</v>
      </c>
      <c r="N5" s="21" t="s">
        <v>104</v>
      </c>
      <c r="O5" s="21" t="s">
        <v>105</v>
      </c>
      <c r="P5" s="22" t="s">
        <v>106</v>
      </c>
      <c r="Q5" s="23" t="s">
        <v>28</v>
      </c>
      <c r="R5" s="36" t="s">
        <v>215</v>
      </c>
      <c r="S5" s="24" t="s">
        <v>216</v>
      </c>
      <c r="T5" s="25" t="s">
        <v>110</v>
      </c>
      <c r="U5" s="25" t="s">
        <v>170</v>
      </c>
      <c r="V5" s="26" t="s">
        <v>176</v>
      </c>
      <c r="W5" s="26" t="s">
        <v>175</v>
      </c>
      <c r="X5" s="26" t="s">
        <v>214</v>
      </c>
      <c r="Y5" s="26" t="s">
        <v>161</v>
      </c>
      <c r="Z5" s="26" t="s">
        <v>166</v>
      </c>
      <c r="AA5" s="26" t="s">
        <v>174</v>
      </c>
      <c r="AB5" s="26" t="s">
        <v>120</v>
      </c>
      <c r="AC5" s="27" t="s">
        <v>217</v>
      </c>
      <c r="AD5" s="26" t="s">
        <v>219</v>
      </c>
      <c r="AE5" s="26" t="s">
        <v>199</v>
      </c>
      <c r="AF5" s="26" t="s">
        <v>173</v>
      </c>
      <c r="AG5" s="26" t="s">
        <v>218</v>
      </c>
      <c r="AH5" s="26" t="s">
        <v>195</v>
      </c>
      <c r="AI5" s="26" t="s">
        <v>270</v>
      </c>
      <c r="AJ5" s="26" t="s">
        <v>169</v>
      </c>
      <c r="AK5" s="26" t="s">
        <v>121</v>
      </c>
      <c r="AL5" s="27" t="s">
        <v>32</v>
      </c>
      <c r="AM5" s="26" t="s">
        <v>111</v>
      </c>
      <c r="AN5" s="26" t="s">
        <v>162</v>
      </c>
      <c r="AO5" s="28" t="s">
        <v>33</v>
      </c>
      <c r="AP5" s="29" t="s">
        <v>128</v>
      </c>
      <c r="AQ5" s="26" t="s">
        <v>98</v>
      </c>
      <c r="AR5" s="26" t="s">
        <v>34</v>
      </c>
      <c r="AS5" s="26" t="s">
        <v>127</v>
      </c>
      <c r="AT5" s="26" t="s">
        <v>141</v>
      </c>
      <c r="AU5" s="30" t="s">
        <v>21</v>
      </c>
      <c r="AV5" s="31" t="s">
        <v>3</v>
      </c>
      <c r="AW5" s="32" t="s">
        <v>115</v>
      </c>
      <c r="AX5" s="32" t="s">
        <v>139</v>
      </c>
      <c r="AY5" s="32" t="s">
        <v>142</v>
      </c>
      <c r="AZ5" s="32" t="s">
        <v>137</v>
      </c>
      <c r="BA5" s="32" t="s">
        <v>4</v>
      </c>
      <c r="BB5" s="32" t="s">
        <v>114</v>
      </c>
      <c r="BC5" s="32" t="s">
        <v>143</v>
      </c>
      <c r="BD5" s="32" t="s">
        <v>5</v>
      </c>
      <c r="BE5" s="32" t="s">
        <v>201</v>
      </c>
      <c r="BF5" s="32" t="s">
        <v>200</v>
      </c>
      <c r="BG5" s="32" t="s">
        <v>144</v>
      </c>
      <c r="BH5" s="33" t="s">
        <v>22</v>
      </c>
      <c r="BI5" s="25" t="s">
        <v>23</v>
      </c>
      <c r="BJ5" s="25" t="s">
        <v>24</v>
      </c>
      <c r="BK5" s="34" t="s">
        <v>25</v>
      </c>
      <c r="BL5" s="35" t="s">
        <v>26</v>
      </c>
      <c r="BM5" s="35" t="s">
        <v>130</v>
      </c>
      <c r="BN5" s="35" t="s">
        <v>27</v>
      </c>
      <c r="BO5" s="35" t="s">
        <v>129</v>
      </c>
      <c r="BP5" s="35" t="s">
        <v>165</v>
      </c>
      <c r="BQ5" s="31" t="s">
        <v>145</v>
      </c>
      <c r="BR5" s="36" t="s">
        <v>29</v>
      </c>
      <c r="BS5" s="36" t="s">
        <v>89</v>
      </c>
      <c r="BT5" s="33" t="s">
        <v>30</v>
      </c>
      <c r="BU5" s="25" t="s">
        <v>6</v>
      </c>
      <c r="BV5" s="25" t="s">
        <v>171</v>
      </c>
      <c r="BW5" s="28" t="s">
        <v>35</v>
      </c>
      <c r="BX5" s="28" t="s">
        <v>36</v>
      </c>
      <c r="BY5" s="28" t="s">
        <v>146</v>
      </c>
      <c r="BZ5" s="25" t="s">
        <v>31</v>
      </c>
      <c r="CA5" s="28" t="s">
        <v>194</v>
      </c>
      <c r="CB5" s="28" t="s">
        <v>148</v>
      </c>
      <c r="CC5" s="25" t="s">
        <v>7</v>
      </c>
      <c r="CD5" s="37" t="s">
        <v>37</v>
      </c>
      <c r="CE5" s="38" t="s">
        <v>38</v>
      </c>
      <c r="CF5" s="39" t="s">
        <v>39</v>
      </c>
      <c r="CG5" s="39" t="s">
        <v>147</v>
      </c>
      <c r="CH5" s="40" t="s">
        <v>8</v>
      </c>
      <c r="CI5" s="41" t="s">
        <v>94</v>
      </c>
      <c r="CJ5" s="42" t="s">
        <v>40</v>
      </c>
      <c r="CK5" s="42" t="s">
        <v>41</v>
      </c>
      <c r="CL5" s="42" t="s">
        <v>113</v>
      </c>
      <c r="CM5" s="42" t="s">
        <v>116</v>
      </c>
      <c r="CN5" s="42" t="s">
        <v>149</v>
      </c>
      <c r="CO5" s="41" t="s">
        <v>42</v>
      </c>
      <c r="CP5" s="41" t="s">
        <v>203</v>
      </c>
      <c r="CQ5" s="42" t="s">
        <v>43</v>
      </c>
      <c r="CR5" s="42" t="s">
        <v>44</v>
      </c>
      <c r="CS5" s="42" t="s">
        <v>138</v>
      </c>
      <c r="CT5" s="42" t="s">
        <v>167</v>
      </c>
      <c r="CU5" s="42" t="s">
        <v>593</v>
      </c>
      <c r="CV5" s="42" t="s">
        <v>202</v>
      </c>
      <c r="CW5" s="42" t="s">
        <v>150</v>
      </c>
      <c r="CX5" s="41" t="s">
        <v>52</v>
      </c>
      <c r="CY5" s="42" t="s">
        <v>163</v>
      </c>
      <c r="CZ5" s="42" t="s">
        <v>117</v>
      </c>
      <c r="DA5" s="42" t="s">
        <v>53</v>
      </c>
      <c r="DB5" s="42" t="s">
        <v>197</v>
      </c>
      <c r="DC5" s="42" t="s">
        <v>151</v>
      </c>
      <c r="DD5" s="41" t="s">
        <v>59</v>
      </c>
      <c r="DE5" s="42" t="s">
        <v>56</v>
      </c>
      <c r="DF5" s="42" t="s">
        <v>57</v>
      </c>
      <c r="DG5" s="42" t="s">
        <v>58</v>
      </c>
      <c r="DH5" s="42" t="s">
        <v>152</v>
      </c>
      <c r="DI5" s="41" t="s">
        <v>55</v>
      </c>
      <c r="DJ5" s="32" t="s">
        <v>60</v>
      </c>
      <c r="DK5" s="32" t="s">
        <v>119</v>
      </c>
      <c r="DL5" s="42" t="s">
        <v>153</v>
      </c>
      <c r="DM5" s="41" t="s">
        <v>54</v>
      </c>
      <c r="DN5" s="32" t="s">
        <v>61</v>
      </c>
      <c r="DO5" s="32" t="s">
        <v>131</v>
      </c>
      <c r="DP5" s="41" t="s">
        <v>62</v>
      </c>
      <c r="DQ5" s="42" t="s">
        <v>190</v>
      </c>
      <c r="DR5" s="42" t="s">
        <v>191</v>
      </c>
      <c r="DS5" s="41" t="s">
        <v>65</v>
      </c>
      <c r="DT5" s="42" t="s">
        <v>177</v>
      </c>
      <c r="DU5" s="42" t="s">
        <v>221</v>
      </c>
      <c r="DV5" s="42" t="s">
        <v>154</v>
      </c>
      <c r="DW5" s="41" t="s">
        <v>66</v>
      </c>
      <c r="DX5" s="42" t="s">
        <v>179</v>
      </c>
      <c r="DY5" s="42" t="s">
        <v>178</v>
      </c>
      <c r="DZ5" s="42" t="s">
        <v>67</v>
      </c>
      <c r="EA5" s="42" t="s">
        <v>68</v>
      </c>
      <c r="EB5" s="42" t="s">
        <v>132</v>
      </c>
      <c r="EC5" s="41" t="s">
        <v>63</v>
      </c>
      <c r="ED5" s="32" t="s">
        <v>123</v>
      </c>
      <c r="EE5" s="32" t="s">
        <v>181</v>
      </c>
      <c r="EF5" s="42" t="s">
        <v>133</v>
      </c>
      <c r="EG5" s="42" t="s">
        <v>118</v>
      </c>
      <c r="EH5" s="42" t="s">
        <v>122</v>
      </c>
      <c r="EI5" s="142" t="s">
        <v>207</v>
      </c>
      <c r="EJ5" s="142" t="s">
        <v>208</v>
      </c>
      <c r="EK5" s="142" t="s">
        <v>209</v>
      </c>
      <c r="EL5" s="143" t="s">
        <v>585</v>
      </c>
      <c r="EM5" s="42" t="s">
        <v>64</v>
      </c>
      <c r="EN5" s="42" t="s">
        <v>204</v>
      </c>
      <c r="EO5" s="42" t="s">
        <v>213</v>
      </c>
      <c r="EP5" s="42" t="s">
        <v>586</v>
      </c>
      <c r="EQ5" s="42" t="s">
        <v>210</v>
      </c>
      <c r="ER5" s="42" t="s">
        <v>211</v>
      </c>
      <c r="ES5" s="42" t="s">
        <v>155</v>
      </c>
      <c r="ET5" s="41" t="s">
        <v>69</v>
      </c>
      <c r="EU5" s="42" t="s">
        <v>70</v>
      </c>
      <c r="EV5" s="42" t="s">
        <v>10</v>
      </c>
      <c r="EW5" s="42" t="s">
        <v>196</v>
      </c>
      <c r="EX5" s="42" t="s">
        <v>134</v>
      </c>
      <c r="EY5" s="42" t="s">
        <v>222</v>
      </c>
      <c r="EZ5" s="41" t="s">
        <v>71</v>
      </c>
      <c r="FA5" s="42" t="s">
        <v>72</v>
      </c>
      <c r="FB5" s="42" t="s">
        <v>582</v>
      </c>
      <c r="FC5" s="41" t="s">
        <v>135</v>
      </c>
      <c r="FD5" s="42" t="s">
        <v>205</v>
      </c>
      <c r="FE5" s="129" t="s">
        <v>74</v>
      </c>
      <c r="FF5" s="27" t="s">
        <v>75</v>
      </c>
      <c r="FG5" s="26" t="s">
        <v>76</v>
      </c>
      <c r="FH5" s="26" t="s">
        <v>11</v>
      </c>
      <c r="FI5" s="26" t="s">
        <v>156</v>
      </c>
      <c r="FJ5" s="27" t="s">
        <v>77</v>
      </c>
      <c r="FK5" s="26" t="s">
        <v>164</v>
      </c>
      <c r="FL5" s="26" t="s">
        <v>78</v>
      </c>
      <c r="FM5" s="26" t="s">
        <v>79</v>
      </c>
      <c r="FN5" s="26" t="s">
        <v>157</v>
      </c>
      <c r="FO5" s="40" t="s">
        <v>81</v>
      </c>
      <c r="FP5" s="41" t="s">
        <v>82</v>
      </c>
      <c r="FQ5" s="35" t="s">
        <v>9</v>
      </c>
      <c r="FR5" s="35" t="s">
        <v>158</v>
      </c>
      <c r="FS5" s="33" t="s">
        <v>84</v>
      </c>
      <c r="FT5" s="25" t="s">
        <v>168</v>
      </c>
      <c r="FU5" s="25" t="s">
        <v>159</v>
      </c>
      <c r="FV5" s="43" t="s">
        <v>86</v>
      </c>
      <c r="FW5" s="44" t="s">
        <v>140</v>
      </c>
      <c r="FX5" s="42" t="s">
        <v>206</v>
      </c>
      <c r="FY5" s="42" t="s">
        <v>87</v>
      </c>
      <c r="FZ5" s="42" t="s">
        <v>136</v>
      </c>
      <c r="GA5" s="42" t="s">
        <v>124</v>
      </c>
      <c r="GB5" s="45" t="s">
        <v>88</v>
      </c>
      <c r="GC5" s="27" t="s">
        <v>90</v>
      </c>
      <c r="GD5" s="27" t="s">
        <v>160</v>
      </c>
      <c r="GE5" s="40" t="s">
        <v>92</v>
      </c>
      <c r="GF5" s="46" t="s">
        <v>93</v>
      </c>
      <c r="GG5" s="46" t="s">
        <v>126</v>
      </c>
      <c r="GH5" s="145" t="s">
        <v>192</v>
      </c>
      <c r="GI5" s="145" t="s">
        <v>193</v>
      </c>
      <c r="GJ5" s="47" t="s">
        <v>386</v>
      </c>
    </row>
    <row r="6" spans="1:192" ht="18.600000000000001" customHeight="1" x14ac:dyDescent="0.25">
      <c r="A6" s="89"/>
      <c r="B6" s="17"/>
      <c r="C6" s="50"/>
      <c r="D6" s="140"/>
      <c r="E6" s="51"/>
      <c r="F6" s="139"/>
      <c r="G6" s="49"/>
      <c r="H6" s="50"/>
      <c r="I6" s="122"/>
      <c r="J6" s="49"/>
      <c r="K6" s="50">
        <v>4</v>
      </c>
      <c r="L6" s="50"/>
      <c r="M6" s="90">
        <v>53</v>
      </c>
      <c r="N6" s="50"/>
      <c r="O6" s="50"/>
      <c r="P6" s="90"/>
      <c r="Q6" s="52">
        <f t="shared" ref="Q6:Q69" si="0">R6+BH6+BK6</f>
        <v>1219166</v>
      </c>
      <c r="R6" s="52">
        <f t="shared" ref="R6:R69" si="1">S6+AU6</f>
        <v>1072210</v>
      </c>
      <c r="S6" s="53">
        <f t="shared" ref="S6:S69" si="2">SUM(T6,AC6,AL6)</f>
        <v>1033074</v>
      </c>
      <c r="T6" s="54">
        <f t="shared" ref="T6:T69" si="3">SUM(V6:W6,Y6:AB6)</f>
        <v>165374</v>
      </c>
      <c r="U6" s="115">
        <f>SUM(Tableau1[[#This Row],[Vente confiserie]:[Vente boisson]])</f>
        <v>0</v>
      </c>
      <c r="V6" s="95"/>
      <c r="W6" s="55"/>
      <c r="X6" s="135">
        <f>SUM(Tableau1[[#This Row],[Vente lunette]:[Location lunette]])</f>
        <v>0</v>
      </c>
      <c r="Y6" s="55"/>
      <c r="Z6" s="55"/>
      <c r="AA6" s="55"/>
      <c r="AB6" s="55">
        <v>165374</v>
      </c>
      <c r="AC6" s="56">
        <f t="shared" ref="AC6:AC19" si="4">SUM(AD6:AI6,AK6)</f>
        <v>852292</v>
      </c>
      <c r="AD6" s="57">
        <f>952136+24596-124551</f>
        <v>852181</v>
      </c>
      <c r="AE6" s="57"/>
      <c r="AF6" s="57"/>
      <c r="AG6" s="57"/>
      <c r="AH6" s="57"/>
      <c r="AI6" s="57"/>
      <c r="AJ6" s="118"/>
      <c r="AK6" s="57">
        <v>111</v>
      </c>
      <c r="AL6" s="56">
        <f t="shared" ref="AL6:AL20" si="5">SUM(AM6:AO6,AQ6:AT6)</f>
        <v>15408</v>
      </c>
      <c r="AM6" s="58">
        <v>2453</v>
      </c>
      <c r="AN6" s="58"/>
      <c r="AO6" s="58"/>
      <c r="AP6" s="115">
        <f t="shared" ref="AP6:AP69" si="6">SUM(AQ6:AS6)</f>
        <v>12955</v>
      </c>
      <c r="AQ6" s="69"/>
      <c r="AR6" s="69"/>
      <c r="AS6" s="69">
        <v>12955</v>
      </c>
      <c r="AT6" s="69"/>
      <c r="AU6" s="59">
        <f t="shared" ref="AU6:AU69" si="7">SUM(AV6,AZ6,BD6)</f>
        <v>39136</v>
      </c>
      <c r="AV6" s="60">
        <f t="shared" ref="AV6:AV69" si="8">SUM(AW6:AY6)</f>
        <v>36399</v>
      </c>
      <c r="AW6" s="58">
        <v>36399</v>
      </c>
      <c r="AX6" s="58"/>
      <c r="AY6" s="58"/>
      <c r="AZ6" s="60">
        <f t="shared" ref="AZ6:AZ37" si="9">SUM(BA6:BC6)</f>
        <v>2720</v>
      </c>
      <c r="BA6" s="58"/>
      <c r="BB6" s="58">
        <v>2720</v>
      </c>
      <c r="BC6" s="58"/>
      <c r="BD6" s="60">
        <f>SUM(Tableau1[[#This Row],[ticket/carte/abonnement périmé]:[Autres ou non précisé 5]])</f>
        <v>17</v>
      </c>
      <c r="BE6" s="58"/>
      <c r="BF6" s="58"/>
      <c r="BG6" s="58">
        <v>17</v>
      </c>
      <c r="BH6" s="61">
        <f t="shared" ref="BH6:BH69" si="10">SUM(BI6:BJ6)</f>
        <v>4205</v>
      </c>
      <c r="BI6" s="120">
        <v>4205</v>
      </c>
      <c r="BJ6" s="120"/>
      <c r="BK6" s="62">
        <f t="shared" ref="BK6:BK69" si="11">SUM(BL6:BQ6)</f>
        <v>142751</v>
      </c>
      <c r="BL6" s="120"/>
      <c r="BM6" s="120"/>
      <c r="BN6" s="120"/>
      <c r="BO6" s="120">
        <v>93874</v>
      </c>
      <c r="BP6" s="137">
        <v>48877</v>
      </c>
      <c r="BQ6" s="63"/>
      <c r="BR6" s="52">
        <f t="shared" ref="BR6:BR69" si="12">BS6+GB6+GE6+GJ6</f>
        <v>1134969</v>
      </c>
      <c r="BS6" s="52">
        <f t="shared" ref="BS6:BS69" si="13">BT6+CH6+FE6+FO6+FS6+FV6</f>
        <v>1014935</v>
      </c>
      <c r="BT6" s="61">
        <f t="shared" ref="BT6:BT69" si="14">SUM(BU6,CC6,BZ6)</f>
        <v>55483</v>
      </c>
      <c r="BU6" s="64">
        <f t="shared" ref="BU6:BU69" si="15">SUM(BW6:BY6)</f>
        <v>51596</v>
      </c>
      <c r="BV6" s="119">
        <f>SUM(Tableau1[[#This Row],[Achats confiserie]:[Achats boisson]])</f>
        <v>51596</v>
      </c>
      <c r="BW6" s="58">
        <v>42299</v>
      </c>
      <c r="BX6" s="69">
        <v>9297</v>
      </c>
      <c r="BY6" s="58"/>
      <c r="BZ6" s="56">
        <f t="shared" ref="BZ6:BZ69" si="16">SUM(CA6:CB6)</f>
        <v>3823</v>
      </c>
      <c r="CA6" s="66">
        <f>3823</f>
        <v>3823</v>
      </c>
      <c r="CB6" s="66"/>
      <c r="CC6" s="56">
        <f t="shared" ref="CC6:CC69" si="17">SUM(CD6:CG6)</f>
        <v>64</v>
      </c>
      <c r="CD6" s="55"/>
      <c r="CE6" s="65"/>
      <c r="CF6" s="55"/>
      <c r="CG6" s="55">
        <v>64</v>
      </c>
      <c r="CH6" s="67">
        <f t="shared" ref="CH6:CH69" si="18">SUM(CI6,CO6,CX6,DD6,DI6,DM6,DP6,DS6,DW6,EC6,EL6,ET6,EZ6,FC6,EI6)</f>
        <v>670449</v>
      </c>
      <c r="CI6" s="68">
        <f t="shared" ref="CI6:CI17" si="19">SUM(CJ6:CN6)</f>
        <v>395206</v>
      </c>
      <c r="CJ6" s="55"/>
      <c r="CK6" s="55">
        <v>395206</v>
      </c>
      <c r="CL6" s="55"/>
      <c r="CM6" s="55"/>
      <c r="CN6" s="55"/>
      <c r="CO6" s="68">
        <f t="shared" ref="CO6:CO69" si="20">SUM(CQ6:CW6)</f>
        <v>23614</v>
      </c>
      <c r="CP6" s="75">
        <f>SUM(Tableau1[[#This Row],[Fourniture eau]:[Energie (non précisé)]])</f>
        <v>16658</v>
      </c>
      <c r="CQ6" s="55"/>
      <c r="CR6" s="55">
        <v>13070</v>
      </c>
      <c r="CS6" s="55">
        <v>3588</v>
      </c>
      <c r="CT6" s="55"/>
      <c r="CU6" s="55">
        <v>2689</v>
      </c>
      <c r="CV6" s="55">
        <v>4267</v>
      </c>
      <c r="CW6" s="55"/>
      <c r="CX6" s="68">
        <f>SUM(Tableau1[[#This Row],[Sous-traitance]:[Autres ou non précisé 12]])</f>
        <v>96620</v>
      </c>
      <c r="CY6" s="65">
        <v>32526</v>
      </c>
      <c r="CZ6" s="65">
        <v>46822</v>
      </c>
      <c r="DA6" s="65">
        <v>17272</v>
      </c>
      <c r="DB6" s="65"/>
      <c r="DC6" s="55"/>
      <c r="DD6" s="68">
        <f t="shared" ref="DD6:DD37" si="21">SUM(DE6:DH6)</f>
        <v>63819</v>
      </c>
      <c r="DE6" s="55"/>
      <c r="DF6" s="65"/>
      <c r="DG6" s="65">
        <v>63819</v>
      </c>
      <c r="DH6" s="65"/>
      <c r="DI6" s="68">
        <f>SUM(Tableau1[[#This Row],[Entretien et réparation matériel de projection]:[Autres ou non précisé 14]])</f>
        <v>8461</v>
      </c>
      <c r="DJ6" s="58"/>
      <c r="DK6" s="58"/>
      <c r="DL6" s="69">
        <f>6889+1572</f>
        <v>8461</v>
      </c>
      <c r="DM6" s="68">
        <f t="shared" ref="DM6:DM69" si="22">SUM(DN6:DO6)</f>
        <v>11131</v>
      </c>
      <c r="DN6" s="58"/>
      <c r="DO6" s="58">
        <v>11131</v>
      </c>
      <c r="DP6" s="68">
        <f t="shared" ref="DP6:DP69" si="23">SUM(DQ6:DR6)</f>
        <v>7612</v>
      </c>
      <c r="DQ6" s="65">
        <v>6853</v>
      </c>
      <c r="DR6" s="65">
        <v>759</v>
      </c>
      <c r="DS6" s="68">
        <f t="shared" ref="DS6:DS69" si="24">SUM(DT6:DV6)</f>
        <v>0</v>
      </c>
      <c r="DT6" s="65"/>
      <c r="DU6" s="65"/>
      <c r="DV6" s="65"/>
      <c r="DW6" s="68">
        <f>SUM(Tableau1[[#This Row],[Comission et courtage sur achats]:[Autres ou honoraires
 non précisé ]])</f>
        <v>24011</v>
      </c>
      <c r="DX6" s="57"/>
      <c r="DY6" s="57">
        <v>1731</v>
      </c>
      <c r="DZ6" s="65">
        <v>11470</v>
      </c>
      <c r="EA6" s="65">
        <f>2211+99</f>
        <v>2310</v>
      </c>
      <c r="EB6" s="65">
        <v>8500</v>
      </c>
      <c r="EC6" s="68">
        <f t="shared" ref="EC6:EC69" si="25">SUM(ED6:EH6)</f>
        <v>8577</v>
      </c>
      <c r="ED6" s="69"/>
      <c r="EE6" s="69"/>
      <c r="EF6" s="69"/>
      <c r="EG6" s="69"/>
      <c r="EH6" s="69">
        <f>969+2259+5349</f>
        <v>8577</v>
      </c>
      <c r="EI6" s="84">
        <f>SUM(Tableau1[[#This Row],[Transports sur films]:[autres ]])</f>
        <v>0</v>
      </c>
      <c r="EJ6" s="132">
        <v>0</v>
      </c>
      <c r="EK6" s="132"/>
      <c r="EL6" s="68">
        <f t="shared" ref="EL6:EL69" si="26">SUM(EM6:ES6)</f>
        <v>17729</v>
      </c>
      <c r="EM6" s="65">
        <v>14147</v>
      </c>
      <c r="EN6" s="65">
        <v>2640</v>
      </c>
      <c r="EO6" s="65"/>
      <c r="EP6" s="65"/>
      <c r="EQ6" s="65"/>
      <c r="ER6" s="65">
        <v>942</v>
      </c>
      <c r="ES6" s="65"/>
      <c r="ET6" s="68">
        <f t="shared" ref="ET6:ET69" si="27">SUM(EU6:EY6)</f>
        <v>3568</v>
      </c>
      <c r="EU6" s="65">
        <v>3568</v>
      </c>
      <c r="EV6" s="65"/>
      <c r="EW6" s="65"/>
      <c r="EX6" s="65"/>
      <c r="EY6" s="65"/>
      <c r="EZ6" s="68">
        <f>SUM(Tableau1[[#This Row],[Frais sur CB]:[Services bancaires]])</f>
        <v>7632</v>
      </c>
      <c r="FA6" s="93">
        <v>6044</v>
      </c>
      <c r="FB6" s="65">
        <v>1588</v>
      </c>
      <c r="FC6" s="70">
        <f t="shared" ref="FC6:FC53" si="28">SUM(FD6:FD6)</f>
        <v>2469</v>
      </c>
      <c r="FD6" s="65">
        <v>2469</v>
      </c>
      <c r="FE6" s="71">
        <f t="shared" ref="FE6:FE69" si="29">SUM(FF6,FJ6)</f>
        <v>7092</v>
      </c>
      <c r="FF6" s="72">
        <f t="shared" ref="FF6:FF69" si="30">SUM(FG6:FI6)</f>
        <v>2025</v>
      </c>
      <c r="FG6" s="65">
        <v>1117</v>
      </c>
      <c r="FH6" s="65">
        <v>908</v>
      </c>
      <c r="FI6" s="65"/>
      <c r="FJ6" s="56">
        <f t="shared" ref="FJ6:FJ69" si="31">SUM(FK6:FN6)</f>
        <v>5067</v>
      </c>
      <c r="FK6" s="65">
        <v>2272</v>
      </c>
      <c r="FL6" s="65"/>
      <c r="FM6" s="65"/>
      <c r="FN6" s="65">
        <v>2795</v>
      </c>
      <c r="FO6" s="67">
        <f t="shared" ref="FO6:FO69" si="32">SUM(FP6:FR6)</f>
        <v>243814</v>
      </c>
      <c r="FP6" s="207">
        <v>197314</v>
      </c>
      <c r="FQ6" s="208">
        <v>46500</v>
      </c>
      <c r="FR6" s="73"/>
      <c r="FS6" s="71">
        <f t="shared" ref="FS6:FS69" si="33">SUM(FT6:FU6)</f>
        <v>21906</v>
      </c>
      <c r="FT6" s="91">
        <v>21906</v>
      </c>
      <c r="FU6" s="91"/>
      <c r="FV6" s="67">
        <f>SUM(Tableau1[[#This Row],[Droits d''auteurs SACEM + cotisations SACEM]:[Autres ou non préciés]])</f>
        <v>16191</v>
      </c>
      <c r="FW6" s="75">
        <f t="shared" ref="FW6:FW69" si="34">SUM(FX6:FZ6)</f>
        <v>15956</v>
      </c>
      <c r="FX6" s="74">
        <v>15956</v>
      </c>
      <c r="FY6" s="74"/>
      <c r="FZ6" s="74"/>
      <c r="GA6" s="74">
        <v>235</v>
      </c>
      <c r="GB6" s="71">
        <f t="shared" ref="GB6:GB69" si="35">SUM(GC6:GD6)</f>
        <v>0</v>
      </c>
      <c r="GC6" s="92"/>
      <c r="GD6" s="92"/>
      <c r="GE6" s="67">
        <f t="shared" ref="GE6:GE69" si="36">SUM(GF6:GI6)</f>
        <v>94030</v>
      </c>
      <c r="GF6" s="66">
        <v>156</v>
      </c>
      <c r="GG6" s="66"/>
      <c r="GH6" s="124"/>
      <c r="GI6" s="338">
        <v>93874</v>
      </c>
      <c r="GJ6" s="77">
        <v>26004</v>
      </c>
    </row>
    <row r="7" spans="1:192" ht="18.600000000000001" customHeight="1" x14ac:dyDescent="0.25">
      <c r="A7" s="89"/>
      <c r="B7" s="17"/>
      <c r="C7" s="50"/>
      <c r="D7" s="140"/>
      <c r="E7" s="51"/>
      <c r="F7" s="139"/>
      <c r="G7" s="49"/>
      <c r="H7" s="50"/>
      <c r="I7" s="122"/>
      <c r="J7" s="49"/>
      <c r="K7" s="50">
        <v>4</v>
      </c>
      <c r="L7" s="50"/>
      <c r="M7" s="90"/>
      <c r="N7" s="50"/>
      <c r="O7" s="50"/>
      <c r="P7" s="90"/>
      <c r="Q7" s="52">
        <f t="shared" si="0"/>
        <v>1031192</v>
      </c>
      <c r="R7" s="52">
        <f t="shared" si="1"/>
        <v>1006757</v>
      </c>
      <c r="S7" s="53">
        <f t="shared" si="2"/>
        <v>970364</v>
      </c>
      <c r="T7" s="54">
        <f t="shared" si="3"/>
        <v>172692</v>
      </c>
      <c r="U7" s="115">
        <f>SUM(Tableau1[[#This Row],[Vente confiserie]:[Vente boisson]])</f>
        <v>0</v>
      </c>
      <c r="V7" s="95"/>
      <c r="W7" s="55"/>
      <c r="X7" s="135">
        <f>SUM(Tableau1[[#This Row],[Vente lunette]:[Location lunette]])</f>
        <v>0</v>
      </c>
      <c r="Y7" s="55"/>
      <c r="Z7" s="55"/>
      <c r="AA7" s="55"/>
      <c r="AB7" s="55">
        <v>172692</v>
      </c>
      <c r="AC7" s="56">
        <f t="shared" si="4"/>
        <v>777109</v>
      </c>
      <c r="AD7" s="57">
        <f>886745+2038-113336</f>
        <v>775447</v>
      </c>
      <c r="AE7" s="57">
        <v>1320</v>
      </c>
      <c r="AF7" s="57"/>
      <c r="AG7" s="57"/>
      <c r="AH7" s="57"/>
      <c r="AI7" s="57"/>
      <c r="AJ7" s="118"/>
      <c r="AK7" s="57">
        <v>342</v>
      </c>
      <c r="AL7" s="56">
        <f t="shared" si="5"/>
        <v>20563</v>
      </c>
      <c r="AM7" s="58">
        <v>3102</v>
      </c>
      <c r="AN7" s="58"/>
      <c r="AO7" s="58"/>
      <c r="AP7" s="115">
        <f t="shared" si="6"/>
        <v>17461</v>
      </c>
      <c r="AQ7" s="69"/>
      <c r="AR7" s="69"/>
      <c r="AS7" s="69">
        <v>17461</v>
      </c>
      <c r="AT7" s="69"/>
      <c r="AU7" s="59">
        <f t="shared" si="7"/>
        <v>36393</v>
      </c>
      <c r="AV7" s="60">
        <f t="shared" si="8"/>
        <v>36117</v>
      </c>
      <c r="AW7" s="58">
        <f>28266+7851</f>
        <v>36117</v>
      </c>
      <c r="AX7" s="58"/>
      <c r="AY7" s="58"/>
      <c r="AZ7" s="60">
        <f t="shared" si="9"/>
        <v>10</v>
      </c>
      <c r="BA7" s="58"/>
      <c r="BB7" s="58">
        <v>10</v>
      </c>
      <c r="BC7" s="58"/>
      <c r="BD7" s="60">
        <f>SUM(Tableau1[[#This Row],[ticket/carte/abonnement périmé]:[Autres ou non précisé 5]])</f>
        <v>266</v>
      </c>
      <c r="BE7" s="58"/>
      <c r="BF7" s="58"/>
      <c r="BG7" s="58">
        <v>266</v>
      </c>
      <c r="BH7" s="61">
        <f t="shared" si="10"/>
        <v>2011</v>
      </c>
      <c r="BI7" s="120">
        <v>2011</v>
      </c>
      <c r="BJ7" s="120"/>
      <c r="BK7" s="62">
        <f t="shared" si="11"/>
        <v>22424</v>
      </c>
      <c r="BL7" s="120"/>
      <c r="BM7" s="120"/>
      <c r="BN7" s="120"/>
      <c r="BO7" s="120"/>
      <c r="BP7" s="137">
        <v>22424</v>
      </c>
      <c r="BQ7" s="63"/>
      <c r="BR7" s="52">
        <f t="shared" si="12"/>
        <v>987379</v>
      </c>
      <c r="BS7" s="52">
        <f t="shared" si="13"/>
        <v>974020</v>
      </c>
      <c r="BT7" s="61">
        <f t="shared" si="14"/>
        <v>58039</v>
      </c>
      <c r="BU7" s="64">
        <f t="shared" si="15"/>
        <v>55406</v>
      </c>
      <c r="BV7" s="119">
        <f>SUM(Tableau1[[#This Row],[Achats confiserie]:[Achats boisson]])</f>
        <v>55406</v>
      </c>
      <c r="BW7" s="58">
        <v>46709</v>
      </c>
      <c r="BX7" s="69">
        <v>8697</v>
      </c>
      <c r="BY7" s="58"/>
      <c r="BZ7" s="56">
        <f t="shared" si="16"/>
        <v>1932</v>
      </c>
      <c r="CA7" s="66">
        <f>725+1207</f>
        <v>1932</v>
      </c>
      <c r="CB7" s="66"/>
      <c r="CC7" s="56">
        <f t="shared" si="17"/>
        <v>701</v>
      </c>
      <c r="CD7" s="55"/>
      <c r="CE7" s="65"/>
      <c r="CF7" s="55"/>
      <c r="CG7" s="55">
        <v>701</v>
      </c>
      <c r="CH7" s="67">
        <f t="shared" si="18"/>
        <v>606892</v>
      </c>
      <c r="CI7" s="68">
        <f t="shared" si="19"/>
        <v>363140</v>
      </c>
      <c r="CJ7" s="55"/>
      <c r="CK7" s="55">
        <v>363140</v>
      </c>
      <c r="CL7" s="55"/>
      <c r="CM7" s="55"/>
      <c r="CN7" s="55"/>
      <c r="CO7" s="68">
        <f t="shared" si="20"/>
        <v>23667</v>
      </c>
      <c r="CP7" s="75">
        <f>SUM(Tableau1[[#This Row],[Fourniture eau]:[Energie (non précisé)]])</f>
        <v>17300</v>
      </c>
      <c r="CQ7" s="55"/>
      <c r="CR7" s="55">
        <v>13429</v>
      </c>
      <c r="CS7" s="55">
        <v>3871</v>
      </c>
      <c r="CT7" s="55"/>
      <c r="CU7" s="55">
        <v>1361</v>
      </c>
      <c r="CV7" s="55">
        <v>5006</v>
      </c>
      <c r="CW7" s="55"/>
      <c r="CX7" s="68">
        <f>SUM(Tableau1[[#This Row],[Sous-traitance]:[Autres ou non précisé 12]])</f>
        <v>94298</v>
      </c>
      <c r="CY7" s="65">
        <v>38268</v>
      </c>
      <c r="CZ7" s="65">
        <v>47133</v>
      </c>
      <c r="DA7" s="65">
        <v>8897</v>
      </c>
      <c r="DB7" s="65"/>
      <c r="DC7" s="55"/>
      <c r="DD7" s="68">
        <f t="shared" si="21"/>
        <v>8232</v>
      </c>
      <c r="DE7" s="55"/>
      <c r="DF7" s="65"/>
      <c r="DG7" s="65">
        <v>8232</v>
      </c>
      <c r="DH7" s="65"/>
      <c r="DI7" s="68">
        <f>SUM(Tableau1[[#This Row],[Entretien et réparation matériel de projection]:[Autres ou non précisé 14]])</f>
        <v>13972</v>
      </c>
      <c r="DJ7" s="58"/>
      <c r="DK7" s="58"/>
      <c r="DL7" s="69">
        <f>13238+734</f>
        <v>13972</v>
      </c>
      <c r="DM7" s="68">
        <f t="shared" si="22"/>
        <v>11006</v>
      </c>
      <c r="DN7" s="58"/>
      <c r="DO7" s="58">
        <v>11006</v>
      </c>
      <c r="DP7" s="68">
        <f t="shared" si="23"/>
        <v>6918</v>
      </c>
      <c r="DQ7" s="65">
        <v>6117</v>
      </c>
      <c r="DR7" s="65">
        <v>801</v>
      </c>
      <c r="DS7" s="68">
        <f t="shared" si="24"/>
        <v>0</v>
      </c>
      <c r="DT7" s="65"/>
      <c r="DU7" s="65"/>
      <c r="DV7" s="65"/>
      <c r="DW7" s="68">
        <f>SUM(Tableau1[[#This Row],[Comission et courtage sur achats]:[Autres ou honoraires
 non précisé ]])</f>
        <v>45746</v>
      </c>
      <c r="DX7" s="57"/>
      <c r="DY7" s="57">
        <v>2125</v>
      </c>
      <c r="DZ7" s="65">
        <v>11950</v>
      </c>
      <c r="EA7" s="65">
        <f>6614+67</f>
        <v>6681</v>
      </c>
      <c r="EB7" s="65">
        <v>24990</v>
      </c>
      <c r="EC7" s="68">
        <f t="shared" si="25"/>
        <v>7636</v>
      </c>
      <c r="ED7" s="69"/>
      <c r="EE7" s="69"/>
      <c r="EF7" s="69"/>
      <c r="EG7" s="69"/>
      <c r="EH7" s="69">
        <f>608+2362+4666</f>
        <v>7636</v>
      </c>
      <c r="EI7" s="84">
        <f>SUM(Tableau1[[#This Row],[Transports sur films]:[autres ]])</f>
        <v>0</v>
      </c>
      <c r="EJ7" s="132">
        <v>0</v>
      </c>
      <c r="EK7" s="132"/>
      <c r="EL7" s="68">
        <f t="shared" si="26"/>
        <v>18117</v>
      </c>
      <c r="EM7" s="65">
        <v>13554</v>
      </c>
      <c r="EN7" s="65">
        <v>3688</v>
      </c>
      <c r="EO7" s="65"/>
      <c r="EP7" s="65"/>
      <c r="EQ7" s="65"/>
      <c r="ER7" s="65">
        <v>875</v>
      </c>
      <c r="ES7" s="65"/>
      <c r="ET7" s="68">
        <f t="shared" si="27"/>
        <v>3363</v>
      </c>
      <c r="EU7" s="65">
        <v>3363</v>
      </c>
      <c r="EV7" s="65"/>
      <c r="EW7" s="65"/>
      <c r="EX7" s="65"/>
      <c r="EY7" s="65"/>
      <c r="EZ7" s="68">
        <f>SUM(Tableau1[[#This Row],[Frais sur CB]:[Services bancaires]])</f>
        <v>8509</v>
      </c>
      <c r="FA7" s="93">
        <v>6712</v>
      </c>
      <c r="FB7" s="65">
        <v>1797</v>
      </c>
      <c r="FC7" s="70">
        <f t="shared" si="28"/>
        <v>2288</v>
      </c>
      <c r="FD7" s="65">
        <v>2288</v>
      </c>
      <c r="FE7" s="71">
        <f t="shared" si="29"/>
        <v>6898</v>
      </c>
      <c r="FF7" s="72">
        <f t="shared" si="30"/>
        <v>2082</v>
      </c>
      <c r="FG7" s="65">
        <v>1143</v>
      </c>
      <c r="FH7" s="65">
        <v>939</v>
      </c>
      <c r="FI7" s="65"/>
      <c r="FJ7" s="56">
        <f t="shared" si="31"/>
        <v>4816</v>
      </c>
      <c r="FK7" s="65">
        <v>2325</v>
      </c>
      <c r="FL7" s="65"/>
      <c r="FM7" s="65"/>
      <c r="FN7" s="65">
        <v>2491</v>
      </c>
      <c r="FO7" s="67">
        <f t="shared" si="32"/>
        <v>269551</v>
      </c>
      <c r="FP7" s="57">
        <v>223161</v>
      </c>
      <c r="FQ7" s="73">
        <v>46390</v>
      </c>
      <c r="FR7" s="73"/>
      <c r="FS7" s="71">
        <f t="shared" si="33"/>
        <v>18156</v>
      </c>
      <c r="FT7" s="91">
        <v>18156</v>
      </c>
      <c r="FU7" s="91"/>
      <c r="FV7" s="67">
        <f>SUM(Tableau1[[#This Row],[Droits d''auteurs SACEM + cotisations SACEM]:[Autres ou non préciés]])</f>
        <v>14484</v>
      </c>
      <c r="FW7" s="75">
        <f t="shared" si="34"/>
        <v>14106</v>
      </c>
      <c r="FX7" s="74">
        <v>14106</v>
      </c>
      <c r="FY7" s="74"/>
      <c r="FZ7" s="74"/>
      <c r="GA7" s="74">
        <v>378</v>
      </c>
      <c r="GB7" s="71">
        <f t="shared" si="35"/>
        <v>95</v>
      </c>
      <c r="GC7" s="92">
        <v>95</v>
      </c>
      <c r="GD7" s="92"/>
      <c r="GE7" s="67">
        <f t="shared" si="36"/>
        <v>0</v>
      </c>
      <c r="GF7" s="66"/>
      <c r="GG7" s="66"/>
      <c r="GH7" s="66"/>
      <c r="GI7" s="66"/>
      <c r="GJ7" s="77">
        <v>13264</v>
      </c>
    </row>
    <row r="8" spans="1:192" ht="18.600000000000001" customHeight="1" x14ac:dyDescent="0.25">
      <c r="A8" s="89"/>
      <c r="B8" s="17"/>
      <c r="C8" s="50"/>
      <c r="D8" s="140"/>
      <c r="E8" s="51"/>
      <c r="F8" s="139"/>
      <c r="G8" s="49"/>
      <c r="H8" s="50"/>
      <c r="I8" s="122"/>
      <c r="J8" s="49"/>
      <c r="K8" s="50">
        <v>2</v>
      </c>
      <c r="L8" s="50"/>
      <c r="M8" s="90">
        <v>53</v>
      </c>
      <c r="N8" s="50"/>
      <c r="O8" s="50"/>
      <c r="P8" s="90"/>
      <c r="Q8" s="52">
        <f t="shared" si="0"/>
        <v>292938</v>
      </c>
      <c r="R8" s="52">
        <f t="shared" si="1"/>
        <v>284330</v>
      </c>
      <c r="S8" s="53">
        <f t="shared" si="2"/>
        <v>249810</v>
      </c>
      <c r="T8" s="54">
        <f t="shared" si="3"/>
        <v>4956</v>
      </c>
      <c r="U8" s="115">
        <f>SUM(Tableau1[[#This Row],[Vente confiserie]:[Vente boisson]])</f>
        <v>4519</v>
      </c>
      <c r="V8" s="55">
        <v>4519</v>
      </c>
      <c r="W8" s="55"/>
      <c r="X8" s="135">
        <f>SUM(Tableau1[[#This Row],[Vente lunette]:[Location lunette]])</f>
        <v>437</v>
      </c>
      <c r="Y8" s="55">
        <v>437</v>
      </c>
      <c r="Z8" s="55"/>
      <c r="AA8" s="55"/>
      <c r="AB8" s="55"/>
      <c r="AC8" s="56">
        <f t="shared" si="4"/>
        <v>237207</v>
      </c>
      <c r="AD8" s="57">
        <f>136816+100391</f>
        <v>237207</v>
      </c>
      <c r="AE8" s="57"/>
      <c r="AF8" s="57"/>
      <c r="AG8" s="57"/>
      <c r="AH8" s="57"/>
      <c r="AI8" s="57"/>
      <c r="AJ8" s="118">
        <f>(Tableau1[[#This Row],[Recette guichet ]]*1.1275177)-Tableau1[[#This Row],[Recette guichet ]]</f>
        <v>30248.091063900036</v>
      </c>
      <c r="AK8" s="57"/>
      <c r="AL8" s="56">
        <f t="shared" si="5"/>
        <v>7647</v>
      </c>
      <c r="AM8" s="58"/>
      <c r="AN8" s="58">
        <f>2276+73</f>
        <v>2349</v>
      </c>
      <c r="AO8" s="58">
        <f>-300+4660</f>
        <v>4360</v>
      </c>
      <c r="AP8" s="115">
        <f t="shared" si="6"/>
        <v>0</v>
      </c>
      <c r="AQ8" s="69">
        <v>0</v>
      </c>
      <c r="AR8" s="69">
        <v>0</v>
      </c>
      <c r="AS8" s="69">
        <v>0</v>
      </c>
      <c r="AT8" s="69">
        <v>938</v>
      </c>
      <c r="AU8" s="59">
        <f t="shared" si="7"/>
        <v>34520</v>
      </c>
      <c r="AV8" s="60">
        <f t="shared" si="8"/>
        <v>33464</v>
      </c>
      <c r="AW8" s="58">
        <v>33464</v>
      </c>
      <c r="AX8" s="58"/>
      <c r="AY8" s="58"/>
      <c r="AZ8" s="60">
        <f t="shared" si="9"/>
        <v>989</v>
      </c>
      <c r="BA8" s="58"/>
      <c r="BB8" s="58">
        <v>989</v>
      </c>
      <c r="BC8" s="58"/>
      <c r="BD8" s="60">
        <f>SUM(Tableau1[[#This Row],[ticket/carte/abonnement périmé]:[Autres ou non précisé 5]])</f>
        <v>67</v>
      </c>
      <c r="BE8" s="58"/>
      <c r="BF8" s="58"/>
      <c r="BG8" s="58">
        <v>67</v>
      </c>
      <c r="BH8" s="61">
        <f t="shared" si="10"/>
        <v>476</v>
      </c>
      <c r="BI8" s="120">
        <v>476</v>
      </c>
      <c r="BJ8" s="120">
        <v>0</v>
      </c>
      <c r="BK8" s="62">
        <f t="shared" si="11"/>
        <v>8132</v>
      </c>
      <c r="BL8" s="120"/>
      <c r="BM8" s="120"/>
      <c r="BN8" s="120">
        <v>8132</v>
      </c>
      <c r="BO8" s="120"/>
      <c r="BP8" s="120"/>
      <c r="BQ8" s="63"/>
      <c r="BR8" s="52">
        <f t="shared" si="12"/>
        <v>243352.77</v>
      </c>
      <c r="BS8" s="52">
        <f t="shared" si="13"/>
        <v>243302.77</v>
      </c>
      <c r="BT8" s="61">
        <f t="shared" si="14"/>
        <v>1786</v>
      </c>
      <c r="BU8" s="64">
        <f t="shared" si="15"/>
        <v>2042</v>
      </c>
      <c r="BV8" s="119">
        <f>SUM(Tableau1[[#This Row],[Achats confiserie]:[Achats boisson]])</f>
        <v>2042</v>
      </c>
      <c r="BW8" s="58">
        <v>2042</v>
      </c>
      <c r="BX8" s="69"/>
      <c r="BY8" s="58"/>
      <c r="BZ8" s="56">
        <f t="shared" si="16"/>
        <v>0</v>
      </c>
      <c r="CA8" s="66"/>
      <c r="CB8" s="66"/>
      <c r="CC8" s="56">
        <f t="shared" si="17"/>
        <v>-256</v>
      </c>
      <c r="CD8" s="55">
        <v>-256</v>
      </c>
      <c r="CE8" s="93"/>
      <c r="CF8" s="55"/>
      <c r="CG8" s="55"/>
      <c r="CH8" s="67">
        <f t="shared" si="18"/>
        <v>156563.76999999999</v>
      </c>
      <c r="CI8" s="68">
        <f t="shared" si="19"/>
        <v>106551</v>
      </c>
      <c r="CJ8" s="55"/>
      <c r="CK8" s="55">
        <f>99793+99</f>
        <v>99892</v>
      </c>
      <c r="CL8" s="55"/>
      <c r="CM8" s="55"/>
      <c r="CN8" s="55">
        <f>5237+1422</f>
        <v>6659</v>
      </c>
      <c r="CO8" s="68">
        <f t="shared" si="20"/>
        <v>20375</v>
      </c>
      <c r="CP8" s="75">
        <f>SUM(Tableau1[[#This Row],[Fourniture eau]:[Energie (non précisé)]])</f>
        <v>10382</v>
      </c>
      <c r="CQ8" s="55">
        <v>371</v>
      </c>
      <c r="CR8" s="55">
        <v>9609</v>
      </c>
      <c r="CS8" s="55">
        <v>402</v>
      </c>
      <c r="CT8" s="55"/>
      <c r="CU8" s="55">
        <v>7870</v>
      </c>
      <c r="CV8" s="55">
        <v>2123</v>
      </c>
      <c r="CW8" s="93"/>
      <c r="CX8" s="68">
        <f>SUM(Tableau1[[#This Row],[Sous-traitance]:[Autres ou non précisé 12]])</f>
        <v>3132</v>
      </c>
      <c r="CY8" s="65"/>
      <c r="CZ8" s="65">
        <v>3000</v>
      </c>
      <c r="DA8" s="65">
        <v>132</v>
      </c>
      <c r="DB8" s="65"/>
      <c r="DC8" s="55"/>
      <c r="DD8" s="68">
        <f t="shared" si="21"/>
        <v>6651</v>
      </c>
      <c r="DE8" s="55"/>
      <c r="DF8" s="65">
        <v>0</v>
      </c>
      <c r="DG8" s="65">
        <v>6651</v>
      </c>
      <c r="DH8" s="65"/>
      <c r="DI8" s="68">
        <f>SUM(Tableau1[[#This Row],[Entretien et réparation matériel de projection]:[Autres ou non précisé 14]])</f>
        <v>0</v>
      </c>
      <c r="DJ8" s="58"/>
      <c r="DK8" s="58"/>
      <c r="DL8" s="69"/>
      <c r="DM8" s="68">
        <f t="shared" si="22"/>
        <v>875</v>
      </c>
      <c r="DN8" s="58"/>
      <c r="DO8" s="58">
        <v>875</v>
      </c>
      <c r="DP8" s="68">
        <f t="shared" si="23"/>
        <v>3546</v>
      </c>
      <c r="DQ8" s="65">
        <v>2919</v>
      </c>
      <c r="DR8" s="65">
        <v>627</v>
      </c>
      <c r="DS8" s="68">
        <f t="shared" si="24"/>
        <v>0</v>
      </c>
      <c r="DT8" s="65"/>
      <c r="DU8" s="65"/>
      <c r="DV8" s="65"/>
      <c r="DW8" s="68">
        <f>SUM(Tableau1[[#This Row],[Comission et courtage sur achats]:[Autres ou honoraires
 non précisé ]])</f>
        <v>4380</v>
      </c>
      <c r="DX8" s="57"/>
      <c r="DY8" s="57"/>
      <c r="DZ8" s="65">
        <v>4380</v>
      </c>
      <c r="EA8" s="65"/>
      <c r="EB8" s="65"/>
      <c r="EC8" s="68">
        <f t="shared" si="25"/>
        <v>3595</v>
      </c>
      <c r="ED8" s="69"/>
      <c r="EE8" s="69">
        <v>804</v>
      </c>
      <c r="EF8" s="69"/>
      <c r="EG8" s="69"/>
      <c r="EH8" s="69">
        <f>234+2407+150</f>
        <v>2791</v>
      </c>
      <c r="EI8" s="84">
        <f>SUM(Tableau1[[#This Row],[Transports sur films]:[autres ]])</f>
        <v>1150.77</v>
      </c>
      <c r="EJ8" s="132">
        <v>1150.77</v>
      </c>
      <c r="EK8" s="132"/>
      <c r="EL8" s="68">
        <f t="shared" si="26"/>
        <v>2371</v>
      </c>
      <c r="EM8" s="65">
        <v>241</v>
      </c>
      <c r="EN8" s="65">
        <v>486</v>
      </c>
      <c r="EO8" s="65"/>
      <c r="EP8" s="65"/>
      <c r="EQ8" s="65">
        <v>244</v>
      </c>
      <c r="ER8" s="65">
        <v>1400</v>
      </c>
      <c r="ES8" s="65">
        <v>0</v>
      </c>
      <c r="ET8" s="68">
        <f t="shared" si="27"/>
        <v>2414</v>
      </c>
      <c r="EU8" s="65">
        <f>920</f>
        <v>920</v>
      </c>
      <c r="EV8" s="65">
        <v>828</v>
      </c>
      <c r="EW8" s="66">
        <v>203</v>
      </c>
      <c r="EX8" s="65">
        <v>463</v>
      </c>
      <c r="EY8" s="65"/>
      <c r="EZ8" s="68">
        <f>SUM(Tableau1[[#This Row],[Frais sur CB]:[Services bancaires]])</f>
        <v>923</v>
      </c>
      <c r="FA8" s="65">
        <v>318</v>
      </c>
      <c r="FB8" s="65">
        <v>605</v>
      </c>
      <c r="FC8" s="70">
        <f t="shared" si="28"/>
        <v>600</v>
      </c>
      <c r="FD8" s="65">
        <v>600</v>
      </c>
      <c r="FE8" s="71">
        <f t="shared" si="29"/>
        <v>855</v>
      </c>
      <c r="FF8" s="72">
        <f t="shared" si="30"/>
        <v>735</v>
      </c>
      <c r="FG8" s="65">
        <v>448</v>
      </c>
      <c r="FH8" s="65">
        <v>287</v>
      </c>
      <c r="FI8" s="65"/>
      <c r="FJ8" s="56">
        <f t="shared" si="31"/>
        <v>120</v>
      </c>
      <c r="FK8" s="93"/>
      <c r="FL8" s="93"/>
      <c r="FM8" s="65"/>
      <c r="FN8" s="65">
        <f>90+30</f>
        <v>120</v>
      </c>
      <c r="FO8" s="67">
        <f t="shared" si="32"/>
        <v>55660</v>
      </c>
      <c r="FP8" s="57">
        <v>44257</v>
      </c>
      <c r="FQ8" s="73">
        <v>11403</v>
      </c>
      <c r="FR8" s="73"/>
      <c r="FS8" s="71">
        <f t="shared" si="33"/>
        <v>23720</v>
      </c>
      <c r="FT8" s="91">
        <v>23720</v>
      </c>
      <c r="FU8" s="91"/>
      <c r="FV8" s="67">
        <f>SUM(Tableau1[[#This Row],[Droits d''auteurs SACEM + cotisations SACEM]:[Autres ou non préciés]])</f>
        <v>4718</v>
      </c>
      <c r="FW8" s="75">
        <f t="shared" si="34"/>
        <v>3729</v>
      </c>
      <c r="FX8" s="74">
        <v>0</v>
      </c>
      <c r="FY8" s="91"/>
      <c r="FZ8" s="74">
        <v>3729</v>
      </c>
      <c r="GA8" s="74">
        <f>900+89</f>
        <v>989</v>
      </c>
      <c r="GB8" s="71">
        <f t="shared" si="35"/>
        <v>0</v>
      </c>
      <c r="GC8" s="92"/>
      <c r="GD8" s="92"/>
      <c r="GE8" s="67">
        <f t="shared" si="36"/>
        <v>50</v>
      </c>
      <c r="GF8" s="66">
        <v>50</v>
      </c>
      <c r="GG8" s="66"/>
      <c r="GH8" s="66"/>
      <c r="GI8" s="66"/>
      <c r="GJ8" s="77"/>
    </row>
    <row r="9" spans="1:192" ht="18.600000000000001" customHeight="1" x14ac:dyDescent="0.25">
      <c r="A9" s="89"/>
      <c r="B9" s="17"/>
      <c r="C9" s="50"/>
      <c r="D9" s="140"/>
      <c r="E9" s="51"/>
      <c r="F9" s="139"/>
      <c r="G9" s="49"/>
      <c r="H9" s="50"/>
      <c r="I9" s="122"/>
      <c r="J9" s="49"/>
      <c r="K9" s="50">
        <v>2</v>
      </c>
      <c r="L9" s="50"/>
      <c r="M9" s="90">
        <v>53</v>
      </c>
      <c r="N9" s="50"/>
      <c r="O9" s="50"/>
      <c r="P9" s="90"/>
      <c r="Q9" s="52">
        <f t="shared" si="0"/>
        <v>458448.06999999995</v>
      </c>
      <c r="R9" s="52">
        <f t="shared" si="1"/>
        <v>441817.69999999995</v>
      </c>
      <c r="S9" s="53">
        <f t="shared" si="2"/>
        <v>285799.14999999997</v>
      </c>
      <c r="T9" s="54">
        <f t="shared" si="3"/>
        <v>1922.4099999999999</v>
      </c>
      <c r="U9" s="115">
        <f>SUM(Tableau1[[#This Row],[Vente confiserie]:[Vente boisson]])</f>
        <v>1373.25</v>
      </c>
      <c r="V9" s="55">
        <v>1373.25</v>
      </c>
      <c r="W9" s="55"/>
      <c r="X9" s="135">
        <f>SUM(Tableau1[[#This Row],[Vente lunette]:[Location lunette]])</f>
        <v>549.16</v>
      </c>
      <c r="Y9" s="55">
        <v>549.16</v>
      </c>
      <c r="Z9" s="55"/>
      <c r="AA9" s="55"/>
      <c r="AB9" s="55"/>
      <c r="AC9" s="56">
        <f t="shared" si="4"/>
        <v>272566.23</v>
      </c>
      <c r="AD9" s="57">
        <f>153072.69+119493.54</f>
        <v>272566.23</v>
      </c>
      <c r="AE9" s="57"/>
      <c r="AF9" s="57"/>
      <c r="AG9" s="57"/>
      <c r="AH9" s="57"/>
      <c r="AI9" s="57"/>
      <c r="AJ9" s="118">
        <f>(Tableau1[[#This Row],[Recette guichet ]]*1.1275177)-Tableau1[[#This Row],[Recette guichet ]]</f>
        <v>34757.018747271039</v>
      </c>
      <c r="AK9" s="57"/>
      <c r="AL9" s="56">
        <f t="shared" si="5"/>
        <v>11310.51</v>
      </c>
      <c r="AM9" s="58"/>
      <c r="AN9" s="58">
        <f>4126.66+801.44</f>
        <v>4928.1000000000004</v>
      </c>
      <c r="AO9" s="58">
        <f>1384.16+3380</f>
        <v>4764.16</v>
      </c>
      <c r="AP9" s="115">
        <f t="shared" si="6"/>
        <v>0</v>
      </c>
      <c r="AQ9" s="69">
        <v>0</v>
      </c>
      <c r="AR9" s="69">
        <v>0</v>
      </c>
      <c r="AS9" s="69">
        <v>0</v>
      </c>
      <c r="AT9" s="69">
        <f>1063.5+554.75</f>
        <v>1618.25</v>
      </c>
      <c r="AU9" s="59">
        <f t="shared" si="7"/>
        <v>156018.54999999999</v>
      </c>
      <c r="AV9" s="60">
        <f t="shared" si="8"/>
        <v>90489.58</v>
      </c>
      <c r="AW9" s="58">
        <v>90489.58</v>
      </c>
      <c r="AX9" s="58"/>
      <c r="AY9" s="58"/>
      <c r="AZ9" s="60">
        <f t="shared" si="9"/>
        <v>410</v>
      </c>
      <c r="BA9" s="58"/>
      <c r="BB9" s="58">
        <f>410</f>
        <v>410</v>
      </c>
      <c r="BC9" s="58"/>
      <c r="BD9" s="60">
        <f>SUM(Tableau1[[#This Row],[ticket/carte/abonnement périmé]:[Autres ou non précisé 5]])</f>
        <v>65118.97</v>
      </c>
      <c r="BE9" s="58"/>
      <c r="BF9" s="58">
        <v>65059.99</v>
      </c>
      <c r="BG9" s="58">
        <v>58.98</v>
      </c>
      <c r="BH9" s="61">
        <f t="shared" si="10"/>
        <v>1214.0999999999999</v>
      </c>
      <c r="BI9" s="120">
        <v>1214.0999999999999</v>
      </c>
      <c r="BJ9" s="120">
        <v>0</v>
      </c>
      <c r="BK9" s="62">
        <f t="shared" si="11"/>
        <v>15416.27</v>
      </c>
      <c r="BL9" s="120">
        <v>7284.27</v>
      </c>
      <c r="BM9" s="120"/>
      <c r="BN9" s="120">
        <v>8132</v>
      </c>
      <c r="BO9" s="120"/>
      <c r="BP9" s="120"/>
      <c r="BQ9" s="63"/>
      <c r="BR9" s="52">
        <f t="shared" si="12"/>
        <v>386719.18</v>
      </c>
      <c r="BS9" s="52">
        <f t="shared" si="13"/>
        <v>270711.61</v>
      </c>
      <c r="BT9" s="61">
        <f t="shared" si="14"/>
        <v>2973.16</v>
      </c>
      <c r="BU9" s="64">
        <f t="shared" si="15"/>
        <v>3134.75</v>
      </c>
      <c r="BV9" s="119">
        <f>SUM(Tableau1[[#This Row],[Achats confiserie]:[Achats boisson]])</f>
        <v>3134.75</v>
      </c>
      <c r="BW9" s="58">
        <f>467.62+2667.13</f>
        <v>3134.75</v>
      </c>
      <c r="BX9" s="69"/>
      <c r="BY9" s="58"/>
      <c r="BZ9" s="56">
        <f t="shared" si="16"/>
        <v>0</v>
      </c>
      <c r="CA9" s="66"/>
      <c r="CB9" s="66"/>
      <c r="CC9" s="56">
        <f t="shared" si="17"/>
        <v>-161.59</v>
      </c>
      <c r="CD9" s="55">
        <v>-161.59</v>
      </c>
      <c r="CE9" s="65"/>
      <c r="CF9" s="55"/>
      <c r="CG9" s="55"/>
      <c r="CH9" s="67">
        <f t="shared" si="18"/>
        <v>179149.98</v>
      </c>
      <c r="CI9" s="68">
        <f t="shared" si="19"/>
        <v>124501.58</v>
      </c>
      <c r="CJ9" s="55"/>
      <c r="CK9" s="55">
        <f>117089.14</f>
        <v>117089.14</v>
      </c>
      <c r="CL9" s="55"/>
      <c r="CM9" s="55"/>
      <c r="CN9" s="55">
        <f>1536+5876.44</f>
        <v>7412.44</v>
      </c>
      <c r="CO9" s="68">
        <f t="shared" si="20"/>
        <v>24557.87</v>
      </c>
      <c r="CP9" s="75">
        <f>SUM(Tableau1[[#This Row],[Fourniture eau]:[Energie (non précisé)]])</f>
        <v>12570.59</v>
      </c>
      <c r="CQ9" s="55">
        <v>665.33</v>
      </c>
      <c r="CR9" s="55">
        <v>11495.02</v>
      </c>
      <c r="CS9" s="55">
        <v>410.24</v>
      </c>
      <c r="CT9" s="55"/>
      <c r="CU9" s="55">
        <v>3836.82</v>
      </c>
      <c r="CV9" s="55">
        <v>8150.46</v>
      </c>
      <c r="CW9" s="93"/>
      <c r="CX9" s="68">
        <f>SUM(Tableau1[[#This Row],[Sous-traitance]:[Autres ou non précisé 12]])</f>
        <v>3132</v>
      </c>
      <c r="CY9" s="65"/>
      <c r="CZ9" s="65">
        <v>3000</v>
      </c>
      <c r="DA9" s="65">
        <v>132</v>
      </c>
      <c r="DB9" s="65"/>
      <c r="DC9" s="55"/>
      <c r="DD9" s="68">
        <f t="shared" si="21"/>
        <v>3779.28</v>
      </c>
      <c r="DE9" s="55">
        <v>625</v>
      </c>
      <c r="DF9" s="65">
        <v>0</v>
      </c>
      <c r="DG9" s="55">
        <v>3154.28</v>
      </c>
      <c r="DH9" s="65"/>
      <c r="DI9" s="68">
        <f>SUM(Tableau1[[#This Row],[Entretien et réparation matériel de projection]:[Autres ou non précisé 14]])</f>
        <v>1464.6</v>
      </c>
      <c r="DJ9" s="58">
        <v>1464.6</v>
      </c>
      <c r="DK9" s="58"/>
      <c r="DL9" s="69"/>
      <c r="DM9" s="68">
        <f t="shared" si="22"/>
        <v>280</v>
      </c>
      <c r="DN9" s="58"/>
      <c r="DO9" s="58">
        <v>280</v>
      </c>
      <c r="DP9" s="68">
        <f t="shared" si="23"/>
        <v>3571.69</v>
      </c>
      <c r="DQ9" s="65">
        <v>3078.46</v>
      </c>
      <c r="DR9" s="55">
        <v>493.23</v>
      </c>
      <c r="DS9" s="68">
        <f t="shared" si="24"/>
        <v>150</v>
      </c>
      <c r="DT9" s="65"/>
      <c r="DU9" s="65"/>
      <c r="DV9" s="65">
        <v>150</v>
      </c>
      <c r="DW9" s="68">
        <f>SUM(Tableau1[[#This Row],[Comission et courtage sur achats]:[Autres ou honoraires
 non précisé ]])</f>
        <v>4769</v>
      </c>
      <c r="DX9" s="57"/>
      <c r="DY9" s="57"/>
      <c r="DZ9" s="65">
        <v>4769</v>
      </c>
      <c r="EA9" s="65"/>
      <c r="EB9" s="65"/>
      <c r="EC9" s="68">
        <f t="shared" si="25"/>
        <v>3988.02</v>
      </c>
      <c r="ED9" s="69"/>
      <c r="EE9" s="69">
        <v>116</v>
      </c>
      <c r="EF9" s="69"/>
      <c r="EG9" s="69"/>
      <c r="EH9" s="69">
        <f>3366.52+169.5+336</f>
        <v>3872.02</v>
      </c>
      <c r="EI9" s="84">
        <f>SUM(Tableau1[[#This Row],[Transports sur films]:[autres ]])</f>
        <v>189.12</v>
      </c>
      <c r="EJ9" s="132">
        <v>189.12</v>
      </c>
      <c r="EK9" s="132"/>
      <c r="EL9" s="68">
        <f t="shared" si="26"/>
        <v>3539.54</v>
      </c>
      <c r="EM9" s="65">
        <v>105</v>
      </c>
      <c r="EN9" s="65">
        <v>667.65</v>
      </c>
      <c r="EO9" s="65"/>
      <c r="EP9" s="65"/>
      <c r="EQ9" s="65">
        <v>1279.6300000000001</v>
      </c>
      <c r="ER9" s="65">
        <v>1487.26</v>
      </c>
      <c r="ES9" s="65">
        <v>0</v>
      </c>
      <c r="ET9" s="68">
        <f t="shared" si="27"/>
        <v>3870.49</v>
      </c>
      <c r="EU9" s="65">
        <v>1190</v>
      </c>
      <c r="EV9" s="65">
        <v>956.99</v>
      </c>
      <c r="EW9" s="65">
        <v>248.77</v>
      </c>
      <c r="EX9" s="65">
        <v>1474.73</v>
      </c>
      <c r="EY9" s="65"/>
      <c r="EZ9" s="68">
        <f>SUM(Tableau1[[#This Row],[Frais sur CB]:[Services bancaires]])</f>
        <v>333.40000000000003</v>
      </c>
      <c r="FA9" s="65">
        <v>279.8</v>
      </c>
      <c r="FB9" s="65">
        <v>53.6</v>
      </c>
      <c r="FC9" s="70">
        <f t="shared" si="28"/>
        <v>1023.39</v>
      </c>
      <c r="FD9" s="65">
        <v>1023.39</v>
      </c>
      <c r="FE9" s="71">
        <f t="shared" si="29"/>
        <v>838.54</v>
      </c>
      <c r="FF9" s="72">
        <f t="shared" si="30"/>
        <v>716.54</v>
      </c>
      <c r="FG9" s="65">
        <v>392.54</v>
      </c>
      <c r="FH9" s="65">
        <v>324</v>
      </c>
      <c r="FI9" s="65"/>
      <c r="FJ9" s="56">
        <f t="shared" si="31"/>
        <v>122</v>
      </c>
      <c r="FK9" s="93"/>
      <c r="FL9" s="93"/>
      <c r="FM9" s="65"/>
      <c r="FN9" s="65">
        <f>30+92</f>
        <v>122</v>
      </c>
      <c r="FO9" s="67">
        <f t="shared" si="32"/>
        <v>59152.43</v>
      </c>
      <c r="FP9" s="57">
        <v>47047.3</v>
      </c>
      <c r="FQ9" s="73">
        <v>12105.13</v>
      </c>
      <c r="FR9" s="73"/>
      <c r="FS9" s="71">
        <f t="shared" si="33"/>
        <v>24238.959999999999</v>
      </c>
      <c r="FT9" s="91">
        <v>24238.959999999999</v>
      </c>
      <c r="FU9" s="91"/>
      <c r="FV9" s="67">
        <f>SUM(Tableau1[[#This Row],[Droits d''auteurs SACEM + cotisations SACEM]:[Autres ou non préciés]])</f>
        <v>4358.54</v>
      </c>
      <c r="FW9" s="75">
        <f t="shared" si="34"/>
        <v>3442.54</v>
      </c>
      <c r="FX9" s="74">
        <v>0</v>
      </c>
      <c r="FY9" s="74"/>
      <c r="FZ9" s="74">
        <v>3442.54</v>
      </c>
      <c r="GA9" s="74">
        <f>900+16</f>
        <v>916</v>
      </c>
      <c r="GB9" s="71">
        <f t="shared" si="35"/>
        <v>0</v>
      </c>
      <c r="GC9" s="92"/>
      <c r="GD9" s="92"/>
      <c r="GE9" s="67">
        <f t="shared" si="36"/>
        <v>116007.57</v>
      </c>
      <c r="GF9" s="66">
        <f>45+114625.85</f>
        <v>114670.85</v>
      </c>
      <c r="GG9" s="66">
        <v>1336.72</v>
      </c>
      <c r="GH9" s="66"/>
      <c r="GI9" s="66"/>
      <c r="GJ9" s="77"/>
    </row>
    <row r="10" spans="1:192" ht="18.600000000000001" customHeight="1" x14ac:dyDescent="0.25">
      <c r="A10" s="89"/>
      <c r="B10" s="17"/>
      <c r="C10" s="50"/>
      <c r="D10" s="140"/>
      <c r="E10" s="51"/>
      <c r="F10" s="139"/>
      <c r="G10" s="49"/>
      <c r="H10" s="50"/>
      <c r="I10" s="122"/>
      <c r="J10" s="49"/>
      <c r="K10" s="50">
        <v>1</v>
      </c>
      <c r="L10" s="50"/>
      <c r="M10" s="90">
        <v>51</v>
      </c>
      <c r="N10" s="50"/>
      <c r="O10" s="50"/>
      <c r="P10" s="90"/>
      <c r="Q10" s="52">
        <f t="shared" si="0"/>
        <v>312433</v>
      </c>
      <c r="R10" s="52">
        <f t="shared" si="1"/>
        <v>298076</v>
      </c>
      <c r="S10" s="53">
        <f t="shared" si="2"/>
        <v>151643</v>
      </c>
      <c r="T10" s="54">
        <f t="shared" si="3"/>
        <v>7331</v>
      </c>
      <c r="U10" s="115">
        <f>SUM(Tableau1[[#This Row],[Vente confiserie]:[Vente boisson]])</f>
        <v>0</v>
      </c>
      <c r="V10" s="55"/>
      <c r="W10" s="55"/>
      <c r="X10" s="135">
        <f>SUM(Tableau1[[#This Row],[Vente lunette]:[Location lunette]])</f>
        <v>0</v>
      </c>
      <c r="Y10" s="55"/>
      <c r="Z10" s="55"/>
      <c r="AA10" s="55"/>
      <c r="AB10" s="55">
        <v>7331</v>
      </c>
      <c r="AC10" s="56">
        <f t="shared" si="4"/>
        <v>144312</v>
      </c>
      <c r="AD10" s="57"/>
      <c r="AE10" s="57"/>
      <c r="AF10" s="57"/>
      <c r="AG10" s="57"/>
      <c r="AH10" s="57"/>
      <c r="AI10" s="57"/>
      <c r="AJ10" s="118">
        <f>(Tableau1[[#This Row],[Recette guichet ]]*1.1275177)-Tableau1[[#This Row],[Recette guichet ]]</f>
        <v>0</v>
      </c>
      <c r="AK10" s="57">
        <f>144312</f>
        <v>144312</v>
      </c>
      <c r="AL10" s="56">
        <f t="shared" si="5"/>
        <v>0</v>
      </c>
      <c r="AM10" s="58"/>
      <c r="AN10" s="58"/>
      <c r="AO10" s="58"/>
      <c r="AP10" s="115">
        <f t="shared" si="6"/>
        <v>0</v>
      </c>
      <c r="AQ10" s="69"/>
      <c r="AR10" s="69"/>
      <c r="AS10" s="69"/>
      <c r="AT10" s="69"/>
      <c r="AU10" s="59">
        <f t="shared" si="7"/>
        <v>146433</v>
      </c>
      <c r="AV10" s="60">
        <f t="shared" si="8"/>
        <v>142351</v>
      </c>
      <c r="AW10" s="58"/>
      <c r="AX10" s="58"/>
      <c r="AY10" s="58">
        <f>141756+595</f>
        <v>142351</v>
      </c>
      <c r="AZ10" s="60">
        <f t="shared" si="9"/>
        <v>72</v>
      </c>
      <c r="BA10" s="58"/>
      <c r="BB10" s="58">
        <v>72</v>
      </c>
      <c r="BC10" s="58"/>
      <c r="BD10" s="60">
        <f>SUM(Tableau1[[#This Row],[ticket/carte/abonnement périmé]:[Autres ou non précisé 5]])</f>
        <v>4010</v>
      </c>
      <c r="BE10" s="58"/>
      <c r="BF10" s="58"/>
      <c r="BG10" s="58">
        <v>4010</v>
      </c>
      <c r="BH10" s="61">
        <f t="shared" si="10"/>
        <v>499</v>
      </c>
      <c r="BI10" s="120">
        <v>499</v>
      </c>
      <c r="BJ10" s="120"/>
      <c r="BK10" s="62">
        <f t="shared" si="11"/>
        <v>13858</v>
      </c>
      <c r="BL10" s="120"/>
      <c r="BM10" s="120"/>
      <c r="BN10" s="120"/>
      <c r="BO10" s="120"/>
      <c r="BP10" s="120"/>
      <c r="BQ10" s="63">
        <v>13858</v>
      </c>
      <c r="BR10" s="52">
        <f t="shared" si="12"/>
        <v>307552</v>
      </c>
      <c r="BS10" s="52">
        <f t="shared" si="13"/>
        <v>307552</v>
      </c>
      <c r="BT10" s="61">
        <f t="shared" si="14"/>
        <v>1457</v>
      </c>
      <c r="BU10" s="64">
        <f t="shared" si="15"/>
        <v>1227</v>
      </c>
      <c r="BV10" s="119">
        <f>SUM(Tableau1[[#This Row],[Achats confiserie]:[Achats boisson]])</f>
        <v>0</v>
      </c>
      <c r="BW10" s="58"/>
      <c r="BX10" s="69"/>
      <c r="BY10" s="58">
        <v>1227</v>
      </c>
      <c r="BZ10" s="56">
        <f t="shared" si="16"/>
        <v>0</v>
      </c>
      <c r="CA10" s="66"/>
      <c r="CB10" s="66"/>
      <c r="CC10" s="56">
        <f t="shared" si="17"/>
        <v>230</v>
      </c>
      <c r="CD10" s="55"/>
      <c r="CE10" s="65"/>
      <c r="CF10" s="55"/>
      <c r="CG10" s="55">
        <v>230</v>
      </c>
      <c r="CH10" s="67">
        <f t="shared" si="18"/>
        <v>150535</v>
      </c>
      <c r="CI10" s="68">
        <f t="shared" si="19"/>
        <v>150535</v>
      </c>
      <c r="CJ10" s="55"/>
      <c r="CK10" s="55"/>
      <c r="CL10" s="55"/>
      <c r="CM10" s="55"/>
      <c r="CN10" s="55">
        <v>150535</v>
      </c>
      <c r="CO10" s="68">
        <f t="shared" si="20"/>
        <v>0</v>
      </c>
      <c r="CP10" s="75">
        <f>SUM(Tableau1[[#This Row],[Fourniture eau]:[Energie (non précisé)]])</f>
        <v>0</v>
      </c>
      <c r="CQ10" s="55"/>
      <c r="CR10" s="55"/>
      <c r="CS10" s="55"/>
      <c r="CT10" s="55"/>
      <c r="CU10" s="55"/>
      <c r="CV10" s="55">
        <v>0</v>
      </c>
      <c r="CW10" s="55"/>
      <c r="CX10" s="68">
        <f>SUM(Tableau1[[#This Row],[Sous-traitance]:[Autres ou non précisé 12]])</f>
        <v>0</v>
      </c>
      <c r="CY10" s="65"/>
      <c r="CZ10" s="65"/>
      <c r="DA10" s="65"/>
      <c r="DB10" s="65"/>
      <c r="DC10" s="55"/>
      <c r="DD10" s="68">
        <f t="shared" si="21"/>
        <v>0</v>
      </c>
      <c r="DE10" s="55"/>
      <c r="DF10" s="65"/>
      <c r="DG10" s="65"/>
      <c r="DH10" s="65"/>
      <c r="DI10" s="68">
        <f>SUM(Tableau1[[#This Row],[Entretien et réparation matériel de projection]:[Autres ou non précisé 14]])</f>
        <v>0</v>
      </c>
      <c r="DJ10" s="58"/>
      <c r="DK10" s="58"/>
      <c r="DL10" s="69"/>
      <c r="DM10" s="68">
        <f t="shared" si="22"/>
        <v>0</v>
      </c>
      <c r="DN10" s="58"/>
      <c r="DO10" s="58"/>
      <c r="DP10" s="68">
        <f t="shared" si="23"/>
        <v>0</v>
      </c>
      <c r="DQ10" s="65"/>
      <c r="DR10" s="65"/>
      <c r="DS10" s="68">
        <f t="shared" si="24"/>
        <v>0</v>
      </c>
      <c r="DT10" s="65"/>
      <c r="DU10" s="65"/>
      <c r="DV10" s="65"/>
      <c r="DW10" s="68">
        <f>SUM(Tableau1[[#This Row],[Comission et courtage sur achats]:[Autres ou honoraires
 non précisé ]])</f>
        <v>0</v>
      </c>
      <c r="DX10" s="57"/>
      <c r="DY10" s="57"/>
      <c r="DZ10" s="65"/>
      <c r="EA10" s="65"/>
      <c r="EB10" s="65"/>
      <c r="EC10" s="68">
        <f t="shared" si="25"/>
        <v>0</v>
      </c>
      <c r="ED10" s="69"/>
      <c r="EE10" s="69"/>
      <c r="EF10" s="69"/>
      <c r="EG10" s="69"/>
      <c r="EH10" s="69"/>
      <c r="EI10" s="84">
        <f>SUM(Tableau1[[#This Row],[Transports sur films]:[autres ]])</f>
        <v>0</v>
      </c>
      <c r="EJ10" s="132">
        <v>0</v>
      </c>
      <c r="EK10" s="132"/>
      <c r="EL10" s="68">
        <f t="shared" si="26"/>
        <v>0</v>
      </c>
      <c r="EM10" s="65"/>
      <c r="EN10" s="65">
        <v>0</v>
      </c>
      <c r="EO10" s="65"/>
      <c r="EP10" s="65"/>
      <c r="EQ10" s="65"/>
      <c r="ER10" s="65"/>
      <c r="ES10" s="65"/>
      <c r="ET10" s="68">
        <f t="shared" si="27"/>
        <v>0</v>
      </c>
      <c r="EU10" s="65"/>
      <c r="EV10" s="65"/>
      <c r="EW10" s="65"/>
      <c r="EX10" s="65"/>
      <c r="EY10" s="65"/>
      <c r="EZ10" s="68">
        <f>SUM(Tableau1[[#This Row],[Frais sur CB]:[Services bancaires]])</f>
        <v>0</v>
      </c>
      <c r="FA10" s="65"/>
      <c r="FB10" s="65"/>
      <c r="FC10" s="70">
        <f t="shared" si="28"/>
        <v>0</v>
      </c>
      <c r="FD10" s="65"/>
      <c r="FE10" s="71">
        <f t="shared" si="29"/>
        <v>16414</v>
      </c>
      <c r="FF10" s="72">
        <f t="shared" si="30"/>
        <v>0</v>
      </c>
      <c r="FG10" s="65"/>
      <c r="FH10" s="65"/>
      <c r="FI10" s="65"/>
      <c r="FJ10" s="56">
        <f t="shared" si="31"/>
        <v>16414</v>
      </c>
      <c r="FK10" s="65"/>
      <c r="FL10" s="65"/>
      <c r="FM10" s="65"/>
      <c r="FN10" s="65">
        <v>16414</v>
      </c>
      <c r="FO10" s="67">
        <f t="shared" si="32"/>
        <v>127153</v>
      </c>
      <c r="FP10" s="57">
        <v>101197</v>
      </c>
      <c r="FQ10" s="73">
        <v>25956</v>
      </c>
      <c r="FR10" s="73"/>
      <c r="FS10" s="71">
        <f t="shared" si="33"/>
        <v>9476</v>
      </c>
      <c r="FT10" s="91">
        <v>9476</v>
      </c>
      <c r="FU10" s="91"/>
      <c r="FV10" s="67">
        <f>SUM(Tableau1[[#This Row],[Droits d''auteurs SACEM + cotisations SACEM]:[Autres ou non préciés]])</f>
        <v>2517</v>
      </c>
      <c r="FW10" s="75">
        <f t="shared" si="34"/>
        <v>0</v>
      </c>
      <c r="FX10" s="74">
        <v>0</v>
      </c>
      <c r="FY10" s="74"/>
      <c r="FZ10" s="74"/>
      <c r="GA10" s="74">
        <v>2517</v>
      </c>
      <c r="GB10" s="71">
        <f t="shared" si="35"/>
        <v>0</v>
      </c>
      <c r="GC10" s="92"/>
      <c r="GD10" s="92"/>
      <c r="GE10" s="67">
        <f t="shared" si="36"/>
        <v>0</v>
      </c>
      <c r="GF10" s="66"/>
      <c r="GG10" s="66"/>
      <c r="GH10" s="66"/>
      <c r="GI10" s="66"/>
      <c r="GJ10" s="77"/>
    </row>
    <row r="11" spans="1:192" ht="18.600000000000001" customHeight="1" x14ac:dyDescent="0.25">
      <c r="A11" s="89"/>
      <c r="B11" s="17"/>
      <c r="C11" s="50"/>
      <c r="D11" s="140"/>
      <c r="E11" s="51"/>
      <c r="F11" s="139"/>
      <c r="G11" s="49"/>
      <c r="H11" s="50"/>
      <c r="I11" s="122"/>
      <c r="J11" s="49"/>
      <c r="K11" s="50">
        <v>5</v>
      </c>
      <c r="L11" s="50"/>
      <c r="M11" s="90">
        <v>53</v>
      </c>
      <c r="N11" s="50"/>
      <c r="O11" s="50"/>
      <c r="P11" s="90"/>
      <c r="Q11" s="52">
        <f t="shared" si="0"/>
        <v>1138267.7550000001</v>
      </c>
      <c r="R11" s="52">
        <f t="shared" si="1"/>
        <v>1047990.2550000001</v>
      </c>
      <c r="S11" s="53">
        <f t="shared" si="2"/>
        <v>1017884.4250000002</v>
      </c>
      <c r="T11" s="54">
        <f t="shared" si="3"/>
        <v>123103.91</v>
      </c>
      <c r="U11" s="115">
        <f>SUM(Tableau1[[#This Row],[Vente confiserie]:[Vente boisson]])</f>
        <v>123103.91</v>
      </c>
      <c r="V11" s="55">
        <v>123103.91</v>
      </c>
      <c r="W11" s="55"/>
      <c r="X11" s="135">
        <f>SUM(Tableau1[[#This Row],[Vente lunette]:[Location lunette]])</f>
        <v>0</v>
      </c>
      <c r="Y11" s="55"/>
      <c r="Z11" s="55"/>
      <c r="AA11" s="55"/>
      <c r="AB11" s="55"/>
      <c r="AC11" s="56">
        <f t="shared" si="4"/>
        <v>862118.85000000009</v>
      </c>
      <c r="AD11" s="57">
        <v>818362.66</v>
      </c>
      <c r="AE11" s="57"/>
      <c r="AF11" s="57"/>
      <c r="AG11" s="57"/>
      <c r="AH11" s="57"/>
      <c r="AI11" s="57"/>
      <c r="AJ11" s="118">
        <f>(Tableau1[[#This Row],[Recette guichet ]]*1.1275177)-Tableau1[[#This Row],[Recette guichet ]]</f>
        <v>104355.72416908201</v>
      </c>
      <c r="AK11" s="57">
        <v>43756.19</v>
      </c>
      <c r="AL11" s="56">
        <f t="shared" si="5"/>
        <v>32661.665000000001</v>
      </c>
      <c r="AM11" s="58"/>
      <c r="AN11" s="58"/>
      <c r="AO11" s="58">
        <f>18858.46/2</f>
        <v>9429.23</v>
      </c>
      <c r="AP11" s="115">
        <f t="shared" si="6"/>
        <v>23008.81</v>
      </c>
      <c r="AQ11" s="69"/>
      <c r="AR11" s="69"/>
      <c r="AS11" s="69">
        <v>23008.81</v>
      </c>
      <c r="AT11" s="69">
        <f>447.25/2</f>
        <v>223.625</v>
      </c>
      <c r="AU11" s="59">
        <f t="shared" si="7"/>
        <v>30105.83</v>
      </c>
      <c r="AV11" s="60">
        <f t="shared" si="8"/>
        <v>4787.92</v>
      </c>
      <c r="AW11" s="58">
        <v>4787.92</v>
      </c>
      <c r="AX11" s="58"/>
      <c r="AY11" s="58"/>
      <c r="AZ11" s="60">
        <f t="shared" si="9"/>
        <v>1859.25</v>
      </c>
      <c r="BA11" s="58"/>
      <c r="BB11" s="58">
        <f>3718.5/2</f>
        <v>1859.25</v>
      </c>
      <c r="BC11" s="58"/>
      <c r="BD11" s="60">
        <f>SUM(Tableau1[[#This Row],[ticket/carte/abonnement périmé]:[Autres ou non précisé 5]])</f>
        <v>23458.66</v>
      </c>
      <c r="BE11" s="58"/>
      <c r="BF11" s="58">
        <v>23139.32</v>
      </c>
      <c r="BG11" s="58">
        <v>319.33999999999997</v>
      </c>
      <c r="BH11" s="61">
        <f t="shared" si="10"/>
        <v>1091.5</v>
      </c>
      <c r="BI11" s="120">
        <f>2183/2</f>
        <v>1091.5</v>
      </c>
      <c r="BJ11" s="120"/>
      <c r="BK11" s="62">
        <f t="shared" si="11"/>
        <v>89186</v>
      </c>
      <c r="BL11" s="120"/>
      <c r="BM11" s="120"/>
      <c r="BN11" s="120"/>
      <c r="BO11" s="120">
        <v>89186</v>
      </c>
      <c r="BP11" s="120"/>
      <c r="BQ11" s="63"/>
      <c r="BR11" s="52">
        <f t="shared" si="12"/>
        <v>982409.6100000001</v>
      </c>
      <c r="BS11" s="52">
        <f t="shared" si="13"/>
        <v>978370.1100000001</v>
      </c>
      <c r="BT11" s="61">
        <f t="shared" si="14"/>
        <v>86926.9</v>
      </c>
      <c r="BU11" s="64">
        <f t="shared" si="15"/>
        <v>74713</v>
      </c>
      <c r="BV11" s="119">
        <f>SUM(Tableau1[[#This Row],[Achats confiserie]:[Achats boisson]])</f>
        <v>0</v>
      </c>
      <c r="BW11" s="58"/>
      <c r="BX11" s="69"/>
      <c r="BY11" s="58">
        <f>15160.05+59552.95</f>
        <v>74713</v>
      </c>
      <c r="BZ11" s="56">
        <f t="shared" si="16"/>
        <v>12770</v>
      </c>
      <c r="CA11" s="66">
        <v>12770</v>
      </c>
      <c r="CB11" s="66"/>
      <c r="CC11" s="56">
        <f t="shared" si="17"/>
        <v>-556.1</v>
      </c>
      <c r="CD11" s="55"/>
      <c r="CE11" s="65"/>
      <c r="CF11" s="55"/>
      <c r="CG11" s="55">
        <v>-556.1</v>
      </c>
      <c r="CH11" s="67">
        <f t="shared" si="18"/>
        <v>665039.30000000005</v>
      </c>
      <c r="CI11" s="68">
        <f t="shared" si="19"/>
        <v>351749.48</v>
      </c>
      <c r="CJ11" s="55"/>
      <c r="CK11" s="55">
        <v>351749.48</v>
      </c>
      <c r="CL11" s="55"/>
      <c r="CM11" s="55"/>
      <c r="CN11" s="55"/>
      <c r="CO11" s="68">
        <f t="shared" si="20"/>
        <v>44880.649999999994</v>
      </c>
      <c r="CP11" s="75">
        <f>SUM(Tableau1[[#This Row],[Fourniture eau]:[Energie (non précisé)]])</f>
        <v>28588.42</v>
      </c>
      <c r="CQ11" s="55">
        <v>1026.1500000000001</v>
      </c>
      <c r="CR11" s="55">
        <v>17532.89</v>
      </c>
      <c r="CS11" s="55">
        <v>10029.379999999999</v>
      </c>
      <c r="CT11" s="55"/>
      <c r="CU11" s="55">
        <f>12669.96</f>
        <v>12669.96</v>
      </c>
      <c r="CV11" s="55">
        <v>2262.52</v>
      </c>
      <c r="CW11" s="55">
        <v>1359.75</v>
      </c>
      <c r="CX11" s="68">
        <f>SUM(Tableau1[[#This Row],[Sous-traitance]:[Autres ou non précisé 12]])</f>
        <v>142039.08000000002</v>
      </c>
      <c r="CY11" s="65"/>
      <c r="CZ11" s="65">
        <f>4800/2+67636+14000/2</f>
        <v>77036</v>
      </c>
      <c r="DA11" s="93">
        <f>7315.62+21972.36+19648.2+5787*2+437.9</f>
        <v>60948.08</v>
      </c>
      <c r="DB11" s="65"/>
      <c r="DC11" s="55">
        <v>4055</v>
      </c>
      <c r="DD11" s="68">
        <f t="shared" si="21"/>
        <v>31852.31</v>
      </c>
      <c r="DE11" s="55">
        <v>27911.88</v>
      </c>
      <c r="DF11" s="65"/>
      <c r="DG11" s="65">
        <v>3940.43</v>
      </c>
      <c r="DH11" s="65"/>
      <c r="DI11" s="68">
        <f>SUM(Tableau1[[#This Row],[Entretien et réparation matériel de projection]:[Autres ou non précisé 14]])</f>
        <v>15172</v>
      </c>
      <c r="DJ11" s="58">
        <v>15069</v>
      </c>
      <c r="DK11" s="58"/>
      <c r="DL11" s="69">
        <v>103</v>
      </c>
      <c r="DM11" s="68">
        <f t="shared" si="22"/>
        <v>12125.4</v>
      </c>
      <c r="DN11" s="58"/>
      <c r="DO11" s="58">
        <v>12125.4</v>
      </c>
      <c r="DP11" s="68">
        <f t="shared" si="23"/>
        <v>7921.3</v>
      </c>
      <c r="DQ11" s="65">
        <f>7760+51</f>
        <v>7811</v>
      </c>
      <c r="DR11" s="65">
        <v>110.3</v>
      </c>
      <c r="DS11" s="68">
        <f t="shared" si="24"/>
        <v>9879</v>
      </c>
      <c r="DT11" s="65">
        <f>9632+247</f>
        <v>9879</v>
      </c>
      <c r="DU11" s="65"/>
      <c r="DV11" s="65"/>
      <c r="DW11" s="68">
        <f>SUM(Tableau1[[#This Row],[Comission et courtage sur achats]:[Autres ou honoraires
 non précisé ]])</f>
        <v>21760.55</v>
      </c>
      <c r="DX11" s="57"/>
      <c r="DY11" s="57"/>
      <c r="DZ11" s="65">
        <v>16392</v>
      </c>
      <c r="EA11" s="65">
        <v>100.55</v>
      </c>
      <c r="EB11" s="55">
        <f>5177+91</f>
        <v>5268</v>
      </c>
      <c r="EC11" s="68">
        <f t="shared" si="25"/>
        <v>954.22</v>
      </c>
      <c r="ED11" s="69"/>
      <c r="EE11" s="69"/>
      <c r="EF11" s="69">
        <v>414.22</v>
      </c>
      <c r="EG11" s="69"/>
      <c r="EH11" s="69">
        <v>540</v>
      </c>
      <c r="EI11" s="84">
        <f>SUM(Tableau1[[#This Row],[Transports sur films]:[autres ]])</f>
        <v>4463.22</v>
      </c>
      <c r="EJ11" s="132">
        <v>4463.22</v>
      </c>
      <c r="EK11" s="132"/>
      <c r="EL11" s="68">
        <f t="shared" si="26"/>
        <v>8759</v>
      </c>
      <c r="EM11" s="65">
        <v>1234</v>
      </c>
      <c r="EN11" s="65">
        <v>7525</v>
      </c>
      <c r="EO11" s="65"/>
      <c r="EP11" s="65"/>
      <c r="EQ11" s="65"/>
      <c r="ER11" s="65"/>
      <c r="ES11" s="65"/>
      <c r="ET11" s="68">
        <f t="shared" si="27"/>
        <v>5937.09</v>
      </c>
      <c r="EU11" s="65">
        <v>3537.09</v>
      </c>
      <c r="EV11" s="65">
        <v>1308</v>
      </c>
      <c r="EW11" s="65"/>
      <c r="EX11" s="65"/>
      <c r="EY11" s="65">
        <v>1092</v>
      </c>
      <c r="EZ11" s="68">
        <f>SUM(Tableau1[[#This Row],[Frais sur CB]:[Services bancaires]])</f>
        <v>6006</v>
      </c>
      <c r="FA11" s="65">
        <f>5616+390</f>
        <v>6006</v>
      </c>
      <c r="FB11" s="65"/>
      <c r="FC11" s="70">
        <f t="shared" si="28"/>
        <v>1540</v>
      </c>
      <c r="FD11" s="65">
        <v>1540</v>
      </c>
      <c r="FE11" s="71">
        <f t="shared" si="29"/>
        <v>11939.5</v>
      </c>
      <c r="FF11" s="72">
        <f t="shared" si="30"/>
        <v>2694</v>
      </c>
      <c r="FG11" s="65">
        <v>1857</v>
      </c>
      <c r="FH11" s="65">
        <v>837</v>
      </c>
      <c r="FI11" s="65"/>
      <c r="FJ11" s="56">
        <f t="shared" si="31"/>
        <v>9245.5</v>
      </c>
      <c r="FK11" s="65">
        <f>3264+800</f>
        <v>4064</v>
      </c>
      <c r="FL11" s="65">
        <f>7437/2</f>
        <v>3718.5</v>
      </c>
      <c r="FM11" s="65"/>
      <c r="FN11" s="65">
        <v>1463</v>
      </c>
      <c r="FO11" s="67">
        <f t="shared" si="32"/>
        <v>159357.5</v>
      </c>
      <c r="FP11" s="57">
        <f>123082-2827+2000</f>
        <v>122255</v>
      </c>
      <c r="FQ11" s="73">
        <f>-1752+26565+6538+5295+674+4167/2+2012/2+10078-13385</f>
        <v>37102.5</v>
      </c>
      <c r="FR11" s="73"/>
      <c r="FS11" s="71">
        <f t="shared" si="33"/>
        <v>40453</v>
      </c>
      <c r="FT11" s="91">
        <f>80906/2</f>
        <v>40453</v>
      </c>
      <c r="FU11" s="91"/>
      <c r="FV11" s="67">
        <f>SUM(Tableau1[[#This Row],[Droits d''auteurs SACEM + cotisations SACEM]:[Autres ou non préciés]])</f>
        <v>14653.91</v>
      </c>
      <c r="FW11" s="75">
        <f t="shared" si="34"/>
        <v>14374.91</v>
      </c>
      <c r="FX11" s="74">
        <v>14374.91</v>
      </c>
      <c r="FY11" s="74"/>
      <c r="FZ11" s="74"/>
      <c r="GA11" s="74">
        <v>279</v>
      </c>
      <c r="GB11" s="71">
        <f t="shared" si="35"/>
        <v>1483</v>
      </c>
      <c r="GC11" s="92">
        <f>1151+332</f>
        <v>1483</v>
      </c>
      <c r="GD11" s="92"/>
      <c r="GE11" s="67">
        <f t="shared" si="36"/>
        <v>349</v>
      </c>
      <c r="GF11" s="66">
        <f>269+80</f>
        <v>349</v>
      </c>
      <c r="GG11" s="66"/>
      <c r="GH11" s="66"/>
      <c r="GI11" s="66"/>
      <c r="GJ11" s="77">
        <f>4415/2</f>
        <v>2207.5</v>
      </c>
    </row>
    <row r="12" spans="1:192" ht="18.600000000000001" customHeight="1" x14ac:dyDescent="0.25">
      <c r="A12" s="89"/>
      <c r="B12" s="17"/>
      <c r="C12" s="50"/>
      <c r="D12" s="140"/>
      <c r="E12" s="51"/>
      <c r="F12" s="139"/>
      <c r="G12" s="49"/>
      <c r="H12" s="50"/>
      <c r="I12" s="122"/>
      <c r="J12" s="49"/>
      <c r="K12" s="50">
        <v>5</v>
      </c>
      <c r="L12" s="50"/>
      <c r="M12" s="90">
        <v>53</v>
      </c>
      <c r="N12" s="50"/>
      <c r="O12" s="50"/>
      <c r="P12" s="90"/>
      <c r="Q12" s="52">
        <f t="shared" si="0"/>
        <v>1158768.0049999999</v>
      </c>
      <c r="R12" s="52">
        <f t="shared" si="1"/>
        <v>1076814.27</v>
      </c>
      <c r="S12" s="53">
        <f t="shared" si="2"/>
        <v>1047014.2999999999</v>
      </c>
      <c r="T12" s="54">
        <f t="shared" si="3"/>
        <v>120511.9</v>
      </c>
      <c r="U12" s="115">
        <f>SUM(Tableau1[[#This Row],[Vente confiserie]:[Vente boisson]])</f>
        <v>120511.9</v>
      </c>
      <c r="V12" s="55">
        <v>120511.9</v>
      </c>
      <c r="W12" s="55"/>
      <c r="X12" s="135">
        <f>SUM(Tableau1[[#This Row],[Vente lunette]:[Location lunette]])</f>
        <v>0</v>
      </c>
      <c r="Y12" s="55"/>
      <c r="Z12" s="55"/>
      <c r="AA12" s="55"/>
      <c r="AB12" s="55"/>
      <c r="AC12" s="56">
        <f t="shared" si="4"/>
        <v>900748.30999999994</v>
      </c>
      <c r="AD12" s="57">
        <v>845265.23</v>
      </c>
      <c r="AE12" s="57"/>
      <c r="AF12" s="57"/>
      <c r="AG12" s="57"/>
      <c r="AH12" s="57"/>
      <c r="AI12" s="57"/>
      <c r="AJ12" s="118">
        <f>(Tableau1[[#This Row],[Recette guichet ]]*1.1275177)-Tableau1[[#This Row],[Recette guichet ]]</f>
        <v>107786.27801957109</v>
      </c>
      <c r="AK12" s="57">
        <v>55483.08</v>
      </c>
      <c r="AL12" s="56">
        <f t="shared" si="5"/>
        <v>25754.09</v>
      </c>
      <c r="AM12" s="58"/>
      <c r="AN12" s="58"/>
      <c r="AO12" s="58">
        <f>18908.7/2</f>
        <v>9454.35</v>
      </c>
      <c r="AP12" s="115">
        <f t="shared" si="6"/>
        <v>15798.33</v>
      </c>
      <c r="AQ12" s="69"/>
      <c r="AR12" s="69"/>
      <c r="AS12" s="69">
        <v>15798.33</v>
      </c>
      <c r="AT12" s="69">
        <f>501.41</f>
        <v>501.41</v>
      </c>
      <c r="AU12" s="59">
        <f t="shared" si="7"/>
        <v>29799.97</v>
      </c>
      <c r="AV12" s="60">
        <f t="shared" si="8"/>
        <v>1610.58</v>
      </c>
      <c r="AW12" s="58">
        <v>1610.58</v>
      </c>
      <c r="AX12" s="58"/>
      <c r="AY12" s="58"/>
      <c r="AZ12" s="60">
        <f t="shared" si="9"/>
        <v>3896.5</v>
      </c>
      <c r="BA12" s="58"/>
      <c r="BB12" s="58">
        <v>3896.5</v>
      </c>
      <c r="BC12" s="58"/>
      <c r="BD12" s="60">
        <f>SUM(Tableau1[[#This Row],[ticket/carte/abonnement périmé]:[Autres ou non précisé 5]])</f>
        <v>24292.89</v>
      </c>
      <c r="BE12" s="58"/>
      <c r="BF12" s="58">
        <v>23139.32</v>
      </c>
      <c r="BG12" s="58">
        <v>1153.57</v>
      </c>
      <c r="BH12" s="61">
        <f t="shared" si="10"/>
        <v>568.24</v>
      </c>
      <c r="BI12" s="120">
        <f>1136.48/2</f>
        <v>568.24</v>
      </c>
      <c r="BJ12" s="120"/>
      <c r="BK12" s="62">
        <f t="shared" si="11"/>
        <v>81385.494999999995</v>
      </c>
      <c r="BL12" s="120"/>
      <c r="BM12" s="120"/>
      <c r="BN12" s="120">
        <f>673.49/2</f>
        <v>336.745</v>
      </c>
      <c r="BO12" s="120">
        <v>68803.649999999994</v>
      </c>
      <c r="BP12" s="120">
        <v>12245.1</v>
      </c>
      <c r="BQ12" s="63"/>
      <c r="BR12" s="52">
        <f t="shared" si="12"/>
        <v>1007607.82</v>
      </c>
      <c r="BS12" s="52">
        <f t="shared" si="13"/>
        <v>996645.85499999998</v>
      </c>
      <c r="BT12" s="61">
        <f t="shared" si="14"/>
        <v>72843.009999999995</v>
      </c>
      <c r="BU12" s="64">
        <f t="shared" si="15"/>
        <v>61397.659999999996</v>
      </c>
      <c r="BV12" s="119">
        <f>SUM(Tableau1[[#This Row],[Achats confiserie]:[Achats boisson]])</f>
        <v>61397.659999999996</v>
      </c>
      <c r="BW12" s="58">
        <f>8053.57+53344.09</f>
        <v>61397.659999999996</v>
      </c>
      <c r="BX12" s="69"/>
      <c r="BY12" s="58"/>
      <c r="BZ12" s="56">
        <f t="shared" si="16"/>
        <v>11214.25</v>
      </c>
      <c r="CA12" s="66">
        <v>11214.25</v>
      </c>
      <c r="CB12" s="66"/>
      <c r="CC12" s="56">
        <f t="shared" si="17"/>
        <v>231.1</v>
      </c>
      <c r="CD12" s="55"/>
      <c r="CE12" s="65"/>
      <c r="CF12" s="55"/>
      <c r="CG12" s="55">
        <v>231.1</v>
      </c>
      <c r="CH12" s="67">
        <f t="shared" si="18"/>
        <v>703121.41</v>
      </c>
      <c r="CI12" s="68">
        <f t="shared" si="19"/>
        <v>355959.51</v>
      </c>
      <c r="CJ12" s="55"/>
      <c r="CK12" s="55">
        <v>355959.51</v>
      </c>
      <c r="CL12" s="55"/>
      <c r="CM12" s="55"/>
      <c r="CN12" s="55"/>
      <c r="CO12" s="68">
        <f t="shared" si="20"/>
        <v>60893.369999999995</v>
      </c>
      <c r="CP12" s="75">
        <f>SUM(Tableau1[[#This Row],[Fourniture eau]:[Energie (non précisé)]])</f>
        <v>41526.399999999994</v>
      </c>
      <c r="CQ12" s="55">
        <v>1470.1</v>
      </c>
      <c r="CR12" s="55">
        <v>20098.98</v>
      </c>
      <c r="CS12" s="55">
        <v>13105.4</v>
      </c>
      <c r="CT12" s="55">
        <v>6851.92</v>
      </c>
      <c r="CU12" s="55">
        <f>14337.51+1077.6</f>
        <v>15415.11</v>
      </c>
      <c r="CV12" s="55">
        <v>2554.61</v>
      </c>
      <c r="CW12" s="55">
        <v>1397.25</v>
      </c>
      <c r="CX12" s="68">
        <f>SUM(Tableau1[[#This Row],[Sous-traitance]:[Autres ou non précisé 12]])</f>
        <v>135662.56</v>
      </c>
      <c r="CY12" s="65"/>
      <c r="CZ12" s="65">
        <f>4800/2+67928+14000/2</f>
        <v>77328</v>
      </c>
      <c r="DA12" s="93">
        <f>21972.36+19648.2+5787+5787+636</f>
        <v>53830.559999999998</v>
      </c>
      <c r="DB12" s="65"/>
      <c r="DC12" s="55">
        <v>4504</v>
      </c>
      <c r="DD12" s="68">
        <f t="shared" si="21"/>
        <v>61818.26</v>
      </c>
      <c r="DE12" s="55">
        <v>28434.400000000001</v>
      </c>
      <c r="DF12" s="65"/>
      <c r="DG12" s="65"/>
      <c r="DH12" s="65">
        <v>33383.86</v>
      </c>
      <c r="DI12" s="68">
        <f>SUM(Tableau1[[#This Row],[Entretien et réparation matériel de projection]:[Autres ou non précisé 14]])</f>
        <v>21309.17</v>
      </c>
      <c r="DJ12" s="58">
        <v>21309.17</v>
      </c>
      <c r="DK12" s="58"/>
      <c r="DL12" s="69"/>
      <c r="DM12" s="68">
        <f t="shared" si="22"/>
        <v>9941.82</v>
      </c>
      <c r="DN12" s="58"/>
      <c r="DO12" s="58">
        <v>9941.82</v>
      </c>
      <c r="DP12" s="68">
        <f t="shared" si="23"/>
        <v>8357.23</v>
      </c>
      <c r="DQ12" s="65">
        <f>7991.54+43.46</f>
        <v>8035</v>
      </c>
      <c r="DR12" s="65">
        <f>322.23</f>
        <v>322.23</v>
      </c>
      <c r="DS12" s="68">
        <f t="shared" si="24"/>
        <v>1917.67</v>
      </c>
      <c r="DT12" s="65">
        <v>1917.67</v>
      </c>
      <c r="DU12" s="65"/>
      <c r="DV12" s="65"/>
      <c r="DW12" s="68">
        <f>SUM(Tableau1[[#This Row],[Comission et courtage sur achats]:[Autres ou honoraires
 non précisé ]])</f>
        <v>17879.420000000002</v>
      </c>
      <c r="DX12" s="57"/>
      <c r="DY12" s="57"/>
      <c r="DZ12" s="65">
        <v>16830.95</v>
      </c>
      <c r="EA12" s="65">
        <v>2.4700000000000002</v>
      </c>
      <c r="EB12" s="55">
        <f>900+146</f>
        <v>1046</v>
      </c>
      <c r="EC12" s="68">
        <f t="shared" si="25"/>
        <v>1357.83</v>
      </c>
      <c r="ED12" s="69"/>
      <c r="EE12" s="69"/>
      <c r="EF12" s="69">
        <v>649.62</v>
      </c>
      <c r="EG12" s="69"/>
      <c r="EH12" s="69">
        <f>540+148.21+20</f>
        <v>708.21</v>
      </c>
      <c r="EI12" s="84">
        <f>SUM(Tableau1[[#This Row],[Transports sur films]:[autres ]])</f>
        <v>3805.57</v>
      </c>
      <c r="EJ12" s="132">
        <v>3805.57</v>
      </c>
      <c r="EK12" s="132"/>
      <c r="EL12" s="68">
        <f t="shared" si="26"/>
        <v>10372.299999999999</v>
      </c>
      <c r="EM12" s="65">
        <v>2234.29</v>
      </c>
      <c r="EN12" s="65">
        <v>8138.01</v>
      </c>
      <c r="EO12" s="65"/>
      <c r="EP12" s="65"/>
      <c r="EQ12" s="65"/>
      <c r="ER12" s="65"/>
      <c r="ES12" s="65"/>
      <c r="ET12" s="68">
        <f t="shared" si="27"/>
        <v>5587.55</v>
      </c>
      <c r="EU12" s="65">
        <v>3940.35</v>
      </c>
      <c r="EV12" s="65">
        <v>272.74</v>
      </c>
      <c r="EW12" s="65"/>
      <c r="EX12" s="65"/>
      <c r="EY12" s="65">
        <v>1374.46</v>
      </c>
      <c r="EZ12" s="68">
        <f>SUM(Tableau1[[#This Row],[Frais sur CB]:[Services bancaires]])</f>
        <v>6580.42</v>
      </c>
      <c r="FA12" s="65">
        <v>6580.42</v>
      </c>
      <c r="FB12" s="65"/>
      <c r="FC12" s="70">
        <f t="shared" si="28"/>
        <v>1678.73</v>
      </c>
      <c r="FD12" s="65">
        <v>1678.73</v>
      </c>
      <c r="FE12" s="71">
        <f t="shared" si="29"/>
        <v>13585.02</v>
      </c>
      <c r="FF12" s="72">
        <f t="shared" si="30"/>
        <v>2592.77</v>
      </c>
      <c r="FG12" s="65">
        <v>1757.12</v>
      </c>
      <c r="FH12" s="65">
        <v>835.65</v>
      </c>
      <c r="FI12" s="65"/>
      <c r="FJ12" s="56">
        <f t="shared" si="31"/>
        <v>10992.25</v>
      </c>
      <c r="FK12" s="65">
        <f>3459+653</f>
        <v>4112</v>
      </c>
      <c r="FL12" s="65">
        <v>3896.5</v>
      </c>
      <c r="FM12" s="65"/>
      <c r="FN12" s="65">
        <v>2983.75</v>
      </c>
      <c r="FO12" s="67">
        <f t="shared" si="32"/>
        <v>148916.03999999998</v>
      </c>
      <c r="FP12" s="57">
        <f>122889.15-3079</f>
        <v>119810.15</v>
      </c>
      <c r="FQ12" s="73">
        <f>-2812.68+23548.3+6504.46+4965.83+672.29+1867.64/2+2389.14/2+684.8-13171/2</f>
        <v>29105.89</v>
      </c>
      <c r="FR12" s="73"/>
      <c r="FS12" s="71">
        <f t="shared" si="33"/>
        <v>43920.595000000001</v>
      </c>
      <c r="FT12" s="91">
        <f>87841.19/2</f>
        <v>43920.595000000001</v>
      </c>
      <c r="FU12" s="91"/>
      <c r="FV12" s="67">
        <f>SUM(Tableau1[[#This Row],[Droits d''auteurs SACEM + cotisations SACEM]:[Autres ou non préciés]])</f>
        <v>14259.78</v>
      </c>
      <c r="FW12" s="75">
        <f t="shared" si="34"/>
        <v>14237.37</v>
      </c>
      <c r="FX12" s="74">
        <v>14237.37</v>
      </c>
      <c r="FY12" s="74"/>
      <c r="FZ12" s="74"/>
      <c r="GA12" s="74">
        <v>22.41</v>
      </c>
      <c r="GB12" s="71">
        <f t="shared" si="35"/>
        <v>266.94499999999999</v>
      </c>
      <c r="GC12" s="92">
        <f>150.83+102.68</f>
        <v>253.51000000000002</v>
      </c>
      <c r="GD12" s="92">
        <f>26.87/2</f>
        <v>13.435</v>
      </c>
      <c r="GE12" s="67">
        <f t="shared" si="36"/>
        <v>3419.52</v>
      </c>
      <c r="GF12" s="66">
        <f>152+1167.52+2100</f>
        <v>3419.52</v>
      </c>
      <c r="GG12" s="66"/>
      <c r="GH12" s="66"/>
      <c r="GI12" s="66"/>
      <c r="GJ12" s="77">
        <f>14551/2</f>
        <v>7275.5</v>
      </c>
    </row>
    <row r="13" spans="1:192" ht="18.600000000000001" customHeight="1" x14ac:dyDescent="0.25">
      <c r="A13" s="89"/>
      <c r="B13" s="17"/>
      <c r="C13" s="50"/>
      <c r="D13" s="140"/>
      <c r="E13" s="51"/>
      <c r="F13" s="139"/>
      <c r="G13" s="49"/>
      <c r="H13" s="50"/>
      <c r="I13" s="122"/>
      <c r="J13" s="49"/>
      <c r="K13" s="50">
        <v>3</v>
      </c>
      <c r="L13" s="50"/>
      <c r="M13" s="90">
        <v>53</v>
      </c>
      <c r="N13" s="50"/>
      <c r="O13" s="50"/>
      <c r="P13" s="90"/>
      <c r="Q13" s="52">
        <f t="shared" si="0"/>
        <v>1060375</v>
      </c>
      <c r="R13" s="52">
        <f t="shared" si="1"/>
        <v>1057253</v>
      </c>
      <c r="S13" s="53">
        <f t="shared" si="2"/>
        <v>1052778</v>
      </c>
      <c r="T13" s="54">
        <f t="shared" si="3"/>
        <v>132988</v>
      </c>
      <c r="U13" s="115">
        <f>SUM(Tableau1[[#This Row],[Vente confiserie]:[Vente boisson]])</f>
        <v>132988</v>
      </c>
      <c r="V13" s="55">
        <v>132988</v>
      </c>
      <c r="W13" s="55"/>
      <c r="X13" s="135">
        <f>SUM(Tableau1[[#This Row],[Vente lunette]:[Location lunette]])</f>
        <v>0</v>
      </c>
      <c r="Y13" s="55"/>
      <c r="Z13" s="55"/>
      <c r="AA13" s="55"/>
      <c r="AB13" s="55"/>
      <c r="AC13" s="56">
        <f t="shared" si="4"/>
        <v>838490</v>
      </c>
      <c r="AD13" s="57">
        <v>816451</v>
      </c>
      <c r="AE13" s="57"/>
      <c r="AF13" s="57"/>
      <c r="AG13" s="57"/>
      <c r="AH13" s="57"/>
      <c r="AI13" s="57"/>
      <c r="AJ13" s="118">
        <f>(Tableau1[[#This Row],[Recette guichet ]]*1.1275177)-Tableau1[[#This Row],[Recette guichet ]]</f>
        <v>104111.95368270006</v>
      </c>
      <c r="AK13" s="57">
        <f>7893+14146</f>
        <v>22039</v>
      </c>
      <c r="AL13" s="56">
        <f t="shared" si="5"/>
        <v>81300</v>
      </c>
      <c r="AM13" s="58"/>
      <c r="AN13" s="58">
        <v>1604</v>
      </c>
      <c r="AO13" s="58">
        <v>753</v>
      </c>
      <c r="AP13" s="115">
        <f t="shared" si="6"/>
        <v>40520</v>
      </c>
      <c r="AQ13" s="69"/>
      <c r="AR13" s="69"/>
      <c r="AS13" s="69">
        <v>40520</v>
      </c>
      <c r="AT13" s="69">
        <v>38423</v>
      </c>
      <c r="AU13" s="59">
        <f t="shared" si="7"/>
        <v>4475</v>
      </c>
      <c r="AV13" s="60">
        <f t="shared" si="8"/>
        <v>0</v>
      </c>
      <c r="AW13" s="58"/>
      <c r="AX13" s="58"/>
      <c r="AY13" s="58"/>
      <c r="AZ13" s="60">
        <f t="shared" si="9"/>
        <v>4475</v>
      </c>
      <c r="BA13" s="58"/>
      <c r="BB13" s="58">
        <v>4475</v>
      </c>
      <c r="BC13" s="58"/>
      <c r="BD13" s="60">
        <f>SUM(Tableau1[[#This Row],[ticket/carte/abonnement périmé]:[Autres ou non précisé 5]])</f>
        <v>0</v>
      </c>
      <c r="BE13" s="58"/>
      <c r="BF13" s="58"/>
      <c r="BG13" s="58"/>
      <c r="BH13" s="61">
        <f t="shared" si="10"/>
        <v>758</v>
      </c>
      <c r="BI13" s="120">
        <v>758</v>
      </c>
      <c r="BJ13" s="120"/>
      <c r="BK13" s="62">
        <f t="shared" si="11"/>
        <v>2364</v>
      </c>
      <c r="BL13" s="120">
        <v>2364</v>
      </c>
      <c r="BM13" s="120"/>
      <c r="BN13" s="120"/>
      <c r="BO13" s="120"/>
      <c r="BP13" s="120"/>
      <c r="BQ13" s="63"/>
      <c r="BR13" s="52">
        <f t="shared" si="12"/>
        <v>996596</v>
      </c>
      <c r="BS13" s="52">
        <f t="shared" si="13"/>
        <v>991474</v>
      </c>
      <c r="BT13" s="61">
        <f t="shared" si="14"/>
        <v>38596</v>
      </c>
      <c r="BU13" s="64">
        <f t="shared" si="15"/>
        <v>42043</v>
      </c>
      <c r="BV13" s="119">
        <f>SUM(Tableau1[[#This Row],[Achats confiserie]:[Achats boisson]])</f>
        <v>42043</v>
      </c>
      <c r="BW13" s="58">
        <v>42043</v>
      </c>
      <c r="BX13" s="69"/>
      <c r="BY13" s="58"/>
      <c r="BZ13" s="56">
        <f t="shared" si="16"/>
        <v>4461</v>
      </c>
      <c r="CA13" s="66">
        <v>4461</v>
      </c>
      <c r="CB13" s="66"/>
      <c r="CC13" s="56">
        <f t="shared" si="17"/>
        <v>-7908</v>
      </c>
      <c r="CD13" s="55"/>
      <c r="CE13" s="65"/>
      <c r="CF13" s="55"/>
      <c r="CG13" s="55">
        <v>-7908</v>
      </c>
      <c r="CH13" s="67">
        <f t="shared" si="18"/>
        <v>604313</v>
      </c>
      <c r="CI13" s="68">
        <f t="shared" si="19"/>
        <v>391968</v>
      </c>
      <c r="CJ13" s="55"/>
      <c r="CK13" s="55">
        <v>384913</v>
      </c>
      <c r="CL13" s="55"/>
      <c r="CM13" s="55"/>
      <c r="CN13" s="55">
        <v>7055</v>
      </c>
      <c r="CO13" s="68">
        <f t="shared" si="20"/>
        <v>45123</v>
      </c>
      <c r="CP13" s="75">
        <f>SUM(Tableau1[[#This Row],[Fourniture eau]:[Energie (non précisé)]])</f>
        <v>24462</v>
      </c>
      <c r="CQ13" s="55">
        <v>253</v>
      </c>
      <c r="CR13" s="55">
        <v>24209</v>
      </c>
      <c r="CS13" s="55"/>
      <c r="CT13" s="55"/>
      <c r="CU13" s="55">
        <v>12772</v>
      </c>
      <c r="CV13" s="55">
        <v>7889</v>
      </c>
      <c r="CW13" s="55"/>
      <c r="CX13" s="68">
        <f>SUM(Tableau1[[#This Row],[Sous-traitance]:[Autres ou non précisé 12]])</f>
        <v>49861</v>
      </c>
      <c r="CY13" s="65"/>
      <c r="CZ13" s="65">
        <f>44560+4200</f>
        <v>48760</v>
      </c>
      <c r="DA13" s="65">
        <v>425</v>
      </c>
      <c r="DB13" s="65">
        <v>676</v>
      </c>
      <c r="DC13" s="55"/>
      <c r="DD13" s="68">
        <f t="shared" si="21"/>
        <v>1907</v>
      </c>
      <c r="DE13" s="55">
        <f>750+1157</f>
        <v>1907</v>
      </c>
      <c r="DF13" s="65"/>
      <c r="DG13" s="65"/>
      <c r="DH13" s="65"/>
      <c r="DI13" s="68">
        <f>SUM(Tableau1[[#This Row],[Entretien et réparation matériel de projection]:[Autres ou non précisé 14]])</f>
        <v>5582</v>
      </c>
      <c r="DJ13" s="58">
        <v>5582</v>
      </c>
      <c r="DK13" s="58"/>
      <c r="DL13" s="69"/>
      <c r="DM13" s="68">
        <f t="shared" si="22"/>
        <v>9090</v>
      </c>
      <c r="DN13" s="58"/>
      <c r="DO13" s="58">
        <v>9090</v>
      </c>
      <c r="DP13" s="68">
        <f t="shared" si="23"/>
        <v>6588</v>
      </c>
      <c r="DQ13" s="65">
        <v>5787</v>
      </c>
      <c r="DR13" s="65">
        <v>801</v>
      </c>
      <c r="DS13" s="68">
        <f t="shared" si="24"/>
        <v>12583</v>
      </c>
      <c r="DT13" s="65">
        <v>2983</v>
      </c>
      <c r="DU13" s="65"/>
      <c r="DV13" s="65">
        <v>9600</v>
      </c>
      <c r="DW13" s="68">
        <f>SUM(Tableau1[[#This Row],[Comission et courtage sur achats]:[Autres ou honoraires
 non précisé ]])</f>
        <v>6690</v>
      </c>
      <c r="DX13" s="57"/>
      <c r="DY13" s="57"/>
      <c r="DZ13" s="65"/>
      <c r="EA13" s="65"/>
      <c r="EB13" s="55">
        <f>5117+1573</f>
        <v>6690</v>
      </c>
      <c r="EC13" s="68">
        <f t="shared" si="25"/>
        <v>22103</v>
      </c>
      <c r="ED13" s="69"/>
      <c r="EE13" s="69">
        <v>19890</v>
      </c>
      <c r="EF13" s="69"/>
      <c r="EG13" s="69">
        <v>327</v>
      </c>
      <c r="EH13" s="69">
        <f>1866+20</f>
        <v>1886</v>
      </c>
      <c r="EI13" s="84">
        <f>SUM(Tableau1[[#This Row],[Transports sur films]:[autres ]])</f>
        <v>1726</v>
      </c>
      <c r="EJ13" s="132">
        <v>1726</v>
      </c>
      <c r="EK13" s="132"/>
      <c r="EL13" s="68">
        <f t="shared" si="26"/>
        <v>36909</v>
      </c>
      <c r="EM13" s="65">
        <v>35446</v>
      </c>
      <c r="EN13" s="65">
        <v>1434</v>
      </c>
      <c r="EO13" s="65"/>
      <c r="EP13" s="65"/>
      <c r="EQ13" s="65"/>
      <c r="ER13" s="65">
        <v>29</v>
      </c>
      <c r="ES13" s="65"/>
      <c r="ET13" s="68">
        <f t="shared" si="27"/>
        <v>3507</v>
      </c>
      <c r="EU13" s="65"/>
      <c r="EV13" s="65"/>
      <c r="EW13" s="65">
        <v>3507</v>
      </c>
      <c r="EX13" s="65"/>
      <c r="EY13" s="65"/>
      <c r="EZ13" s="68">
        <f>SUM(Tableau1[[#This Row],[Frais sur CB]:[Services bancaires]])</f>
        <v>7366</v>
      </c>
      <c r="FA13" s="65">
        <v>4250</v>
      </c>
      <c r="FB13" s="65">
        <f>2994+122</f>
        <v>3116</v>
      </c>
      <c r="FC13" s="70">
        <f t="shared" si="28"/>
        <v>3310</v>
      </c>
      <c r="FD13" s="65">
        <v>3310</v>
      </c>
      <c r="FE13" s="71">
        <f t="shared" si="29"/>
        <v>11754</v>
      </c>
      <c r="FF13" s="72">
        <f t="shared" si="30"/>
        <v>4524</v>
      </c>
      <c r="FG13" s="65">
        <v>3016</v>
      </c>
      <c r="FH13" s="65">
        <v>1508</v>
      </c>
      <c r="FI13" s="65"/>
      <c r="FJ13" s="56">
        <f t="shared" si="31"/>
        <v>7230</v>
      </c>
      <c r="FK13" s="65"/>
      <c r="FL13" s="65"/>
      <c r="FM13" s="65"/>
      <c r="FN13" s="65">
        <f>6940+290</f>
        <v>7230</v>
      </c>
      <c r="FO13" s="67">
        <f t="shared" si="32"/>
        <v>309365</v>
      </c>
      <c r="FP13" s="57">
        <v>242354</v>
      </c>
      <c r="FQ13" s="73">
        <v>67011</v>
      </c>
      <c r="FR13" s="73"/>
      <c r="FS13" s="71">
        <f t="shared" si="33"/>
        <v>11724</v>
      </c>
      <c r="FT13" s="91">
        <v>11724</v>
      </c>
      <c r="FU13" s="91"/>
      <c r="FV13" s="67">
        <f>SUM(Tableau1[[#This Row],[Droits d''auteurs SACEM + cotisations SACEM]:[Autres ou non préciés]])</f>
        <v>15722</v>
      </c>
      <c r="FW13" s="75">
        <f t="shared" si="34"/>
        <v>15722</v>
      </c>
      <c r="FX13" s="74">
        <v>0</v>
      </c>
      <c r="FY13" s="74"/>
      <c r="FZ13" s="74">
        <v>15722</v>
      </c>
      <c r="GA13" s="74"/>
      <c r="GB13" s="71">
        <f t="shared" si="35"/>
        <v>1203</v>
      </c>
      <c r="GC13" s="92">
        <v>1203</v>
      </c>
      <c r="GD13" s="92"/>
      <c r="GE13" s="67">
        <f t="shared" si="36"/>
        <v>3919</v>
      </c>
      <c r="GF13" s="66">
        <v>3560</v>
      </c>
      <c r="GG13" s="66"/>
      <c r="GH13" s="66">
        <v>359</v>
      </c>
      <c r="GI13" s="66"/>
      <c r="GJ13" s="77"/>
    </row>
    <row r="14" spans="1:192" ht="18.600000000000001" customHeight="1" x14ac:dyDescent="0.25">
      <c r="A14" s="89"/>
      <c r="B14" s="18"/>
      <c r="C14" s="50"/>
      <c r="D14" s="140"/>
      <c r="E14" s="51"/>
      <c r="F14" s="139"/>
      <c r="G14" s="49"/>
      <c r="H14" s="50"/>
      <c r="I14" s="122"/>
      <c r="J14" s="49"/>
      <c r="K14" s="50">
        <v>3</v>
      </c>
      <c r="L14" s="50"/>
      <c r="M14" s="90">
        <v>51</v>
      </c>
      <c r="N14" s="50"/>
      <c r="O14" s="50"/>
      <c r="P14" s="90"/>
      <c r="Q14" s="52">
        <f t="shared" si="0"/>
        <v>400462.08999999997</v>
      </c>
      <c r="R14" s="52">
        <f t="shared" si="1"/>
        <v>378610.37</v>
      </c>
      <c r="S14" s="53">
        <f t="shared" si="2"/>
        <v>351485.05</v>
      </c>
      <c r="T14" s="54">
        <f t="shared" si="3"/>
        <v>35216.259999999995</v>
      </c>
      <c r="U14" s="115">
        <f>SUM(Tableau1[[#This Row],[Vente confiserie]:[Vente boisson]])</f>
        <v>35216.259999999995</v>
      </c>
      <c r="V14" s="55">
        <v>32254.26</v>
      </c>
      <c r="W14" s="55">
        <v>2962</v>
      </c>
      <c r="X14" s="135">
        <f>SUM(Tableau1[[#This Row],[Vente lunette]:[Location lunette]])</f>
        <v>0</v>
      </c>
      <c r="Y14" s="55"/>
      <c r="Z14" s="55"/>
      <c r="AA14" s="55"/>
      <c r="AB14" s="55"/>
      <c r="AC14" s="56">
        <f t="shared" si="4"/>
        <v>308287.19</v>
      </c>
      <c r="AD14" s="57">
        <v>307428.19</v>
      </c>
      <c r="AE14" s="57"/>
      <c r="AF14" s="57"/>
      <c r="AG14" s="57"/>
      <c r="AH14" s="57"/>
      <c r="AI14" s="57"/>
      <c r="AJ14" s="118">
        <f>(Tableau1[[#This Row],[Recette guichet ]]*1.1275177)-Tableau1[[#This Row],[Recette guichet ]]</f>
        <v>39202.535703963018</v>
      </c>
      <c r="AK14" s="57">
        <v>859</v>
      </c>
      <c r="AL14" s="56">
        <f t="shared" si="5"/>
        <v>7981.6</v>
      </c>
      <c r="AM14" s="58"/>
      <c r="AN14" s="58"/>
      <c r="AO14" s="58">
        <v>83</v>
      </c>
      <c r="AP14" s="115">
        <f t="shared" si="6"/>
        <v>7898.6</v>
      </c>
      <c r="AQ14" s="69"/>
      <c r="AR14" s="69"/>
      <c r="AS14" s="69">
        <v>7898.6</v>
      </c>
      <c r="AT14" s="69"/>
      <c r="AU14" s="59">
        <f t="shared" si="7"/>
        <v>27125.32</v>
      </c>
      <c r="AV14" s="60">
        <f t="shared" si="8"/>
        <v>1688.95</v>
      </c>
      <c r="AW14" s="58">
        <v>688.95</v>
      </c>
      <c r="AX14" s="58">
        <v>1000</v>
      </c>
      <c r="AY14" s="58"/>
      <c r="AZ14" s="60">
        <f t="shared" si="9"/>
        <v>4300</v>
      </c>
      <c r="BA14" s="58"/>
      <c r="BB14" s="58"/>
      <c r="BC14" s="58">
        <v>4300</v>
      </c>
      <c r="BD14" s="60">
        <f>SUM(Tableau1[[#This Row],[ticket/carte/abonnement périmé]:[Autres ou non précisé 5]])</f>
        <v>21136.37</v>
      </c>
      <c r="BE14" s="58"/>
      <c r="BF14" s="58">
        <v>21132.799999999999</v>
      </c>
      <c r="BG14" s="58">
        <v>3.57</v>
      </c>
      <c r="BH14" s="61">
        <f t="shared" si="10"/>
        <v>1.61</v>
      </c>
      <c r="BI14" s="120">
        <v>1.61</v>
      </c>
      <c r="BJ14" s="120">
        <v>0</v>
      </c>
      <c r="BK14" s="62">
        <f t="shared" si="11"/>
        <v>21850.11</v>
      </c>
      <c r="BL14" s="120"/>
      <c r="BM14" s="120"/>
      <c r="BN14" s="120"/>
      <c r="BO14" s="120">
        <v>7428.56</v>
      </c>
      <c r="BP14" s="120">
        <v>14421.55</v>
      </c>
      <c r="BQ14" s="63"/>
      <c r="BR14" s="52">
        <f t="shared" si="12"/>
        <v>359858.79000000004</v>
      </c>
      <c r="BS14" s="52">
        <f t="shared" si="13"/>
        <v>356578.65</v>
      </c>
      <c r="BT14" s="61">
        <f t="shared" si="14"/>
        <v>9703.02</v>
      </c>
      <c r="BU14" s="64">
        <f t="shared" si="15"/>
        <v>10060.5</v>
      </c>
      <c r="BV14" s="119">
        <f>SUM(Tableau1[[#This Row],[Achats confiserie]:[Achats boisson]])</f>
        <v>10200.5</v>
      </c>
      <c r="BW14" s="58">
        <v>9254.08</v>
      </c>
      <c r="BX14" s="69">
        <v>946.42</v>
      </c>
      <c r="BY14" s="58">
        <v>-140</v>
      </c>
      <c r="BZ14" s="56">
        <f t="shared" si="16"/>
        <v>0</v>
      </c>
      <c r="CA14" s="66"/>
      <c r="CB14" s="66"/>
      <c r="CC14" s="56">
        <f t="shared" si="17"/>
        <v>-357.48</v>
      </c>
      <c r="CD14" s="55">
        <v>-357.48</v>
      </c>
      <c r="CE14" s="65"/>
      <c r="CF14" s="55"/>
      <c r="CG14" s="55"/>
      <c r="CH14" s="67">
        <f t="shared" si="18"/>
        <v>213368.19</v>
      </c>
      <c r="CI14" s="68">
        <f t="shared" si="19"/>
        <v>144331.76</v>
      </c>
      <c r="CJ14" s="55"/>
      <c r="CK14" s="55">
        <v>143781.04</v>
      </c>
      <c r="CL14" s="55">
        <v>550.72</v>
      </c>
      <c r="CM14" s="55"/>
      <c r="CN14" s="55"/>
      <c r="CO14" s="68">
        <f t="shared" si="20"/>
        <v>13539.5</v>
      </c>
      <c r="CP14" s="75">
        <f>SUM(Tableau1[[#This Row],[Fourniture eau]:[Energie (non précisé)]])</f>
        <v>12018.59</v>
      </c>
      <c r="CQ14" s="55">
        <v>738.47</v>
      </c>
      <c r="CR14" s="55">
        <v>5256.8</v>
      </c>
      <c r="CS14" s="55">
        <v>6023.32</v>
      </c>
      <c r="CT14" s="55"/>
      <c r="CU14" s="55">
        <f>1125+219.86</f>
        <v>1344.8600000000001</v>
      </c>
      <c r="CV14" s="55">
        <v>176.05</v>
      </c>
      <c r="CW14" s="93"/>
      <c r="CX14" s="68">
        <f>SUM(Tableau1[[#This Row],[Sous-traitance]:[Autres ou non précisé 12]])</f>
        <v>12945.130000000001</v>
      </c>
      <c r="CY14" s="65"/>
      <c r="CZ14" s="65">
        <v>10489</v>
      </c>
      <c r="DA14" s="65">
        <f>2456.13</f>
        <v>2456.13</v>
      </c>
      <c r="DB14" s="65"/>
      <c r="DC14" s="55"/>
      <c r="DD14" s="68">
        <f t="shared" si="21"/>
        <v>5630.73</v>
      </c>
      <c r="DE14" s="55"/>
      <c r="DF14" s="65"/>
      <c r="DG14" s="65">
        <v>5630.73</v>
      </c>
      <c r="DH14" s="65"/>
      <c r="DI14" s="68">
        <f>SUM(Tableau1[[#This Row],[Entretien et réparation matériel de projection]:[Autres ou non précisé 14]])</f>
        <v>8133.27</v>
      </c>
      <c r="DJ14" s="58">
        <v>8133.27</v>
      </c>
      <c r="DK14" s="58"/>
      <c r="DL14" s="69"/>
      <c r="DM14" s="68">
        <f t="shared" si="22"/>
        <v>6333.87</v>
      </c>
      <c r="DN14" s="58">
        <v>6333.87</v>
      </c>
      <c r="DO14" s="58"/>
      <c r="DP14" s="68">
        <f t="shared" si="23"/>
        <v>4816.6100000000006</v>
      </c>
      <c r="DQ14" s="94">
        <f>4250.17</f>
        <v>4250.17</v>
      </c>
      <c r="DR14" s="65">
        <v>566.44000000000005</v>
      </c>
      <c r="DS14" s="68">
        <f t="shared" si="24"/>
        <v>0</v>
      </c>
      <c r="DT14" s="65"/>
      <c r="DU14" s="65"/>
      <c r="DV14" s="65"/>
      <c r="DW14" s="68">
        <f>SUM(Tableau1[[#This Row],[Comission et courtage sur achats]:[Autres ou honoraires
 non précisé ]])</f>
        <v>6606.55</v>
      </c>
      <c r="DX14" s="57"/>
      <c r="DY14" s="57">
        <v>51.05</v>
      </c>
      <c r="DZ14" s="65"/>
      <c r="EA14" s="65"/>
      <c r="EB14" s="65">
        <f>3317.6+3237.9</f>
        <v>6555.5</v>
      </c>
      <c r="EC14" s="68">
        <f t="shared" si="25"/>
        <v>208</v>
      </c>
      <c r="ED14" s="69"/>
      <c r="EE14" s="69"/>
      <c r="EF14" s="69"/>
      <c r="EG14" s="69"/>
      <c r="EH14" s="69">
        <f>143+65</f>
        <v>208</v>
      </c>
      <c r="EI14" s="84">
        <f>SUM(Tableau1[[#This Row],[Transports sur films]:[autres ]])</f>
        <v>643.70000000000005</v>
      </c>
      <c r="EJ14" s="132">
        <v>643.70000000000005</v>
      </c>
      <c r="EK14" s="132"/>
      <c r="EL14" s="68">
        <f t="shared" si="26"/>
        <v>5821.97</v>
      </c>
      <c r="EM14" s="65">
        <v>1103</v>
      </c>
      <c r="EN14" s="65">
        <v>0</v>
      </c>
      <c r="EO14" s="65"/>
      <c r="EP14" s="65">
        <v>4046.04</v>
      </c>
      <c r="EQ14" s="65">
        <v>98</v>
      </c>
      <c r="ER14" s="65">
        <v>574.92999999999995</v>
      </c>
      <c r="ES14" s="65">
        <v>0</v>
      </c>
      <c r="ET14" s="68">
        <f t="shared" si="27"/>
        <v>2127.5500000000002</v>
      </c>
      <c r="EU14" s="65">
        <v>1322.55</v>
      </c>
      <c r="EV14" s="65"/>
      <c r="EW14" s="65"/>
      <c r="EX14" s="65">
        <v>805</v>
      </c>
      <c r="EY14" s="65"/>
      <c r="EZ14" s="68">
        <f>SUM(Tableau1[[#This Row],[Frais sur CB]:[Services bancaires]])</f>
        <v>1142.7</v>
      </c>
      <c r="FA14" s="65">
        <v>1142.7</v>
      </c>
      <c r="FB14" s="65"/>
      <c r="FC14" s="70">
        <f t="shared" si="28"/>
        <v>1086.8499999999999</v>
      </c>
      <c r="FD14" s="65">
        <v>1086.8499999999999</v>
      </c>
      <c r="FE14" s="71">
        <f t="shared" si="29"/>
        <v>10651.890000000001</v>
      </c>
      <c r="FF14" s="72">
        <f t="shared" si="30"/>
        <v>658.76</v>
      </c>
      <c r="FG14" s="65">
        <v>380.76</v>
      </c>
      <c r="FH14" s="65">
        <v>278</v>
      </c>
      <c r="FI14" s="65"/>
      <c r="FJ14" s="56">
        <f t="shared" si="31"/>
        <v>9993.130000000001</v>
      </c>
      <c r="FK14" s="65">
        <v>766</v>
      </c>
      <c r="FL14" s="65">
        <v>2408</v>
      </c>
      <c r="FM14" s="65">
        <v>712.13</v>
      </c>
      <c r="FN14" s="65">
        <f>2910+3197</f>
        <v>6107</v>
      </c>
      <c r="FO14" s="67">
        <f t="shared" si="32"/>
        <v>76011.520000000004</v>
      </c>
      <c r="FP14" s="57">
        <v>41736.86</v>
      </c>
      <c r="FQ14" s="73">
        <v>34274.660000000003</v>
      </c>
      <c r="FR14" s="73"/>
      <c r="FS14" s="71">
        <f t="shared" si="33"/>
        <v>40593.33</v>
      </c>
      <c r="FT14" s="91">
        <v>40593.33</v>
      </c>
      <c r="FU14" s="91"/>
      <c r="FV14" s="67">
        <f>SUM(Tableau1[[#This Row],[Droits d''auteurs SACEM + cotisations SACEM]:[Autres ou non préciés]])</f>
        <v>6250.7000000000007</v>
      </c>
      <c r="FW14" s="75">
        <f t="shared" si="34"/>
        <v>5244.85</v>
      </c>
      <c r="FX14" s="74">
        <v>0</v>
      </c>
      <c r="FY14" s="74"/>
      <c r="FZ14" s="74">
        <v>5244.85</v>
      </c>
      <c r="GA14" s="74">
        <f>768+96.85+137+4</f>
        <v>1005.85</v>
      </c>
      <c r="GB14" s="71">
        <f t="shared" si="35"/>
        <v>3263.14</v>
      </c>
      <c r="GC14" s="66"/>
      <c r="GD14" s="92">
        <v>3263.14</v>
      </c>
      <c r="GE14" s="67">
        <f t="shared" si="36"/>
        <v>17</v>
      </c>
      <c r="GF14" s="66">
        <v>17</v>
      </c>
      <c r="GG14" s="66"/>
      <c r="GH14" s="66"/>
      <c r="GI14" s="66"/>
      <c r="GJ14" s="77"/>
    </row>
    <row r="15" spans="1:192" ht="18.600000000000001" customHeight="1" x14ac:dyDescent="0.25">
      <c r="A15" s="89"/>
      <c r="B15" s="18"/>
      <c r="C15" s="50"/>
      <c r="D15" s="140"/>
      <c r="E15" s="51"/>
      <c r="F15" s="139"/>
      <c r="G15" s="49"/>
      <c r="H15" s="50"/>
      <c r="I15" s="122"/>
      <c r="J15" s="49"/>
      <c r="K15" s="50">
        <v>3</v>
      </c>
      <c r="L15" s="50"/>
      <c r="M15" s="90"/>
      <c r="N15" s="50"/>
      <c r="O15" s="50"/>
      <c r="P15" s="90"/>
      <c r="Q15" s="52">
        <f t="shared" si="0"/>
        <v>412547.23</v>
      </c>
      <c r="R15" s="52">
        <f t="shared" si="1"/>
        <v>396733.48</v>
      </c>
      <c r="S15" s="53">
        <f t="shared" si="2"/>
        <v>372297.51999999996</v>
      </c>
      <c r="T15" s="54">
        <f t="shared" si="3"/>
        <v>34705.79</v>
      </c>
      <c r="U15" s="115">
        <f>SUM(Tableau1[[#This Row],[Vente confiserie]:[Vente boisson]])</f>
        <v>34705.79</v>
      </c>
      <c r="V15" s="55">
        <v>32985.79</v>
      </c>
      <c r="W15" s="55">
        <v>1720</v>
      </c>
      <c r="X15" s="135">
        <f>SUM(Tableau1[[#This Row],[Vente lunette]:[Location lunette]])</f>
        <v>0</v>
      </c>
      <c r="Y15" s="55"/>
      <c r="Z15" s="55"/>
      <c r="AA15" s="55"/>
      <c r="AB15" s="55"/>
      <c r="AC15" s="56">
        <f t="shared" si="4"/>
        <v>327109.32</v>
      </c>
      <c r="AD15" s="57">
        <v>326091.32</v>
      </c>
      <c r="AE15" s="57"/>
      <c r="AF15" s="57"/>
      <c r="AG15" s="57"/>
      <c r="AH15" s="57"/>
      <c r="AI15" s="57"/>
      <c r="AJ15" s="118">
        <f>(Tableau1[[#This Row],[Recette guichet ]]*1.1275177)-Tableau1[[#This Row],[Recette guichet ]]</f>
        <v>41582.41511636402</v>
      </c>
      <c r="AK15" s="57">
        <f>1018</f>
        <v>1018</v>
      </c>
      <c r="AL15" s="56">
        <f t="shared" si="5"/>
        <v>10482.41</v>
      </c>
      <c r="AM15" s="58"/>
      <c r="AN15" s="58"/>
      <c r="AO15" s="58">
        <v>800</v>
      </c>
      <c r="AP15" s="115">
        <f t="shared" si="6"/>
        <v>5931.19</v>
      </c>
      <c r="AQ15" s="69">
        <v>0</v>
      </c>
      <c r="AR15" s="69">
        <v>0</v>
      </c>
      <c r="AS15" s="69">
        <v>5931.19</v>
      </c>
      <c r="AT15" s="69">
        <v>3751.22</v>
      </c>
      <c r="AU15" s="59">
        <f t="shared" si="7"/>
        <v>24435.96</v>
      </c>
      <c r="AV15" s="60">
        <f t="shared" si="8"/>
        <v>0</v>
      </c>
      <c r="AW15" s="58">
        <v>0</v>
      </c>
      <c r="AX15" s="58"/>
      <c r="AY15" s="58"/>
      <c r="AZ15" s="60">
        <f t="shared" si="9"/>
        <v>3300</v>
      </c>
      <c r="BA15" s="58"/>
      <c r="BB15" s="58"/>
      <c r="BC15" s="58">
        <v>3300</v>
      </c>
      <c r="BD15" s="60">
        <f>SUM(Tableau1[[#This Row],[ticket/carte/abonnement périmé]:[Autres ou non précisé 5]])</f>
        <v>21135.96</v>
      </c>
      <c r="BE15" s="58"/>
      <c r="BF15" s="58">
        <v>21132.799999999999</v>
      </c>
      <c r="BG15" s="58">
        <v>3.16</v>
      </c>
      <c r="BH15" s="61">
        <f t="shared" si="10"/>
        <v>2.63</v>
      </c>
      <c r="BI15" s="120">
        <v>2.63</v>
      </c>
      <c r="BJ15" s="120">
        <v>0</v>
      </c>
      <c r="BK15" s="62">
        <f t="shared" si="11"/>
        <v>15811.119999999999</v>
      </c>
      <c r="BL15" s="120"/>
      <c r="BM15" s="120"/>
      <c r="BN15" s="120"/>
      <c r="BO15" s="120">
        <v>7428.56</v>
      </c>
      <c r="BP15" s="120">
        <v>8382.56</v>
      </c>
      <c r="BQ15" s="63"/>
      <c r="BR15" s="52">
        <f t="shared" si="12"/>
        <v>368187.49999999994</v>
      </c>
      <c r="BS15" s="52">
        <f t="shared" si="13"/>
        <v>365935.43999999994</v>
      </c>
      <c r="BT15" s="61">
        <f t="shared" si="14"/>
        <v>9760.33</v>
      </c>
      <c r="BU15" s="64">
        <f t="shared" si="15"/>
        <v>9711.2199999999993</v>
      </c>
      <c r="BV15" s="119">
        <f>SUM(Tableau1[[#This Row],[Achats confiserie]:[Achats boisson]])</f>
        <v>9861.2199999999993</v>
      </c>
      <c r="BW15" s="58">
        <v>9361.08</v>
      </c>
      <c r="BX15" s="69">
        <v>500.14</v>
      </c>
      <c r="BY15" s="58">
        <v>-150</v>
      </c>
      <c r="BZ15" s="56">
        <f t="shared" si="16"/>
        <v>0</v>
      </c>
      <c r="CA15" s="66"/>
      <c r="CB15" s="66"/>
      <c r="CC15" s="56">
        <f t="shared" si="17"/>
        <v>49.11</v>
      </c>
      <c r="CD15" s="55">
        <v>49.11</v>
      </c>
      <c r="CE15" s="55"/>
      <c r="CF15" s="55"/>
      <c r="CG15" s="55"/>
      <c r="CH15" s="67">
        <f t="shared" si="18"/>
        <v>207242.70999999993</v>
      </c>
      <c r="CI15" s="68">
        <f t="shared" si="19"/>
        <v>158475.85999999999</v>
      </c>
      <c r="CJ15" s="55"/>
      <c r="CK15" s="55">
        <v>158090.32999999999</v>
      </c>
      <c r="CL15" s="55">
        <v>385.53</v>
      </c>
      <c r="CM15" s="55"/>
      <c r="CN15" s="55"/>
      <c r="CO15" s="68">
        <f t="shared" si="20"/>
        <v>13988.18</v>
      </c>
      <c r="CP15" s="75">
        <f>SUM(Tableau1[[#This Row],[Fourniture eau]:[Energie (non précisé)]])</f>
        <v>12177.56</v>
      </c>
      <c r="CQ15" s="55">
        <v>713.15</v>
      </c>
      <c r="CR15" s="55">
        <v>5342.61</v>
      </c>
      <c r="CS15" s="55">
        <v>6121.8</v>
      </c>
      <c r="CT15" s="55"/>
      <c r="CU15" s="55">
        <f>831.2+461.6</f>
        <v>1292.8000000000002</v>
      </c>
      <c r="CV15" s="55">
        <v>517.82000000000005</v>
      </c>
      <c r="CW15" s="93"/>
      <c r="CX15" s="68">
        <f>SUM(Tableau1[[#This Row],[Sous-traitance]:[Autres ou non précisé 12]])</f>
        <v>2618.16</v>
      </c>
      <c r="CY15" s="65"/>
      <c r="CZ15" s="65"/>
      <c r="DA15" s="65">
        <f>2618.16</f>
        <v>2618.16</v>
      </c>
      <c r="DB15" s="65"/>
      <c r="DC15" s="55"/>
      <c r="DD15" s="68">
        <f t="shared" si="21"/>
        <v>3754.08</v>
      </c>
      <c r="DE15" s="55"/>
      <c r="DF15" s="65">
        <v>0</v>
      </c>
      <c r="DG15" s="65">
        <v>3754.08</v>
      </c>
      <c r="DH15" s="65"/>
      <c r="DI15" s="68">
        <f>SUM(Tableau1[[#This Row],[Entretien et réparation matériel de projection]:[Autres ou non précisé 14]])</f>
        <v>3250.38</v>
      </c>
      <c r="DJ15" s="58">
        <v>3250.38</v>
      </c>
      <c r="DK15" s="58"/>
      <c r="DL15" s="69"/>
      <c r="DM15" s="68">
        <f t="shared" si="22"/>
        <v>6717.48</v>
      </c>
      <c r="DN15" s="58">
        <v>6276.48</v>
      </c>
      <c r="DO15" s="58">
        <v>441</v>
      </c>
      <c r="DP15" s="68">
        <f t="shared" si="23"/>
        <v>4486.05</v>
      </c>
      <c r="DQ15" s="55">
        <v>3919.61</v>
      </c>
      <c r="DR15" s="65">
        <v>566.44000000000005</v>
      </c>
      <c r="DS15" s="68">
        <f t="shared" si="24"/>
        <v>0</v>
      </c>
      <c r="DT15" s="65"/>
      <c r="DU15" s="65"/>
      <c r="DV15" s="65"/>
      <c r="DW15" s="68">
        <f>SUM(Tableau1[[#This Row],[Comission et courtage sur achats]:[Autres ou honoraires
 non précisé ]])</f>
        <v>4132.34</v>
      </c>
      <c r="DX15" s="57"/>
      <c r="DY15" s="57">
        <v>61.45</v>
      </c>
      <c r="DZ15" s="65"/>
      <c r="EA15" s="65"/>
      <c r="EB15" s="65">
        <f>4067.8+3.09</f>
        <v>4070.8900000000003</v>
      </c>
      <c r="EC15" s="68">
        <f t="shared" si="25"/>
        <v>88</v>
      </c>
      <c r="ED15" s="69"/>
      <c r="EE15" s="69"/>
      <c r="EF15" s="69"/>
      <c r="EG15" s="69"/>
      <c r="EH15" s="69">
        <f>48+40</f>
        <v>88</v>
      </c>
      <c r="EI15" s="84">
        <f>SUM(Tableau1[[#This Row],[Transports sur films]:[autres ]])</f>
        <v>532.61</v>
      </c>
      <c r="EJ15" s="132">
        <v>532.61</v>
      </c>
      <c r="EK15" s="132"/>
      <c r="EL15" s="68">
        <f t="shared" si="26"/>
        <v>5526.4699999999993</v>
      </c>
      <c r="EM15" s="65">
        <v>610.83000000000004</v>
      </c>
      <c r="EN15" s="65">
        <v>0</v>
      </c>
      <c r="EO15" s="65"/>
      <c r="EP15" s="65">
        <v>4035.16</v>
      </c>
      <c r="EQ15" s="65"/>
      <c r="ER15" s="65">
        <v>880.48</v>
      </c>
      <c r="ES15" s="65">
        <v>0</v>
      </c>
      <c r="ET15" s="68">
        <f t="shared" si="27"/>
        <v>1529.21</v>
      </c>
      <c r="EU15" s="65">
        <v>1172.45</v>
      </c>
      <c r="EV15" s="65"/>
      <c r="EW15" s="66"/>
      <c r="EX15" s="65">
        <v>356.76</v>
      </c>
      <c r="EY15" s="65"/>
      <c r="EZ15" s="68">
        <f>SUM(Tableau1[[#This Row],[Frais sur CB]:[Services bancaires]])</f>
        <v>1139.08</v>
      </c>
      <c r="FA15" s="65">
        <v>1139.08</v>
      </c>
      <c r="FB15" s="65"/>
      <c r="FC15" s="70">
        <f t="shared" si="28"/>
        <v>1004.81</v>
      </c>
      <c r="FD15" s="65">
        <v>1004.81</v>
      </c>
      <c r="FE15" s="71">
        <f t="shared" si="29"/>
        <v>10286.509999999998</v>
      </c>
      <c r="FF15" s="72">
        <f t="shared" si="30"/>
        <v>735.21</v>
      </c>
      <c r="FG15" s="65">
        <v>423.21</v>
      </c>
      <c r="FH15" s="65">
        <v>312</v>
      </c>
      <c r="FI15" s="65"/>
      <c r="FJ15" s="56">
        <f t="shared" si="31"/>
        <v>9551.2999999999993</v>
      </c>
      <c r="FK15" s="65">
        <v>773</v>
      </c>
      <c r="FL15" s="65">
        <v>4130</v>
      </c>
      <c r="FM15" s="65">
        <v>755.3</v>
      </c>
      <c r="FN15" s="65">
        <f>3893</f>
        <v>3893</v>
      </c>
      <c r="FO15" s="67">
        <f t="shared" si="32"/>
        <v>93254.13</v>
      </c>
      <c r="FP15" s="57">
        <v>46257.77</v>
      </c>
      <c r="FQ15" s="73">
        <v>46996.36</v>
      </c>
      <c r="FR15" s="73"/>
      <c r="FS15" s="71">
        <f t="shared" si="33"/>
        <v>39218.870000000003</v>
      </c>
      <c r="FT15" s="91">
        <v>39218.870000000003</v>
      </c>
      <c r="FU15" s="91"/>
      <c r="FV15" s="67">
        <f>SUM(Tableau1[[#This Row],[Droits d''auteurs SACEM + cotisations SACEM]:[Autres ou non préciés]])</f>
        <v>6172.8899999999994</v>
      </c>
      <c r="FW15" s="75">
        <f t="shared" si="34"/>
        <v>5308.58</v>
      </c>
      <c r="FX15" s="74">
        <v>0</v>
      </c>
      <c r="FY15" s="91"/>
      <c r="FZ15" s="74">
        <v>5308.58</v>
      </c>
      <c r="GA15" s="74">
        <f>552.9+168.66+138+4.75</f>
        <v>864.31</v>
      </c>
      <c r="GB15" s="71">
        <f t="shared" si="35"/>
        <v>2252.06</v>
      </c>
      <c r="GC15" s="92"/>
      <c r="GD15" s="92">
        <v>2252.06</v>
      </c>
      <c r="GE15" s="67">
        <f t="shared" si="36"/>
        <v>0</v>
      </c>
      <c r="GF15" s="66"/>
      <c r="GG15" s="66"/>
      <c r="GH15" s="66"/>
      <c r="GI15" s="66"/>
      <c r="GJ15" s="77"/>
    </row>
    <row r="16" spans="1:192" ht="18.600000000000001" customHeight="1" x14ac:dyDescent="0.25">
      <c r="A16" s="89"/>
      <c r="B16" s="17"/>
      <c r="C16" s="50"/>
      <c r="D16" s="140"/>
      <c r="E16" s="51"/>
      <c r="F16" s="139"/>
      <c r="G16" s="49"/>
      <c r="H16" s="50"/>
      <c r="I16" s="122"/>
      <c r="J16" s="49"/>
      <c r="K16" s="50">
        <v>6</v>
      </c>
      <c r="L16" s="50"/>
      <c r="M16" s="90">
        <v>53</v>
      </c>
      <c r="N16" s="50"/>
      <c r="O16" s="50"/>
      <c r="P16" s="90"/>
      <c r="Q16" s="52">
        <f t="shared" si="0"/>
        <v>1299974</v>
      </c>
      <c r="R16" s="52">
        <f t="shared" si="1"/>
        <v>1275552</v>
      </c>
      <c r="S16" s="53">
        <f t="shared" si="2"/>
        <v>1158225</v>
      </c>
      <c r="T16" s="54">
        <f t="shared" si="3"/>
        <v>152290</v>
      </c>
      <c r="U16" s="115">
        <f>SUM(Tableau1[[#This Row],[Vente confiserie]:[Vente boisson]])</f>
        <v>0</v>
      </c>
      <c r="V16" s="55"/>
      <c r="W16" s="55"/>
      <c r="X16" s="135">
        <f>SUM(Tableau1[[#This Row],[Vente lunette]:[Location lunette]])</f>
        <v>0</v>
      </c>
      <c r="Y16" s="55"/>
      <c r="Z16" s="55"/>
      <c r="AA16" s="55"/>
      <c r="AB16" s="55">
        <v>152290</v>
      </c>
      <c r="AC16" s="56">
        <f t="shared" si="4"/>
        <v>968816</v>
      </c>
      <c r="AD16" s="57">
        <v>965284</v>
      </c>
      <c r="AE16" s="57"/>
      <c r="AF16" s="57"/>
      <c r="AG16" s="57">
        <v>3532</v>
      </c>
      <c r="AH16" s="57"/>
      <c r="AI16" s="57"/>
      <c r="AJ16" s="118">
        <f>(Tableau1[[#This Row],[Recette guichet ]]*1.1275177)-Tableau1[[#This Row],[Recette guichet ]]</f>
        <v>123090.79552679998</v>
      </c>
      <c r="AK16" s="57"/>
      <c r="AL16" s="56">
        <f t="shared" si="5"/>
        <v>37119</v>
      </c>
      <c r="AM16" s="58"/>
      <c r="AN16" s="58"/>
      <c r="AO16" s="58">
        <v>6005</v>
      </c>
      <c r="AP16" s="115">
        <f t="shared" si="6"/>
        <v>24830</v>
      </c>
      <c r="AQ16" s="69"/>
      <c r="AR16" s="69"/>
      <c r="AS16" s="69">
        <f>7715+17115</f>
        <v>24830</v>
      </c>
      <c r="AT16" s="69">
        <f>4944+1340</f>
        <v>6284</v>
      </c>
      <c r="AU16" s="59">
        <f t="shared" si="7"/>
        <v>117327</v>
      </c>
      <c r="AV16" s="60">
        <f t="shared" si="8"/>
        <v>27628</v>
      </c>
      <c r="AW16" s="58"/>
      <c r="AX16" s="58">
        <v>17100</v>
      </c>
      <c r="AY16" s="58">
        <f>6028+4500</f>
        <v>10528</v>
      </c>
      <c r="AZ16" s="60">
        <f t="shared" si="9"/>
        <v>33733</v>
      </c>
      <c r="BA16" s="58"/>
      <c r="BB16" s="58">
        <f>3960+25088+4685</f>
        <v>33733</v>
      </c>
      <c r="BC16" s="58"/>
      <c r="BD16" s="60">
        <f>SUM(Tableau1[[#This Row],[ticket/carte/abonnement périmé]:[Autres ou non précisé 5]])</f>
        <v>55966</v>
      </c>
      <c r="BE16" s="58"/>
      <c r="BF16" s="58">
        <v>52175</v>
      </c>
      <c r="BG16" s="58">
        <v>3791</v>
      </c>
      <c r="BH16" s="61">
        <f t="shared" si="10"/>
        <v>1250</v>
      </c>
      <c r="BI16" s="120">
        <v>1250</v>
      </c>
      <c r="BJ16" s="120"/>
      <c r="BK16" s="62">
        <f t="shared" si="11"/>
        <v>23172</v>
      </c>
      <c r="BL16" s="120"/>
      <c r="BM16" s="120">
        <v>-575</v>
      </c>
      <c r="BN16" s="120"/>
      <c r="BO16" s="120">
        <v>23747</v>
      </c>
      <c r="BP16" s="120"/>
      <c r="BQ16" s="63"/>
      <c r="BR16" s="52">
        <f t="shared" si="12"/>
        <v>1151776.81</v>
      </c>
      <c r="BS16" s="52">
        <f t="shared" si="13"/>
        <v>1144506.81</v>
      </c>
      <c r="BT16" s="61">
        <f t="shared" si="14"/>
        <v>66195.510000000009</v>
      </c>
      <c r="BU16" s="64">
        <f t="shared" si="15"/>
        <v>61420.93</v>
      </c>
      <c r="BV16" s="119">
        <f>SUM(Tableau1[[#This Row],[Achats confiserie]:[Achats boisson]])</f>
        <v>0</v>
      </c>
      <c r="BW16" s="58"/>
      <c r="BX16" s="69"/>
      <c r="BY16" s="58">
        <f>2848.93+58572</f>
        <v>61420.93</v>
      </c>
      <c r="BZ16" s="56">
        <f t="shared" si="16"/>
        <v>4768</v>
      </c>
      <c r="CA16" s="66">
        <v>4768</v>
      </c>
      <c r="CB16" s="66"/>
      <c r="CC16" s="56">
        <f t="shared" si="17"/>
        <v>6.58</v>
      </c>
      <c r="CD16" s="55"/>
      <c r="CE16" s="65"/>
      <c r="CF16" s="55"/>
      <c r="CG16" s="55">
        <v>6.58</v>
      </c>
      <c r="CH16" s="67">
        <f t="shared" si="18"/>
        <v>643211.9</v>
      </c>
      <c r="CI16" s="68">
        <f t="shared" si="19"/>
        <v>391264</v>
      </c>
      <c r="CJ16" s="55"/>
      <c r="CK16" s="55">
        <f>388219+3045</f>
        <v>391264</v>
      </c>
      <c r="CL16" s="55"/>
      <c r="CM16" s="55"/>
      <c r="CN16" s="55"/>
      <c r="CO16" s="68">
        <f t="shared" si="20"/>
        <v>60517.2</v>
      </c>
      <c r="CP16" s="75">
        <f>SUM(Tableau1[[#This Row],[Fourniture eau]:[Energie (non précisé)]])</f>
        <v>48016.2</v>
      </c>
      <c r="CQ16" s="55">
        <v>3088.2</v>
      </c>
      <c r="CR16" s="55">
        <v>42521</v>
      </c>
      <c r="CS16" s="55">
        <v>2407</v>
      </c>
      <c r="CT16" s="55"/>
      <c r="CU16" s="55">
        <v>11285</v>
      </c>
      <c r="CV16" s="55">
        <v>1216</v>
      </c>
      <c r="CW16" s="55"/>
      <c r="CX16" s="68">
        <f>SUM(Tableau1[[#This Row],[Sous-traitance]:[Autres ou non précisé 12]])</f>
        <v>33361.699999999997</v>
      </c>
      <c r="CY16" s="65"/>
      <c r="CZ16" s="65">
        <f>8886</f>
        <v>8886</v>
      </c>
      <c r="DA16" s="65">
        <f>1330.7+9594+13551</f>
        <v>24475.7</v>
      </c>
      <c r="DB16" s="65"/>
      <c r="DC16" s="55"/>
      <c r="DD16" s="68">
        <f t="shared" si="21"/>
        <v>0</v>
      </c>
      <c r="DE16" s="55"/>
      <c r="DF16" s="65"/>
      <c r="DG16" s="65"/>
      <c r="DH16" s="65"/>
      <c r="DI16" s="68">
        <f>SUM(Tableau1[[#This Row],[Entretien et réparation matériel de projection]:[Autres ou non précisé 14]])</f>
        <v>0</v>
      </c>
      <c r="DJ16" s="58"/>
      <c r="DK16" s="58"/>
      <c r="DL16" s="69"/>
      <c r="DM16" s="68">
        <f t="shared" si="22"/>
        <v>10321</v>
      </c>
      <c r="DN16" s="58"/>
      <c r="DO16" s="58">
        <f>9468+853</f>
        <v>10321</v>
      </c>
      <c r="DP16" s="68">
        <f t="shared" si="23"/>
        <v>12296</v>
      </c>
      <c r="DQ16" s="65">
        <v>11567</v>
      </c>
      <c r="DR16" s="65">
        <v>729</v>
      </c>
      <c r="DS16" s="68">
        <f t="shared" si="24"/>
        <v>0</v>
      </c>
      <c r="DT16" s="65"/>
      <c r="DU16" s="65"/>
      <c r="DV16" s="65"/>
      <c r="DW16" s="68">
        <f>SUM(Tableau1[[#This Row],[Comission et courtage sur achats]:[Autres ou honoraires
 non précisé ]])</f>
        <v>109385</v>
      </c>
      <c r="DX16" s="57">
        <v>15000</v>
      </c>
      <c r="DY16" s="57"/>
      <c r="DZ16" s="65"/>
      <c r="EA16" s="65">
        <v>608</v>
      </c>
      <c r="EB16" s="55">
        <f>20810+6181+6986+59800</f>
        <v>93777</v>
      </c>
      <c r="EC16" s="68">
        <f t="shared" si="25"/>
        <v>3396</v>
      </c>
      <c r="ED16" s="69">
        <v>2308</v>
      </c>
      <c r="EE16" s="69"/>
      <c r="EF16" s="69">
        <v>1088</v>
      </c>
      <c r="EG16" s="69"/>
      <c r="EH16" s="69"/>
      <c r="EI16" s="84">
        <f>SUM(Tableau1[[#This Row],[Transports sur films]:[autres ]])</f>
        <v>5311</v>
      </c>
      <c r="EJ16" s="132">
        <v>5311</v>
      </c>
      <c r="EK16" s="132"/>
      <c r="EL16" s="68">
        <f t="shared" si="26"/>
        <v>7787</v>
      </c>
      <c r="EM16" s="65">
        <v>5689</v>
      </c>
      <c r="EN16" s="65">
        <v>2098</v>
      </c>
      <c r="EO16" s="65"/>
      <c r="EP16" s="65"/>
      <c r="EQ16" s="65"/>
      <c r="ER16" s="65"/>
      <c r="ES16" s="65"/>
      <c r="ET16" s="68">
        <f t="shared" si="27"/>
        <v>5565</v>
      </c>
      <c r="EU16" s="65"/>
      <c r="EV16" s="65"/>
      <c r="EW16" s="65">
        <v>5565</v>
      </c>
      <c r="EX16" s="65"/>
      <c r="EY16" s="65"/>
      <c r="EZ16" s="68">
        <f>SUM(Tableau1[[#This Row],[Frais sur CB]:[Services bancaires]])</f>
        <v>2536</v>
      </c>
      <c r="FA16" s="65">
        <v>1287</v>
      </c>
      <c r="FB16" s="65">
        <v>1249</v>
      </c>
      <c r="FC16" s="70">
        <f t="shared" si="28"/>
        <v>1472</v>
      </c>
      <c r="FD16" s="65">
        <v>1472</v>
      </c>
      <c r="FE16" s="71">
        <f t="shared" si="29"/>
        <v>21716.9</v>
      </c>
      <c r="FF16" s="72">
        <f t="shared" si="30"/>
        <v>4259</v>
      </c>
      <c r="FG16" s="65">
        <v>2599</v>
      </c>
      <c r="FH16" s="65">
        <v>1332</v>
      </c>
      <c r="FI16" s="65">
        <v>328</v>
      </c>
      <c r="FJ16" s="56">
        <f t="shared" si="31"/>
        <v>17457.900000000001</v>
      </c>
      <c r="FK16" s="65">
        <v>1048</v>
      </c>
      <c r="FL16" s="65">
        <v>9442</v>
      </c>
      <c r="FM16" s="65">
        <v>4283.8999999999996</v>
      </c>
      <c r="FN16" s="65">
        <v>2684</v>
      </c>
      <c r="FO16" s="67">
        <f t="shared" si="32"/>
        <v>260199.8</v>
      </c>
      <c r="FP16" s="57">
        <f>188195+8943+1168+3960+987</f>
        <v>203253</v>
      </c>
      <c r="FQ16" s="73">
        <f>41692+13493+8022+1271+577.8-8109</f>
        <v>56946.8</v>
      </c>
      <c r="FR16" s="73"/>
      <c r="FS16" s="71">
        <f t="shared" si="33"/>
        <v>98814.7</v>
      </c>
      <c r="FT16" s="91">
        <f>1053.7+97761</f>
        <v>98814.7</v>
      </c>
      <c r="FU16" s="91"/>
      <c r="FV16" s="67">
        <f>SUM(Tableau1[[#This Row],[Droits d''auteurs SACEM + cotisations SACEM]:[Autres ou non préciés]])</f>
        <v>54368</v>
      </c>
      <c r="FW16" s="75">
        <f t="shared" si="34"/>
        <v>17152</v>
      </c>
      <c r="FX16" s="74">
        <v>0</v>
      </c>
      <c r="FY16" s="74"/>
      <c r="FZ16" s="74">
        <v>17152</v>
      </c>
      <c r="GA16" s="74">
        <v>37216</v>
      </c>
      <c r="GB16" s="71">
        <f t="shared" si="35"/>
        <v>7270</v>
      </c>
      <c r="GC16" s="92">
        <f>6947+323</f>
        <v>7270</v>
      </c>
      <c r="GD16" s="92"/>
      <c r="GE16" s="67">
        <f t="shared" si="36"/>
        <v>0</v>
      </c>
      <c r="GF16" s="66"/>
      <c r="GG16" s="66"/>
      <c r="GH16" s="66"/>
      <c r="GI16" s="66"/>
      <c r="GJ16" s="77"/>
    </row>
    <row r="17" spans="1:192" ht="18.600000000000001" customHeight="1" x14ac:dyDescent="0.25">
      <c r="A17" s="89"/>
      <c r="B17" s="17"/>
      <c r="C17" s="50"/>
      <c r="D17" s="140"/>
      <c r="E17" s="51"/>
      <c r="F17" s="139"/>
      <c r="G17" s="49"/>
      <c r="H17" s="50"/>
      <c r="I17" s="122"/>
      <c r="J17" s="49"/>
      <c r="K17" s="50">
        <v>1</v>
      </c>
      <c r="L17" s="50"/>
      <c r="M17" s="90">
        <v>53</v>
      </c>
      <c r="N17" s="50"/>
      <c r="O17" s="50"/>
      <c r="P17" s="90"/>
      <c r="Q17" s="52">
        <f t="shared" si="0"/>
        <v>261300.23999999996</v>
      </c>
      <c r="R17" s="52">
        <f t="shared" si="1"/>
        <v>241724.88999999996</v>
      </c>
      <c r="S17" s="53">
        <f t="shared" si="2"/>
        <v>221428.45999999996</v>
      </c>
      <c r="T17" s="54">
        <f t="shared" si="3"/>
        <v>11677.77</v>
      </c>
      <c r="U17" s="115">
        <f>SUM(Tableau1[[#This Row],[Vente confiserie]:[Vente boisson]])</f>
        <v>11677.77</v>
      </c>
      <c r="V17" s="55">
        <v>11677.77</v>
      </c>
      <c r="W17" s="55"/>
      <c r="X17" s="135">
        <f>SUM(Tableau1[[#This Row],[Vente lunette]:[Location lunette]])</f>
        <v>0</v>
      </c>
      <c r="Y17" s="55"/>
      <c r="Z17" s="55"/>
      <c r="AA17" s="55"/>
      <c r="AB17" s="55"/>
      <c r="AC17" s="56">
        <f t="shared" si="4"/>
        <v>192504.55</v>
      </c>
      <c r="AD17" s="57">
        <v>192504.55</v>
      </c>
      <c r="AE17" s="57"/>
      <c r="AF17" s="57"/>
      <c r="AG17" s="57"/>
      <c r="AH17" s="57"/>
      <c r="AI17" s="57"/>
      <c r="AJ17" s="118">
        <f>(Tableau1[[#This Row],[Recette guichet ]]*1.1275177)-Tableau1[[#This Row],[Recette guichet ]]</f>
        <v>24547.737455535011</v>
      </c>
      <c r="AK17" s="57"/>
      <c r="AL17" s="56">
        <f t="shared" si="5"/>
        <v>17246.14</v>
      </c>
      <c r="AM17" s="58"/>
      <c r="AN17" s="58"/>
      <c r="AO17" s="58"/>
      <c r="AP17" s="115">
        <f t="shared" si="6"/>
        <v>9708.33</v>
      </c>
      <c r="AQ17" s="69">
        <v>0</v>
      </c>
      <c r="AR17" s="69">
        <v>0</v>
      </c>
      <c r="AS17" s="69">
        <v>9708.33</v>
      </c>
      <c r="AT17" s="69">
        <f>1533.33+1173.71+3960.85+869.92</f>
        <v>7537.8099999999995</v>
      </c>
      <c r="AU17" s="59">
        <f t="shared" si="7"/>
        <v>20296.43</v>
      </c>
      <c r="AV17" s="60">
        <f t="shared" si="8"/>
        <v>17100</v>
      </c>
      <c r="AW17" s="58">
        <v>0</v>
      </c>
      <c r="AX17" s="58"/>
      <c r="AY17" s="58">
        <v>17100</v>
      </c>
      <c r="AZ17" s="60">
        <f t="shared" si="9"/>
        <v>2915.05</v>
      </c>
      <c r="BA17" s="58"/>
      <c r="BB17" s="58">
        <v>2915.05</v>
      </c>
      <c r="BC17" s="58"/>
      <c r="BD17" s="60">
        <f>SUM(Tableau1[[#This Row],[ticket/carte/abonnement périmé]:[Autres ou non précisé 5]])</f>
        <v>281.38</v>
      </c>
      <c r="BE17" s="58"/>
      <c r="BF17" s="58"/>
      <c r="BG17" s="58">
        <v>281.38</v>
      </c>
      <c r="BH17" s="61">
        <f t="shared" si="10"/>
        <v>490</v>
      </c>
      <c r="BI17" s="120">
        <v>490</v>
      </c>
      <c r="BJ17" s="120">
        <v>0</v>
      </c>
      <c r="BK17" s="62">
        <f t="shared" si="11"/>
        <v>19085.349999999999</v>
      </c>
      <c r="BL17" s="120"/>
      <c r="BM17" s="120">
        <v>1484</v>
      </c>
      <c r="BN17" s="120"/>
      <c r="BO17" s="120">
        <v>17601.349999999999</v>
      </c>
      <c r="BP17" s="120"/>
      <c r="BQ17" s="63"/>
      <c r="BR17" s="52">
        <f t="shared" si="12"/>
        <v>270538.62000000005</v>
      </c>
      <c r="BS17" s="52">
        <f t="shared" si="13"/>
        <v>268745.62000000005</v>
      </c>
      <c r="BT17" s="61">
        <f t="shared" si="14"/>
        <v>5930.4299999999994</v>
      </c>
      <c r="BU17" s="64">
        <f t="shared" si="15"/>
        <v>6095.0499999999993</v>
      </c>
      <c r="BV17" s="119">
        <f>SUM(Tableau1[[#This Row],[Achats confiserie]:[Achats boisson]])</f>
        <v>6095.0499999999993</v>
      </c>
      <c r="BW17" s="58">
        <f>3694.49+2400.56</f>
        <v>6095.0499999999993</v>
      </c>
      <c r="BX17" s="69"/>
      <c r="BY17" s="58"/>
      <c r="BZ17" s="56">
        <f t="shared" si="16"/>
        <v>0</v>
      </c>
      <c r="CA17" s="66"/>
      <c r="CB17" s="66"/>
      <c r="CC17" s="56">
        <f t="shared" si="17"/>
        <v>-164.62</v>
      </c>
      <c r="CD17" s="55">
        <v>-164.62</v>
      </c>
      <c r="CE17" s="65"/>
      <c r="CF17" s="55"/>
      <c r="CG17" s="55"/>
      <c r="CH17" s="67">
        <f t="shared" si="18"/>
        <v>149478.27000000005</v>
      </c>
      <c r="CI17" s="68">
        <f t="shared" si="19"/>
        <v>85173.98000000001</v>
      </c>
      <c r="CJ17" s="55">
        <v>1666.66</v>
      </c>
      <c r="CK17" s="55">
        <v>81337.460000000006</v>
      </c>
      <c r="CL17" s="55">
        <v>2169.86</v>
      </c>
      <c r="CM17" s="55"/>
      <c r="CN17" s="55"/>
      <c r="CO17" s="68">
        <f t="shared" si="20"/>
        <v>9027.24</v>
      </c>
      <c r="CP17" s="75">
        <f>SUM(Tableau1[[#This Row],[Fourniture eau]:[Energie (non précisé)]])</f>
        <v>4510.1400000000003</v>
      </c>
      <c r="CQ17" s="55">
        <v>0</v>
      </c>
      <c r="CR17" s="55">
        <v>4510.1400000000003</v>
      </c>
      <c r="CS17" s="55"/>
      <c r="CT17" s="55"/>
      <c r="CU17" s="55">
        <f>205+2311</f>
        <v>2516</v>
      </c>
      <c r="CV17" s="55">
        <v>2001.1</v>
      </c>
      <c r="CW17" s="55"/>
      <c r="CX17" s="68">
        <f>SUM(Tableau1[[#This Row],[Sous-traitance]:[Autres ou non précisé 12]])</f>
        <v>244</v>
      </c>
      <c r="CY17" s="65"/>
      <c r="CZ17" s="65">
        <v>244</v>
      </c>
      <c r="DA17" s="65"/>
      <c r="DB17" s="65"/>
      <c r="DC17" s="55"/>
      <c r="DD17" s="68">
        <f t="shared" si="21"/>
        <v>67.34</v>
      </c>
      <c r="DE17" s="55"/>
      <c r="DF17" s="65"/>
      <c r="DG17" s="55">
        <v>67.34</v>
      </c>
      <c r="DH17" s="65"/>
      <c r="DI17" s="68">
        <f>SUM(Tableau1[[#This Row],[Entretien et réparation matériel de projection]:[Autres ou non précisé 14]])</f>
        <v>2129.4499999999998</v>
      </c>
      <c r="DJ17" s="58">
        <v>322.2</v>
      </c>
      <c r="DK17" s="58">
        <v>1807.25</v>
      </c>
      <c r="DL17" s="69"/>
      <c r="DM17" s="68">
        <f t="shared" si="22"/>
        <v>1590</v>
      </c>
      <c r="DN17" s="58"/>
      <c r="DO17" s="58">
        <v>1590</v>
      </c>
      <c r="DP17" s="68">
        <f t="shared" si="23"/>
        <v>6347.08</v>
      </c>
      <c r="DQ17" s="65">
        <v>5956.29</v>
      </c>
      <c r="DR17" s="55">
        <v>390.79</v>
      </c>
      <c r="DS17" s="68">
        <f t="shared" si="24"/>
        <v>0</v>
      </c>
      <c r="DT17" s="65"/>
      <c r="DU17" s="65"/>
      <c r="DV17" s="65"/>
      <c r="DW17" s="68">
        <f>SUM(Tableau1[[#This Row],[Comission et courtage sur achats]:[Autres ou honoraires
 non précisé ]])</f>
        <v>5346</v>
      </c>
      <c r="DX17" s="57"/>
      <c r="DY17" s="57"/>
      <c r="DZ17" s="65"/>
      <c r="EA17" s="65"/>
      <c r="EB17" s="65">
        <v>5346</v>
      </c>
      <c r="EC17" s="68">
        <f t="shared" si="25"/>
        <v>21243.39</v>
      </c>
      <c r="ED17" s="69"/>
      <c r="EE17" s="69">
        <v>3929.07</v>
      </c>
      <c r="EF17" s="69">
        <v>7406.28</v>
      </c>
      <c r="EG17" s="69">
        <v>3711.58</v>
      </c>
      <c r="EH17" s="69">
        <f>3895.16+1601.3+700</f>
        <v>6196.46</v>
      </c>
      <c r="EI17" s="84">
        <f>SUM(Tableau1[[#This Row],[Transports sur films]:[autres ]])</f>
        <v>5419.85</v>
      </c>
      <c r="EJ17" s="132">
        <v>5419.85</v>
      </c>
      <c r="EK17" s="132"/>
      <c r="EL17" s="68">
        <f t="shared" si="26"/>
        <v>7127.0999999999995</v>
      </c>
      <c r="EM17" s="65">
        <f>4968.58+347.48</f>
        <v>5316.0599999999995</v>
      </c>
      <c r="EN17" s="65">
        <v>1811.04</v>
      </c>
      <c r="EO17" s="65"/>
      <c r="EP17" s="65"/>
      <c r="EQ17" s="65"/>
      <c r="ER17" s="65"/>
      <c r="ES17" s="65">
        <v>0</v>
      </c>
      <c r="ET17" s="68">
        <f t="shared" si="27"/>
        <v>3012.6400000000003</v>
      </c>
      <c r="EU17" s="65"/>
      <c r="EV17" s="65"/>
      <c r="EW17" s="65">
        <v>2724.55</v>
      </c>
      <c r="EX17" s="65">
        <v>288.08999999999997</v>
      </c>
      <c r="EY17" s="65"/>
      <c r="EZ17" s="68">
        <f>SUM(Tableau1[[#This Row],[Frais sur CB]:[Services bancaires]])</f>
        <v>730.56</v>
      </c>
      <c r="FA17" s="65">
        <v>730.56</v>
      </c>
      <c r="FB17" s="65">
        <v>0</v>
      </c>
      <c r="FC17" s="70">
        <f t="shared" si="28"/>
        <v>2019.6399999999999</v>
      </c>
      <c r="FD17" s="65">
        <f>819.64+1200</f>
        <v>2019.6399999999999</v>
      </c>
      <c r="FE17" s="71">
        <f t="shared" si="29"/>
        <v>22984.94</v>
      </c>
      <c r="FF17" s="72">
        <f t="shared" si="30"/>
        <v>683.94</v>
      </c>
      <c r="FG17" s="65">
        <v>382.58</v>
      </c>
      <c r="FH17" s="65">
        <v>320.36</v>
      </c>
      <c r="FI17" s="65">
        <f>-19</f>
        <v>-19</v>
      </c>
      <c r="FJ17" s="56">
        <f t="shared" si="31"/>
        <v>22301</v>
      </c>
      <c r="FK17" s="65">
        <v>660</v>
      </c>
      <c r="FL17" s="93"/>
      <c r="FM17" s="65"/>
      <c r="FN17" s="65">
        <v>21641</v>
      </c>
      <c r="FO17" s="67">
        <f t="shared" si="32"/>
        <v>67543.05</v>
      </c>
      <c r="FP17" s="57">
        <f>51441.94-1169</f>
        <v>50272.94</v>
      </c>
      <c r="FQ17" s="73">
        <f>10010.49+2900.95+2212.08-289+252.79</f>
        <v>15087.31</v>
      </c>
      <c r="FR17" s="73">
        <f>-3087+5250+19.8</f>
        <v>2182.8000000000002</v>
      </c>
      <c r="FS17" s="71">
        <f t="shared" si="33"/>
        <v>18808</v>
      </c>
      <c r="FT17" s="91">
        <v>18808</v>
      </c>
      <c r="FU17" s="91"/>
      <c r="FV17" s="67">
        <f>SUM(Tableau1[[#This Row],[Droits d''auteurs SACEM + cotisations SACEM]:[Autres ou non préciés]])</f>
        <v>4000.93</v>
      </c>
      <c r="FW17" s="75">
        <f t="shared" si="34"/>
        <v>3441.95</v>
      </c>
      <c r="FX17" s="74">
        <v>0</v>
      </c>
      <c r="FY17" s="74"/>
      <c r="FZ17" s="74">
        <v>3441.95</v>
      </c>
      <c r="GA17" s="74">
        <v>558.98</v>
      </c>
      <c r="GB17" s="71">
        <f t="shared" si="35"/>
        <v>0</v>
      </c>
      <c r="GC17" s="92"/>
      <c r="GD17" s="92"/>
      <c r="GE17" s="67">
        <f t="shared" si="36"/>
        <v>1793</v>
      </c>
      <c r="GF17" s="66"/>
      <c r="GG17" s="66">
        <v>1793</v>
      </c>
      <c r="GH17" s="66"/>
      <c r="GI17" s="66"/>
      <c r="GJ17" s="77"/>
    </row>
    <row r="18" spans="1:192" ht="18.600000000000001" customHeight="1" x14ac:dyDescent="0.25">
      <c r="A18" s="89"/>
      <c r="B18" s="17"/>
      <c r="C18" s="50"/>
      <c r="D18" s="140"/>
      <c r="E18" s="51"/>
      <c r="F18" s="139"/>
      <c r="G18" s="49"/>
      <c r="H18" s="50"/>
      <c r="I18" s="122"/>
      <c r="J18" s="49"/>
      <c r="K18" s="50">
        <v>3</v>
      </c>
      <c r="L18" s="50"/>
      <c r="M18" s="90">
        <v>53</v>
      </c>
      <c r="N18" s="50"/>
      <c r="O18" s="50"/>
      <c r="P18" s="90"/>
      <c r="Q18" s="52">
        <f t="shared" si="0"/>
        <v>528750.12</v>
      </c>
      <c r="R18" s="52">
        <f t="shared" si="1"/>
        <v>484793.12</v>
      </c>
      <c r="S18" s="53">
        <f t="shared" si="2"/>
        <v>440818.12</v>
      </c>
      <c r="T18" s="54">
        <f t="shared" si="3"/>
        <v>37669.120000000003</v>
      </c>
      <c r="U18" s="115">
        <f>SUM(Tableau1[[#This Row],[Vente confiserie]:[Vente boisson]])</f>
        <v>37669.120000000003</v>
      </c>
      <c r="V18" s="217">
        <v>37669.120000000003</v>
      </c>
      <c r="W18" s="55"/>
      <c r="X18" s="135">
        <f>SUM(Tableau1[[#This Row],[Vente lunette]:[Location lunette]])</f>
        <v>0</v>
      </c>
      <c r="Y18" s="55"/>
      <c r="Z18" s="55"/>
      <c r="AA18" s="55"/>
      <c r="AB18" s="55"/>
      <c r="AC18" s="56">
        <f t="shared" si="4"/>
        <v>385481</v>
      </c>
      <c r="AD18" s="103">
        <f>432915-47434</f>
        <v>385481</v>
      </c>
      <c r="AE18" s="57"/>
      <c r="AF18" s="57"/>
      <c r="AG18" s="57"/>
      <c r="AH18" s="57"/>
      <c r="AI18" s="57"/>
      <c r="AJ18" s="118">
        <f>(Tableau1[[#This Row],[Recette guichet ]]*1.1275177)-Tableau1[[#This Row],[Recette guichet ]]</f>
        <v>49155.650513700035</v>
      </c>
      <c r="AK18" s="57"/>
      <c r="AL18" s="56">
        <f t="shared" si="5"/>
        <v>17668</v>
      </c>
      <c r="AM18" s="58"/>
      <c r="AN18" s="58"/>
      <c r="AO18" s="58"/>
      <c r="AP18" s="115">
        <f t="shared" si="6"/>
        <v>13831</v>
      </c>
      <c r="AQ18" s="69"/>
      <c r="AR18" s="69"/>
      <c r="AS18" s="69">
        <f>4350+9481</f>
        <v>13831</v>
      </c>
      <c r="AT18" s="69">
        <v>3837</v>
      </c>
      <c r="AU18" s="59">
        <f t="shared" si="7"/>
        <v>43975</v>
      </c>
      <c r="AV18" s="60">
        <f t="shared" si="8"/>
        <v>40016</v>
      </c>
      <c r="AW18" s="58">
        <v>40016</v>
      </c>
      <c r="AX18" s="58"/>
      <c r="AY18" s="58"/>
      <c r="AZ18" s="60">
        <f t="shared" si="9"/>
        <v>825</v>
      </c>
      <c r="BA18" s="58"/>
      <c r="BB18" s="58">
        <v>825</v>
      </c>
      <c r="BC18" s="58"/>
      <c r="BD18" s="60">
        <f>SUM(Tableau1[[#This Row],[ticket/carte/abonnement périmé]:[Autres ou non précisé 5]])</f>
        <v>3134</v>
      </c>
      <c r="BE18" s="58"/>
      <c r="BF18" s="58"/>
      <c r="BG18" s="58">
        <v>3134</v>
      </c>
      <c r="BH18" s="61">
        <f t="shared" si="10"/>
        <v>78</v>
      </c>
      <c r="BI18" s="120">
        <v>78</v>
      </c>
      <c r="BJ18" s="120"/>
      <c r="BK18" s="62">
        <f t="shared" si="11"/>
        <v>43879</v>
      </c>
      <c r="BL18" s="120"/>
      <c r="BM18" s="120"/>
      <c r="BN18" s="120"/>
      <c r="BO18" s="120">
        <v>20223</v>
      </c>
      <c r="BP18" s="120">
        <v>23656</v>
      </c>
      <c r="BQ18" s="63"/>
      <c r="BR18" s="52">
        <f t="shared" si="12"/>
        <v>583632.84000000008</v>
      </c>
      <c r="BS18" s="52">
        <f t="shared" si="13"/>
        <v>583586.84000000008</v>
      </c>
      <c r="BT18" s="61">
        <f t="shared" si="14"/>
        <v>23256.84</v>
      </c>
      <c r="BU18" s="64">
        <f t="shared" si="15"/>
        <v>23102</v>
      </c>
      <c r="BV18" s="119">
        <f>SUM(Tableau1[[#This Row],[Achats confiserie]:[Achats boisson]])</f>
        <v>22152</v>
      </c>
      <c r="BW18" s="58">
        <f>5169+16983</f>
        <v>22152</v>
      </c>
      <c r="BX18" s="69"/>
      <c r="BY18" s="58">
        <v>950</v>
      </c>
      <c r="BZ18" s="56">
        <f t="shared" si="16"/>
        <v>0</v>
      </c>
      <c r="CA18" s="66"/>
      <c r="CB18" s="66"/>
      <c r="CC18" s="56">
        <f t="shared" si="17"/>
        <v>154.84</v>
      </c>
      <c r="CD18" s="55"/>
      <c r="CE18" s="65"/>
      <c r="CF18" s="55"/>
      <c r="CG18" s="55">
        <v>154.84</v>
      </c>
      <c r="CH18" s="67">
        <f t="shared" si="18"/>
        <v>379988</v>
      </c>
      <c r="CI18" s="68">
        <f>SUM(CK18:CN18)</f>
        <v>199437</v>
      </c>
      <c r="CJ18" s="93"/>
      <c r="CK18" s="55">
        <v>199437</v>
      </c>
      <c r="CL18" s="55"/>
      <c r="CM18" s="55"/>
      <c r="CN18" s="55"/>
      <c r="CO18" s="68">
        <f t="shared" si="20"/>
        <v>24667</v>
      </c>
      <c r="CP18" s="75">
        <f>SUM(Tableau1[[#This Row],[Fourniture eau]:[Energie (non précisé)]])</f>
        <v>16755</v>
      </c>
      <c r="CQ18" s="93">
        <v>1007</v>
      </c>
      <c r="CR18" s="55">
        <v>8702</v>
      </c>
      <c r="CS18" s="93">
        <v>7046</v>
      </c>
      <c r="CT18" s="55"/>
      <c r="CU18" s="55">
        <f>4412+755+1518</f>
        <v>6685</v>
      </c>
      <c r="CV18" s="55">
        <v>1227</v>
      </c>
      <c r="CW18" s="55"/>
      <c r="CX18" s="68">
        <f>SUM(Tableau1[[#This Row],[Sous-traitance]:[Autres ou non précisé 12]])</f>
        <v>62098</v>
      </c>
      <c r="CY18" s="65"/>
      <c r="CZ18" s="65">
        <v>14093</v>
      </c>
      <c r="DA18" s="65">
        <f>3205+39449+867+3591+893</f>
        <v>48005</v>
      </c>
      <c r="DB18" s="65"/>
      <c r="DC18" s="55"/>
      <c r="DD18" s="68">
        <f t="shared" si="21"/>
        <v>22875</v>
      </c>
      <c r="DE18" s="55">
        <v>15598</v>
      </c>
      <c r="DF18" s="65"/>
      <c r="DG18" s="65">
        <v>7277</v>
      </c>
      <c r="DH18" s="65"/>
      <c r="DI18" s="68">
        <f>SUM(Tableau1[[#This Row],[Entretien et réparation matériel de projection]:[Autres ou non précisé 14]])</f>
        <v>7313</v>
      </c>
      <c r="DJ18" s="58"/>
      <c r="DK18" s="58"/>
      <c r="DL18" s="69">
        <v>7313</v>
      </c>
      <c r="DM18" s="68">
        <f t="shared" si="22"/>
        <v>4895</v>
      </c>
      <c r="DN18" s="58"/>
      <c r="DO18" s="58">
        <v>4895</v>
      </c>
      <c r="DP18" s="68">
        <f t="shared" si="23"/>
        <v>9845</v>
      </c>
      <c r="DQ18" s="65">
        <f>8271+896</f>
        <v>9167</v>
      </c>
      <c r="DR18" s="65">
        <v>678</v>
      </c>
      <c r="DS18" s="68">
        <f t="shared" si="24"/>
        <v>0</v>
      </c>
      <c r="DT18" s="65"/>
      <c r="DU18" s="93"/>
      <c r="DV18" s="65"/>
      <c r="DW18" s="68">
        <f>SUM(Tableau1[[#This Row],[Comission et courtage sur achats]:[Autres ou honoraires
 non précisé ]])</f>
        <v>8163</v>
      </c>
      <c r="DX18" s="57"/>
      <c r="DY18" s="57"/>
      <c r="DZ18" s="65"/>
      <c r="EA18" s="65"/>
      <c r="EB18" s="65">
        <f>7216+47+900</f>
        <v>8163</v>
      </c>
      <c r="EC18" s="68">
        <f t="shared" si="25"/>
        <v>6108</v>
      </c>
      <c r="ED18" s="69">
        <v>1302</v>
      </c>
      <c r="EE18" s="69"/>
      <c r="EF18" s="69">
        <v>2511</v>
      </c>
      <c r="EG18" s="69"/>
      <c r="EH18" s="69">
        <f>1135+761+399</f>
        <v>2295</v>
      </c>
      <c r="EI18" s="84">
        <f>SUM(Tableau1[[#This Row],[Transports sur films]:[autres ]])</f>
        <v>2994</v>
      </c>
      <c r="EJ18" s="132">
        <v>2994</v>
      </c>
      <c r="EK18" s="132"/>
      <c r="EL18" s="68">
        <f t="shared" si="26"/>
        <v>24958</v>
      </c>
      <c r="EM18" s="65">
        <v>20004</v>
      </c>
      <c r="EN18" s="65">
        <v>0</v>
      </c>
      <c r="EO18" s="65">
        <v>4954</v>
      </c>
      <c r="EP18" s="65"/>
      <c r="EQ18" s="65"/>
      <c r="ER18" s="65"/>
      <c r="ES18" s="65"/>
      <c r="ET18" s="68">
        <f t="shared" si="27"/>
        <v>3797</v>
      </c>
      <c r="EU18" s="65">
        <v>2819</v>
      </c>
      <c r="EV18" s="65"/>
      <c r="EW18" s="65"/>
      <c r="EX18" s="65"/>
      <c r="EY18" s="65">
        <v>978</v>
      </c>
      <c r="EZ18" s="68">
        <f>SUM(FB18:FB18)</f>
        <v>1358</v>
      </c>
      <c r="FA18" s="93"/>
      <c r="FB18" s="65">
        <v>1358</v>
      </c>
      <c r="FC18" s="70">
        <f t="shared" si="28"/>
        <v>1480</v>
      </c>
      <c r="FD18" s="65">
        <v>1480</v>
      </c>
      <c r="FE18" s="71">
        <f t="shared" si="29"/>
        <v>2227</v>
      </c>
      <c r="FF18" s="72">
        <f t="shared" si="30"/>
        <v>1355</v>
      </c>
      <c r="FG18" s="65">
        <v>626</v>
      </c>
      <c r="FH18" s="65">
        <v>624</v>
      </c>
      <c r="FI18" s="65">
        <v>105</v>
      </c>
      <c r="FJ18" s="56">
        <f t="shared" si="31"/>
        <v>872</v>
      </c>
      <c r="FK18" s="65"/>
      <c r="FL18" s="65"/>
      <c r="FM18" s="65">
        <v>872</v>
      </c>
      <c r="FN18" s="65"/>
      <c r="FO18" s="67">
        <f t="shared" si="32"/>
        <v>132357</v>
      </c>
      <c r="FP18" s="57">
        <v>96869</v>
      </c>
      <c r="FQ18" s="73">
        <v>35488</v>
      </c>
      <c r="FR18" s="73"/>
      <c r="FS18" s="71">
        <f t="shared" si="33"/>
        <v>37385</v>
      </c>
      <c r="FT18" s="91">
        <v>37385</v>
      </c>
      <c r="FU18" s="91"/>
      <c r="FV18" s="67">
        <f>SUM(Tableau1[[#This Row],[Droits d''auteurs SACEM + cotisations SACEM]:[Autres ou non préciés]])</f>
        <v>8373</v>
      </c>
      <c r="FW18" s="75">
        <f t="shared" si="34"/>
        <v>7830</v>
      </c>
      <c r="FX18" s="74">
        <v>7830</v>
      </c>
      <c r="FY18" s="74"/>
      <c r="FZ18" s="74"/>
      <c r="GA18" s="74">
        <f>480+11+52</f>
        <v>543</v>
      </c>
      <c r="GB18" s="71">
        <f t="shared" si="35"/>
        <v>46</v>
      </c>
      <c r="GC18" s="92">
        <v>46</v>
      </c>
      <c r="GD18" s="92"/>
      <c r="GE18" s="67">
        <f t="shared" si="36"/>
        <v>0</v>
      </c>
      <c r="GF18" s="66"/>
      <c r="GG18" s="66"/>
      <c r="GH18" s="66"/>
      <c r="GI18" s="66"/>
      <c r="GJ18" s="77"/>
    </row>
    <row r="19" spans="1:192" ht="18.600000000000001" customHeight="1" x14ac:dyDescent="0.25">
      <c r="A19" s="89"/>
      <c r="B19" s="17"/>
      <c r="C19" s="50"/>
      <c r="D19" s="140"/>
      <c r="E19" s="51"/>
      <c r="F19" s="139"/>
      <c r="G19" s="49"/>
      <c r="H19" s="50"/>
      <c r="I19" s="122"/>
      <c r="J19" s="49"/>
      <c r="K19" s="50">
        <v>3</v>
      </c>
      <c r="L19" s="50"/>
      <c r="M19" s="90">
        <v>53</v>
      </c>
      <c r="N19" s="50"/>
      <c r="O19" s="50"/>
      <c r="P19" s="90"/>
      <c r="Q19" s="52">
        <f t="shared" si="0"/>
        <v>565217.96</v>
      </c>
      <c r="R19" s="52">
        <f t="shared" si="1"/>
        <v>531224.96</v>
      </c>
      <c r="S19" s="53">
        <f t="shared" si="2"/>
        <v>476319.96</v>
      </c>
      <c r="T19" s="54">
        <f t="shared" si="3"/>
        <v>49107</v>
      </c>
      <c r="U19" s="115">
        <f>SUM(Tableau1[[#This Row],[Vente confiserie]:[Vente boisson]])</f>
        <v>49107</v>
      </c>
      <c r="V19" s="55">
        <v>49107</v>
      </c>
      <c r="W19" s="55"/>
      <c r="X19" s="135">
        <f>SUM(Tableau1[[#This Row],[Vente lunette]:[Location lunette]])</f>
        <v>0</v>
      </c>
      <c r="Y19" s="55"/>
      <c r="Z19" s="55"/>
      <c r="AA19" s="55"/>
      <c r="AB19" s="55"/>
      <c r="AC19" s="56">
        <f t="shared" si="4"/>
        <v>410451.96</v>
      </c>
      <c r="AD19" s="57">
        <f>463482.96-53031</f>
        <v>410451.96</v>
      </c>
      <c r="AE19" s="57"/>
      <c r="AF19" s="57"/>
      <c r="AG19" s="57"/>
      <c r="AH19" s="57"/>
      <c r="AI19" s="57"/>
      <c r="AJ19" s="118">
        <f>(Tableau1[[#This Row],[Recette guichet ]]*1.1275177)-Tableau1[[#This Row],[Recette guichet ]]</f>
        <v>52339.889899692032</v>
      </c>
      <c r="AK19" s="57"/>
      <c r="AL19" s="56">
        <f t="shared" si="5"/>
        <v>16761</v>
      </c>
      <c r="AM19" s="58"/>
      <c r="AN19" s="58"/>
      <c r="AO19" s="58"/>
      <c r="AP19" s="115">
        <f t="shared" si="6"/>
        <v>12886</v>
      </c>
      <c r="AQ19" s="69"/>
      <c r="AR19" s="69"/>
      <c r="AS19" s="69">
        <f>4957+7929</f>
        <v>12886</v>
      </c>
      <c r="AT19" s="69">
        <v>3875</v>
      </c>
      <c r="AU19" s="59">
        <f t="shared" si="7"/>
        <v>54905</v>
      </c>
      <c r="AV19" s="60">
        <f t="shared" si="8"/>
        <v>54259</v>
      </c>
      <c r="AW19" s="58">
        <v>54259</v>
      </c>
      <c r="AX19" s="58"/>
      <c r="AY19" s="58"/>
      <c r="AZ19" s="60">
        <f t="shared" si="9"/>
        <v>0</v>
      </c>
      <c r="BA19" s="58"/>
      <c r="BB19" s="58"/>
      <c r="BC19" s="58"/>
      <c r="BD19" s="60">
        <f>SUM(Tableau1[[#This Row],[ticket/carte/abonnement périmé]:[Autres ou non précisé 5]])</f>
        <v>646</v>
      </c>
      <c r="BE19" s="58"/>
      <c r="BF19" s="58"/>
      <c r="BG19" s="58">
        <v>646</v>
      </c>
      <c r="BH19" s="61">
        <f t="shared" si="10"/>
        <v>80</v>
      </c>
      <c r="BI19" s="120">
        <v>80</v>
      </c>
      <c r="BJ19" s="120"/>
      <c r="BK19" s="62">
        <f t="shared" si="11"/>
        <v>33913</v>
      </c>
      <c r="BL19" s="120"/>
      <c r="BM19" s="120"/>
      <c r="BN19" s="120"/>
      <c r="BO19" s="120">
        <v>10566</v>
      </c>
      <c r="BP19" s="120">
        <v>23347</v>
      </c>
      <c r="BQ19" s="63"/>
      <c r="BR19" s="52">
        <f t="shared" si="12"/>
        <v>549467.80000000005</v>
      </c>
      <c r="BS19" s="52">
        <f t="shared" si="13"/>
        <v>549356.80000000005</v>
      </c>
      <c r="BT19" s="61">
        <f t="shared" si="14"/>
        <v>25549.65</v>
      </c>
      <c r="BU19" s="64">
        <f t="shared" si="15"/>
        <v>24642</v>
      </c>
      <c r="BV19" s="119">
        <f>SUM(Tableau1[[#This Row],[Achats confiserie]:[Achats boisson]])</f>
        <v>24397</v>
      </c>
      <c r="BW19" s="58">
        <f>5221+19176</f>
        <v>24397</v>
      </c>
      <c r="BX19" s="69"/>
      <c r="BY19" s="58">
        <v>245</v>
      </c>
      <c r="BZ19" s="56">
        <f t="shared" si="16"/>
        <v>0</v>
      </c>
      <c r="CA19" s="66"/>
      <c r="CB19" s="66"/>
      <c r="CC19" s="56">
        <f t="shared" si="17"/>
        <v>907.65</v>
      </c>
      <c r="CD19" s="55"/>
      <c r="CE19" s="65"/>
      <c r="CF19" s="55"/>
      <c r="CG19" s="55">
        <v>907.65</v>
      </c>
      <c r="CH19" s="67">
        <f t="shared" si="18"/>
        <v>343362.15</v>
      </c>
      <c r="CI19" s="68">
        <f t="shared" ref="CI19:CI82" si="37">SUM(CJ19:CN19)</f>
        <v>178367</v>
      </c>
      <c r="CJ19" s="55"/>
      <c r="CK19" s="55">
        <v>178367</v>
      </c>
      <c r="CL19" s="55"/>
      <c r="CM19" s="55"/>
      <c r="CN19" s="55"/>
      <c r="CO19" s="68">
        <f t="shared" si="20"/>
        <v>21031.15</v>
      </c>
      <c r="CP19" s="75">
        <f>SUM(Tableau1[[#This Row],[Fourniture eau]:[Energie (non précisé)]])</f>
        <v>18063</v>
      </c>
      <c r="CQ19" s="93">
        <v>861</v>
      </c>
      <c r="CR19" s="55">
        <v>8820</v>
      </c>
      <c r="CS19" s="55">
        <v>8382</v>
      </c>
      <c r="CT19" s="55"/>
      <c r="CU19" s="55">
        <f>361.15+251+719</f>
        <v>1331.15</v>
      </c>
      <c r="CV19" s="55">
        <v>1637</v>
      </c>
      <c r="CW19" s="55"/>
      <c r="CX19" s="68">
        <f>SUM(Tableau1[[#This Row],[Sous-traitance]:[Autres ou non précisé 12]])</f>
        <v>62722</v>
      </c>
      <c r="CY19" s="65"/>
      <c r="CZ19" s="65">
        <v>14429</v>
      </c>
      <c r="DA19" s="65">
        <f>3504+39295+993+3593+908</f>
        <v>48293</v>
      </c>
      <c r="DB19" s="65"/>
      <c r="DC19" s="55"/>
      <c r="DD19" s="68">
        <f t="shared" si="21"/>
        <v>20179</v>
      </c>
      <c r="DE19" s="55">
        <v>14643</v>
      </c>
      <c r="DF19" s="65"/>
      <c r="DG19" s="65">
        <v>5536</v>
      </c>
      <c r="DH19" s="65"/>
      <c r="DI19" s="68">
        <f>SUM(Tableau1[[#This Row],[Entretien et réparation matériel de projection]:[Autres ou non précisé 14]])</f>
        <v>2727</v>
      </c>
      <c r="DJ19" s="58"/>
      <c r="DK19" s="58"/>
      <c r="DL19" s="69">
        <v>2727</v>
      </c>
      <c r="DM19" s="68">
        <f t="shared" si="22"/>
        <v>4895</v>
      </c>
      <c r="DN19" s="58"/>
      <c r="DO19" s="58">
        <v>4895</v>
      </c>
      <c r="DP19" s="68">
        <f t="shared" si="23"/>
        <v>9045</v>
      </c>
      <c r="DQ19" s="65">
        <f>8065+896</f>
        <v>8961</v>
      </c>
      <c r="DR19" s="65">
        <v>84</v>
      </c>
      <c r="DS19" s="68">
        <f t="shared" si="24"/>
        <v>0</v>
      </c>
      <c r="DT19" s="65"/>
      <c r="DU19" s="93"/>
      <c r="DV19" s="65"/>
      <c r="DW19" s="68">
        <f>SUM(Tableau1[[#This Row],[Comission et courtage sur achats]:[Autres ou honoraires
 non précisé ]])</f>
        <v>7646</v>
      </c>
      <c r="DX19" s="57"/>
      <c r="DY19" s="57"/>
      <c r="DZ19" s="65"/>
      <c r="EA19" s="65"/>
      <c r="EB19" s="65">
        <f>7590+56</f>
        <v>7646</v>
      </c>
      <c r="EC19" s="68">
        <f t="shared" si="25"/>
        <v>4840</v>
      </c>
      <c r="ED19" s="69">
        <v>1691</v>
      </c>
      <c r="EE19" s="69"/>
      <c r="EF19" s="69">
        <v>1137</v>
      </c>
      <c r="EG19" s="69"/>
      <c r="EH19" s="69">
        <f>1047+965</f>
        <v>2012</v>
      </c>
      <c r="EI19" s="84">
        <f>SUM(Tableau1[[#This Row],[Transports sur films]:[autres ]])</f>
        <v>1306</v>
      </c>
      <c r="EJ19" s="132">
        <v>1306</v>
      </c>
      <c r="EK19" s="132"/>
      <c r="EL19" s="68">
        <f t="shared" si="26"/>
        <v>25752</v>
      </c>
      <c r="EM19" s="65">
        <v>20667</v>
      </c>
      <c r="EN19" s="65">
        <v>0</v>
      </c>
      <c r="EO19" s="65">
        <v>5085</v>
      </c>
      <c r="EP19" s="65"/>
      <c r="EQ19" s="65"/>
      <c r="ER19" s="65"/>
      <c r="ES19" s="65"/>
      <c r="ET19" s="68">
        <f t="shared" si="27"/>
        <v>3001</v>
      </c>
      <c r="EU19" s="65">
        <v>2810</v>
      </c>
      <c r="EV19" s="65"/>
      <c r="EW19" s="65"/>
      <c r="EX19" s="65"/>
      <c r="EY19" s="65">
        <v>191</v>
      </c>
      <c r="EZ19" s="68">
        <f>SUM(FA19:FB19)</f>
        <v>981</v>
      </c>
      <c r="FA19" s="65"/>
      <c r="FB19" s="65">
        <v>981</v>
      </c>
      <c r="FC19" s="70">
        <f t="shared" si="28"/>
        <v>870</v>
      </c>
      <c r="FD19" s="65">
        <v>870</v>
      </c>
      <c r="FE19" s="71">
        <f t="shared" si="29"/>
        <v>2680</v>
      </c>
      <c r="FF19" s="72">
        <f t="shared" si="30"/>
        <v>1805</v>
      </c>
      <c r="FG19" s="65">
        <v>730</v>
      </c>
      <c r="FH19" s="65">
        <v>693</v>
      </c>
      <c r="FI19" s="65">
        <v>382</v>
      </c>
      <c r="FJ19" s="56">
        <f t="shared" si="31"/>
        <v>875</v>
      </c>
      <c r="FK19" s="65"/>
      <c r="FL19" s="65"/>
      <c r="FM19" s="65">
        <v>875</v>
      </c>
      <c r="FN19" s="65"/>
      <c r="FO19" s="67">
        <f t="shared" si="32"/>
        <v>133194</v>
      </c>
      <c r="FP19" s="57">
        <f>101920-2196</f>
        <v>99724</v>
      </c>
      <c r="FQ19" s="73">
        <v>33470</v>
      </c>
      <c r="FR19" s="73"/>
      <c r="FS19" s="71">
        <f t="shared" si="33"/>
        <v>38524</v>
      </c>
      <c r="FT19" s="91">
        <v>38524</v>
      </c>
      <c r="FU19" s="91"/>
      <c r="FV19" s="67">
        <f>SUM(Tableau1[[#This Row],[Droits d''auteurs SACEM + cotisations SACEM]:[Autres ou non préciés]])</f>
        <v>6047</v>
      </c>
      <c r="FW19" s="75">
        <f t="shared" si="34"/>
        <v>5505</v>
      </c>
      <c r="FX19" s="74">
        <v>5505</v>
      </c>
      <c r="FY19" s="74"/>
      <c r="FZ19" s="74"/>
      <c r="GA19" s="74">
        <f>422+57+63</f>
        <v>542</v>
      </c>
      <c r="GB19" s="71">
        <f t="shared" si="35"/>
        <v>111</v>
      </c>
      <c r="GC19" s="92">
        <v>111</v>
      </c>
      <c r="GD19" s="92"/>
      <c r="GE19" s="67">
        <f t="shared" si="36"/>
        <v>0</v>
      </c>
      <c r="GF19" s="66"/>
      <c r="GG19" s="66"/>
      <c r="GH19" s="66"/>
      <c r="GI19" s="66"/>
      <c r="GJ19" s="77"/>
    </row>
    <row r="20" spans="1:192" ht="18.600000000000001" customHeight="1" x14ac:dyDescent="0.25">
      <c r="A20" s="89"/>
      <c r="B20" s="17"/>
      <c r="C20" s="50"/>
      <c r="D20" s="140"/>
      <c r="E20" s="51"/>
      <c r="F20" s="139"/>
      <c r="G20" s="49"/>
      <c r="H20" s="50"/>
      <c r="I20" s="122"/>
      <c r="J20" s="49"/>
      <c r="K20" s="50">
        <v>4</v>
      </c>
      <c r="L20" s="50"/>
      <c r="M20" s="90">
        <v>53</v>
      </c>
      <c r="N20" s="50"/>
      <c r="O20" s="50"/>
      <c r="P20" s="90"/>
      <c r="Q20" s="52">
        <f t="shared" si="0"/>
        <v>680176</v>
      </c>
      <c r="R20" s="52">
        <f t="shared" si="1"/>
        <v>658836</v>
      </c>
      <c r="S20" s="53">
        <f t="shared" si="2"/>
        <v>623938</v>
      </c>
      <c r="T20" s="54">
        <f t="shared" si="3"/>
        <v>95979</v>
      </c>
      <c r="U20" s="115">
        <f>SUM(Tableau1[[#This Row],[Vente confiserie]:[Vente boisson]])</f>
        <v>80455</v>
      </c>
      <c r="V20" s="55">
        <f>8014+51946</f>
        <v>59960</v>
      </c>
      <c r="W20" s="55">
        <v>20495</v>
      </c>
      <c r="X20" s="135">
        <f>SUM(Tableau1[[#This Row],[Vente lunette]:[Location lunette]])</f>
        <v>15524</v>
      </c>
      <c r="Y20" s="55"/>
      <c r="Z20" s="55">
        <v>15524</v>
      </c>
      <c r="AA20" s="55"/>
      <c r="AB20" s="55"/>
      <c r="AC20" s="56">
        <f>SUM(AD20:AI20,BF20)</f>
        <v>464533</v>
      </c>
      <c r="AD20" s="57">
        <v>439697</v>
      </c>
      <c r="AE20" s="57"/>
      <c r="AF20" s="57"/>
      <c r="AG20" s="57"/>
      <c r="AH20" s="57"/>
      <c r="AI20" s="57"/>
      <c r="AJ20" s="118">
        <f>(Tableau1[[#This Row],[Recette guichet ]]*1.1275177)-Tableau1[[#This Row],[Recette guichet ]]</f>
        <v>56069.150136900018</v>
      </c>
      <c r="AK20" s="103"/>
      <c r="AL20" s="56">
        <f t="shared" si="5"/>
        <v>63426</v>
      </c>
      <c r="AM20" s="58">
        <v>807</v>
      </c>
      <c r="AN20" s="58">
        <f>9858</f>
        <v>9858</v>
      </c>
      <c r="AO20" s="58">
        <v>1898</v>
      </c>
      <c r="AP20" s="115">
        <f t="shared" si="6"/>
        <v>3750</v>
      </c>
      <c r="AQ20" s="69"/>
      <c r="AR20" s="69"/>
      <c r="AS20" s="69">
        <v>3750</v>
      </c>
      <c r="AT20" s="69">
        <f>4821+6600+7392+26500+1800</f>
        <v>47113</v>
      </c>
      <c r="AU20" s="59">
        <f t="shared" si="7"/>
        <v>34898</v>
      </c>
      <c r="AV20" s="60">
        <f t="shared" si="8"/>
        <v>3115</v>
      </c>
      <c r="AW20" s="58">
        <v>3115</v>
      </c>
      <c r="AX20" s="58"/>
      <c r="AY20" s="58"/>
      <c r="AZ20" s="60">
        <f t="shared" si="9"/>
        <v>5321</v>
      </c>
      <c r="BA20" s="58"/>
      <c r="BB20" s="58">
        <v>2000</v>
      </c>
      <c r="BC20" s="58">
        <f>770+1118+1433</f>
        <v>3321</v>
      </c>
      <c r="BD20" s="60">
        <f>SUM(Tableau1[[#This Row],[ticket/carte/abonnement périmé]:[Autres ou non précisé 5]])</f>
        <v>26462</v>
      </c>
      <c r="BE20" s="58"/>
      <c r="BF20" s="57">
        <v>24836</v>
      </c>
      <c r="BG20" s="58">
        <v>1626</v>
      </c>
      <c r="BH20" s="61">
        <f t="shared" si="10"/>
        <v>0</v>
      </c>
      <c r="BI20" s="120"/>
      <c r="BJ20" s="120"/>
      <c r="BK20" s="62">
        <f t="shared" si="11"/>
        <v>21340</v>
      </c>
      <c r="BL20" s="120"/>
      <c r="BM20" s="120"/>
      <c r="BN20" s="120"/>
      <c r="BO20" s="120"/>
      <c r="BP20" s="120">
        <v>21340</v>
      </c>
      <c r="BQ20" s="63"/>
      <c r="BR20" s="52">
        <f t="shared" si="12"/>
        <v>654463</v>
      </c>
      <c r="BS20" s="52">
        <f t="shared" si="13"/>
        <v>648402</v>
      </c>
      <c r="BT20" s="61">
        <f t="shared" si="14"/>
        <v>39475</v>
      </c>
      <c r="BU20" s="64">
        <f t="shared" si="15"/>
        <v>35049</v>
      </c>
      <c r="BV20" s="119">
        <f>SUM(Tableau1[[#This Row],[Achats confiserie]:[Achats boisson]])</f>
        <v>35049</v>
      </c>
      <c r="BW20" s="58">
        <f>1957+3880+23476+5736</f>
        <v>35049</v>
      </c>
      <c r="BX20" s="69"/>
      <c r="BY20" s="58"/>
      <c r="BZ20" s="56">
        <f t="shared" si="16"/>
        <v>15090</v>
      </c>
      <c r="CA20" s="66">
        <v>9717</v>
      </c>
      <c r="CB20" s="66">
        <v>5373</v>
      </c>
      <c r="CC20" s="56">
        <f t="shared" si="17"/>
        <v>-10664</v>
      </c>
      <c r="CD20" s="55"/>
      <c r="CE20" s="65"/>
      <c r="CF20" s="55">
        <v>-4078</v>
      </c>
      <c r="CG20" s="55">
        <v>-6586</v>
      </c>
      <c r="CH20" s="67">
        <f t="shared" si="18"/>
        <v>352510</v>
      </c>
      <c r="CI20" s="68">
        <f t="shared" si="37"/>
        <v>212027</v>
      </c>
      <c r="CJ20" s="55">
        <v>4134</v>
      </c>
      <c r="CK20" s="55">
        <v>206805</v>
      </c>
      <c r="CL20" s="55">
        <v>1088</v>
      </c>
      <c r="CM20" s="55"/>
      <c r="CN20" s="55"/>
      <c r="CO20" s="68">
        <f t="shared" si="20"/>
        <v>19301</v>
      </c>
      <c r="CP20" s="75">
        <f>SUM(Tableau1[[#This Row],[Fourniture eau]:[Energie (non précisé)]])</f>
        <v>9638</v>
      </c>
      <c r="CQ20" s="55">
        <v>586</v>
      </c>
      <c r="CR20" s="55">
        <v>9052</v>
      </c>
      <c r="CS20" s="55"/>
      <c r="CT20" s="55"/>
      <c r="CU20" s="55">
        <v>3277</v>
      </c>
      <c r="CV20" s="55">
        <v>6386</v>
      </c>
      <c r="CW20" s="55"/>
      <c r="CX20" s="68">
        <f>SUM(Tableau1[[#This Row],[Sous-traitance]:[Autres ou non précisé 12]])</f>
        <v>57593</v>
      </c>
      <c r="CY20" s="65"/>
      <c r="CZ20" s="55">
        <f>40690+2324</f>
        <v>43014</v>
      </c>
      <c r="DA20" s="65">
        <f>1240+1701+594+1295+1048</f>
        <v>5878</v>
      </c>
      <c r="DB20" s="65">
        <v>1182</v>
      </c>
      <c r="DC20" s="55">
        <v>7519</v>
      </c>
      <c r="DD20" s="68">
        <f t="shared" si="21"/>
        <v>11490</v>
      </c>
      <c r="DE20" s="55"/>
      <c r="DF20" s="65"/>
      <c r="DG20" s="65">
        <f>3122+8368</f>
        <v>11490</v>
      </c>
      <c r="DH20" s="65"/>
      <c r="DI20" s="68">
        <f>SUM(Tableau1[[#This Row],[Entretien et réparation matériel de projection]:[Autres ou non précisé 14]])</f>
        <v>133</v>
      </c>
      <c r="DJ20" s="58"/>
      <c r="DK20" s="58"/>
      <c r="DL20" s="69">
        <v>133</v>
      </c>
      <c r="DM20" s="68">
        <f t="shared" si="22"/>
        <v>14776</v>
      </c>
      <c r="DN20" s="58"/>
      <c r="DO20" s="58">
        <v>14776</v>
      </c>
      <c r="DP20" s="68">
        <f t="shared" si="23"/>
        <v>5840</v>
      </c>
      <c r="DQ20" s="65">
        <f>58+5429+353</f>
        <v>5840</v>
      </c>
      <c r="DR20" s="65"/>
      <c r="DS20" s="68">
        <f t="shared" si="24"/>
        <v>0</v>
      </c>
      <c r="DT20" s="65"/>
      <c r="DU20" s="65"/>
      <c r="DV20" s="65"/>
      <c r="DW20" s="68">
        <f>SUM(Tableau1[[#This Row],[Comission et courtage sur achats]:[Autres ou honoraires
 non précisé ]])</f>
        <v>13343</v>
      </c>
      <c r="DX20" s="57"/>
      <c r="DY20" s="57"/>
      <c r="DZ20" s="65">
        <v>6788</v>
      </c>
      <c r="EA20" s="65">
        <f>735+48</f>
        <v>783</v>
      </c>
      <c r="EB20" s="65">
        <f>294+3860+1618</f>
        <v>5772</v>
      </c>
      <c r="EC20" s="68">
        <f t="shared" si="25"/>
        <v>593</v>
      </c>
      <c r="ED20" s="69"/>
      <c r="EE20" s="69">
        <v>260</v>
      </c>
      <c r="EF20" s="69">
        <v>333</v>
      </c>
      <c r="EG20" s="69"/>
      <c r="EH20" s="69"/>
      <c r="EI20" s="84">
        <f>SUM(Tableau1[[#This Row],[Transports sur films]:[autres ]])</f>
        <v>0</v>
      </c>
      <c r="EJ20" s="132">
        <v>0</v>
      </c>
      <c r="EK20" s="132"/>
      <c r="EL20" s="68">
        <f t="shared" si="26"/>
        <v>8347</v>
      </c>
      <c r="EM20" s="65">
        <f>873+836</f>
        <v>1709</v>
      </c>
      <c r="EN20" s="65">
        <v>373</v>
      </c>
      <c r="EO20" s="65"/>
      <c r="EP20" s="65">
        <v>1301</v>
      </c>
      <c r="EQ20" s="65"/>
      <c r="ER20" s="65">
        <v>4964</v>
      </c>
      <c r="ES20" s="65"/>
      <c r="ET20" s="68">
        <f t="shared" si="27"/>
        <v>7061</v>
      </c>
      <c r="EU20" s="65">
        <v>4061</v>
      </c>
      <c r="EV20" s="65"/>
      <c r="EW20" s="65"/>
      <c r="EX20" s="65">
        <v>3000</v>
      </c>
      <c r="EY20" s="65"/>
      <c r="EZ20" s="68">
        <f>SUM(Tableau1[[#This Row],[Frais sur CB]:[Services bancaires]])</f>
        <v>2006</v>
      </c>
      <c r="FA20" s="65">
        <v>1230</v>
      </c>
      <c r="FB20" s="65">
        <v>776</v>
      </c>
      <c r="FC20" s="70">
        <f t="shared" si="28"/>
        <v>0</v>
      </c>
      <c r="FD20" s="93"/>
      <c r="FE20" s="71">
        <f t="shared" si="29"/>
        <v>6242</v>
      </c>
      <c r="FF20" s="72">
        <f t="shared" si="30"/>
        <v>2065</v>
      </c>
      <c r="FG20" s="65">
        <v>1076</v>
      </c>
      <c r="FH20" s="65">
        <v>989</v>
      </c>
      <c r="FI20" s="65"/>
      <c r="FJ20" s="56">
        <f t="shared" si="31"/>
        <v>4177</v>
      </c>
      <c r="FK20" s="65">
        <v>1708</v>
      </c>
      <c r="FL20" s="65"/>
      <c r="FM20" s="65">
        <v>1019</v>
      </c>
      <c r="FN20" s="65">
        <v>1450</v>
      </c>
      <c r="FO20" s="67">
        <f t="shared" si="32"/>
        <v>199217</v>
      </c>
      <c r="FP20" s="57">
        <v>156454</v>
      </c>
      <c r="FQ20" s="73">
        <v>42763</v>
      </c>
      <c r="FR20" s="73"/>
      <c r="FS20" s="71">
        <f t="shared" si="33"/>
        <v>43004</v>
      </c>
      <c r="FT20" s="91">
        <v>43004</v>
      </c>
      <c r="FU20" s="91"/>
      <c r="FV20" s="67">
        <f>SUM(Tableau1[[#This Row],[Droits d''auteurs SACEM + cotisations SACEM]:[Autres ou non préciés]])</f>
        <v>7954</v>
      </c>
      <c r="FW20" s="75">
        <f t="shared" si="34"/>
        <v>7870</v>
      </c>
      <c r="FX20" s="74">
        <v>0</v>
      </c>
      <c r="FY20" s="74"/>
      <c r="FZ20" s="74">
        <v>7870</v>
      </c>
      <c r="GA20" s="74">
        <v>84</v>
      </c>
      <c r="GB20" s="71">
        <f t="shared" si="35"/>
        <v>12353</v>
      </c>
      <c r="GC20" s="92">
        <v>12353</v>
      </c>
      <c r="GD20" s="92"/>
      <c r="GE20" s="67">
        <f t="shared" si="36"/>
        <v>2685</v>
      </c>
      <c r="GF20" s="66">
        <v>2685</v>
      </c>
      <c r="GG20" s="66"/>
      <c r="GH20" s="66"/>
      <c r="GI20" s="66"/>
      <c r="GJ20" s="77">
        <v>-8977</v>
      </c>
    </row>
    <row r="21" spans="1:192" ht="18.600000000000001" customHeight="1" x14ac:dyDescent="0.25">
      <c r="A21" s="89"/>
      <c r="B21" s="17"/>
      <c r="C21" s="50"/>
      <c r="D21" s="140"/>
      <c r="E21" s="51"/>
      <c r="F21" s="139"/>
      <c r="G21" s="49"/>
      <c r="H21" s="50"/>
      <c r="I21" s="122"/>
      <c r="J21" s="49"/>
      <c r="K21" s="50">
        <v>4</v>
      </c>
      <c r="L21" s="50"/>
      <c r="M21" s="90">
        <v>53</v>
      </c>
      <c r="N21" s="50"/>
      <c r="O21" s="50"/>
      <c r="P21" s="90"/>
      <c r="Q21" s="52">
        <f t="shared" si="0"/>
        <v>949576.39999999991</v>
      </c>
      <c r="R21" s="52">
        <f t="shared" si="1"/>
        <v>899396.89999999991</v>
      </c>
      <c r="S21" s="53">
        <f t="shared" si="2"/>
        <v>874592.54999999993</v>
      </c>
      <c r="T21" s="54">
        <f t="shared" si="3"/>
        <v>103042.09</v>
      </c>
      <c r="U21" s="115">
        <f>SUM(Tableau1[[#This Row],[Vente confiserie]:[Vente boisson]])</f>
        <v>103042.09</v>
      </c>
      <c r="V21" s="55">
        <v>103042.09</v>
      </c>
      <c r="W21" s="55"/>
      <c r="X21" s="135">
        <f>SUM(Tableau1[[#This Row],[Vente lunette]:[Location lunette]])</f>
        <v>0</v>
      </c>
      <c r="Y21" s="55"/>
      <c r="Z21" s="55"/>
      <c r="AA21" s="55"/>
      <c r="AB21" s="55"/>
      <c r="AC21" s="56">
        <f t="shared" ref="AC21:AC84" si="38">SUM(AD21:AI21,AK21)</f>
        <v>686419.05999999994</v>
      </c>
      <c r="AD21" s="57">
        <v>668209.18999999994</v>
      </c>
      <c r="AE21" s="57"/>
      <c r="AF21" s="57"/>
      <c r="AG21" s="57"/>
      <c r="AH21" s="57"/>
      <c r="AI21" s="57"/>
      <c r="AJ21" s="118">
        <f>(Tableau1[[#This Row],[Recette guichet ]]*1.1275177)-Tableau1[[#This Row],[Recette guichet ]]</f>
        <v>85208.499027663027</v>
      </c>
      <c r="AK21" s="57">
        <v>18209.87</v>
      </c>
      <c r="AL21" s="56">
        <f>SUM(AM21:AO21,AQ21:BF21)</f>
        <v>85131.4</v>
      </c>
      <c r="AM21" s="58"/>
      <c r="AN21" s="58"/>
      <c r="AO21" s="58">
        <f>18858.46/2</f>
        <v>9429.23</v>
      </c>
      <c r="AP21" s="115">
        <f t="shared" si="6"/>
        <v>1290.1199999999999</v>
      </c>
      <c r="AQ21" s="69"/>
      <c r="AR21" s="69"/>
      <c r="AS21" s="69">
        <v>1290.1199999999999</v>
      </c>
      <c r="AT21" s="105"/>
      <c r="AU21" s="59">
        <f t="shared" si="7"/>
        <v>24804.35</v>
      </c>
      <c r="AV21" s="60">
        <f t="shared" si="8"/>
        <v>3917.38</v>
      </c>
      <c r="AW21" s="58">
        <v>3917.38</v>
      </c>
      <c r="AX21" s="58"/>
      <c r="AY21" s="58"/>
      <c r="AZ21" s="60">
        <f t="shared" si="9"/>
        <v>3183.05</v>
      </c>
      <c r="BA21" s="58"/>
      <c r="BB21" s="58">
        <f>3718.5/2+1323.8</f>
        <v>3183.05</v>
      </c>
      <c r="BC21" s="58"/>
      <c r="BD21" s="60">
        <f>SUM(Tableau1[[#This Row],[ticket/carte/abonnement périmé]:[Autres ou non précisé 5]])</f>
        <v>17703.919999999998</v>
      </c>
      <c r="BE21" s="58"/>
      <c r="BF21" s="69">
        <f>17702.92</f>
        <v>17702.919999999998</v>
      </c>
      <c r="BG21" s="58">
        <v>1</v>
      </c>
      <c r="BH21" s="61">
        <f t="shared" si="10"/>
        <v>1091.5</v>
      </c>
      <c r="BI21" s="120">
        <f>2183/2</f>
        <v>1091.5</v>
      </c>
      <c r="BJ21" s="120"/>
      <c r="BK21" s="62">
        <f t="shared" si="11"/>
        <v>49088</v>
      </c>
      <c r="BL21" s="120"/>
      <c r="BM21" s="120"/>
      <c r="BN21" s="120"/>
      <c r="BO21" s="120">
        <v>49088</v>
      </c>
      <c r="BP21" s="120"/>
      <c r="BQ21" s="63"/>
      <c r="BR21" s="52">
        <f t="shared" si="12"/>
        <v>806769.87</v>
      </c>
      <c r="BS21" s="52">
        <f t="shared" si="13"/>
        <v>802901.26</v>
      </c>
      <c r="BT21" s="61">
        <f t="shared" si="14"/>
        <v>50386.97</v>
      </c>
      <c r="BU21" s="64">
        <f t="shared" si="15"/>
        <v>46882.32</v>
      </c>
      <c r="BV21" s="119">
        <f>SUM(Tableau1[[#This Row],[Achats confiserie]:[Achats boisson]])</f>
        <v>0</v>
      </c>
      <c r="BW21" s="58"/>
      <c r="BX21" s="69"/>
      <c r="BY21" s="58">
        <f>9896.92+36985.4</f>
        <v>46882.32</v>
      </c>
      <c r="BZ21" s="56">
        <f t="shared" si="16"/>
        <v>3300</v>
      </c>
      <c r="CA21" s="66">
        <v>3300</v>
      </c>
      <c r="CB21" s="66"/>
      <c r="CC21" s="56">
        <f t="shared" si="17"/>
        <v>204.65</v>
      </c>
      <c r="CD21" s="55"/>
      <c r="CE21" s="65"/>
      <c r="CF21" s="55"/>
      <c r="CG21" s="55">
        <v>204.65</v>
      </c>
      <c r="CH21" s="67">
        <f t="shared" si="18"/>
        <v>524444.97000000009</v>
      </c>
      <c r="CI21" s="68">
        <f t="shared" si="37"/>
        <v>272069.78000000003</v>
      </c>
      <c r="CJ21" s="55"/>
      <c r="CK21" s="55">
        <v>272069.78000000003</v>
      </c>
      <c r="CL21" s="55"/>
      <c r="CM21" s="55"/>
      <c r="CN21" s="55"/>
      <c r="CO21" s="68">
        <f t="shared" si="20"/>
        <v>34628.089999999997</v>
      </c>
      <c r="CP21" s="75">
        <f>SUM(Tableau1[[#This Row],[Fourniture eau]:[Energie (non précisé)]])</f>
        <v>28807.35</v>
      </c>
      <c r="CQ21" s="55">
        <v>3335.41</v>
      </c>
      <c r="CR21" s="55">
        <v>25471.94</v>
      </c>
      <c r="CS21" s="55"/>
      <c r="CT21" s="93"/>
      <c r="CU21" s="55">
        <v>2393.7199999999998</v>
      </c>
      <c r="CV21" s="55">
        <v>2067.27</v>
      </c>
      <c r="CW21" s="55">
        <v>1359.75</v>
      </c>
      <c r="CX21" s="68">
        <f>SUM(Tableau1[[#This Row],[Sous-traitance]:[Autres ou non précisé 12]])</f>
        <v>111848.43</v>
      </c>
      <c r="CY21" s="65"/>
      <c r="CZ21" s="65">
        <f>4800/2+57602+14000/2</f>
        <v>67002</v>
      </c>
      <c r="DA21" s="65">
        <f>12066+15883+13867+284.43</f>
        <v>42100.43</v>
      </c>
      <c r="DB21" s="65"/>
      <c r="DC21" s="55">
        <v>2746</v>
      </c>
      <c r="DD21" s="68">
        <f t="shared" si="21"/>
        <v>34677.33</v>
      </c>
      <c r="DE21" s="55">
        <v>21043</v>
      </c>
      <c r="DF21" s="65"/>
      <c r="DG21" s="65">
        <v>13634.33</v>
      </c>
      <c r="DH21" s="65"/>
      <c r="DI21" s="68">
        <f>SUM(Tableau1[[#This Row],[Entretien et réparation matériel de projection]:[Autres ou non précisé 14]])</f>
        <v>7853</v>
      </c>
      <c r="DJ21" s="58">
        <v>7650</v>
      </c>
      <c r="DK21" s="58"/>
      <c r="DL21" s="69">
        <v>203</v>
      </c>
      <c r="DM21" s="68">
        <f t="shared" si="22"/>
        <v>11044.4</v>
      </c>
      <c r="DN21" s="58"/>
      <c r="DO21" s="58">
        <v>11044.4</v>
      </c>
      <c r="DP21" s="68">
        <f t="shared" si="23"/>
        <v>4448</v>
      </c>
      <c r="DQ21" s="65">
        <f>4360+88</f>
        <v>4448</v>
      </c>
      <c r="DR21" s="65"/>
      <c r="DS21" s="68">
        <f t="shared" si="24"/>
        <v>0</v>
      </c>
      <c r="DT21" s="65"/>
      <c r="DU21" s="65"/>
      <c r="DV21" s="65"/>
      <c r="DW21" s="68">
        <f>SUM(Tableau1[[#This Row],[Comission et courtage sur achats]:[Autres ou honoraires
 non précisé ]])</f>
        <v>16752</v>
      </c>
      <c r="DX21" s="57"/>
      <c r="DY21" s="57"/>
      <c r="DZ21" s="65">
        <v>13411</v>
      </c>
      <c r="EA21" s="65"/>
      <c r="EB21" s="65">
        <f>3250+91</f>
        <v>3341</v>
      </c>
      <c r="EC21" s="68">
        <f t="shared" si="25"/>
        <v>880</v>
      </c>
      <c r="ED21" s="69"/>
      <c r="EE21" s="69"/>
      <c r="EF21" s="69">
        <v>340</v>
      </c>
      <c r="EG21" s="69"/>
      <c r="EH21" s="69">
        <v>540</v>
      </c>
      <c r="EI21" s="84">
        <f>SUM(Tableau1[[#This Row],[Transports sur films]:[autres ]])</f>
        <v>1257.8599999999999</v>
      </c>
      <c r="EJ21" s="132">
        <v>1257.8599999999999</v>
      </c>
      <c r="EK21" s="132"/>
      <c r="EL21" s="68">
        <f t="shared" si="26"/>
        <v>17629.080000000002</v>
      </c>
      <c r="EM21" s="65">
        <v>257</v>
      </c>
      <c r="EN21" s="65">
        <v>2935</v>
      </c>
      <c r="EO21" s="65"/>
      <c r="EP21" s="65">
        <v>5898.48</v>
      </c>
      <c r="EQ21" s="65">
        <v>2260</v>
      </c>
      <c r="ER21" s="65">
        <v>6278.6</v>
      </c>
      <c r="ES21" s="65"/>
      <c r="ET21" s="68">
        <f t="shared" si="27"/>
        <v>3391</v>
      </c>
      <c r="EU21" s="65">
        <v>1740</v>
      </c>
      <c r="EV21" s="65">
        <v>670</v>
      </c>
      <c r="EW21" s="65"/>
      <c r="EX21" s="65"/>
      <c r="EY21" s="65">
        <v>981</v>
      </c>
      <c r="EZ21" s="68">
        <f>SUM(Tableau1[[#This Row],[Frais sur CB]:[Services bancaires]])</f>
        <v>6706</v>
      </c>
      <c r="FA21" s="65">
        <v>6706</v>
      </c>
      <c r="FB21" s="65"/>
      <c r="FC21" s="70">
        <f t="shared" si="28"/>
        <v>1260</v>
      </c>
      <c r="FD21" s="65">
        <v>1260</v>
      </c>
      <c r="FE21" s="71">
        <f t="shared" si="29"/>
        <v>16215.5</v>
      </c>
      <c r="FF21" s="72">
        <f t="shared" si="30"/>
        <v>3068</v>
      </c>
      <c r="FG21" s="65">
        <v>2018</v>
      </c>
      <c r="FH21" s="65">
        <v>1050</v>
      </c>
      <c r="FI21" s="65"/>
      <c r="FJ21" s="56">
        <f t="shared" si="31"/>
        <v>13147.5</v>
      </c>
      <c r="FK21" s="65">
        <v>9429</v>
      </c>
      <c r="FL21" s="65">
        <f>7437/2</f>
        <v>3718.5</v>
      </c>
      <c r="FM21" s="65"/>
      <c r="FN21" s="65"/>
      <c r="FO21" s="67">
        <f t="shared" si="32"/>
        <v>159638.82</v>
      </c>
      <c r="FP21" s="57">
        <f>280557.82-FP20</f>
        <v>124103.82</v>
      </c>
      <c r="FQ21" s="73">
        <f>78298-FQ20</f>
        <v>35535</v>
      </c>
      <c r="FR21" s="73"/>
      <c r="FS21" s="71">
        <f t="shared" si="33"/>
        <v>40453</v>
      </c>
      <c r="FT21" s="91">
        <f>80906/2</f>
        <v>40453</v>
      </c>
      <c r="FU21" s="91"/>
      <c r="FV21" s="67">
        <f>SUM(Tableau1[[#This Row],[Droits d''auteurs SACEM + cotisations SACEM]:[Autres ou non préciés]])</f>
        <v>11762</v>
      </c>
      <c r="FW21" s="75">
        <f t="shared" si="34"/>
        <v>11762</v>
      </c>
      <c r="FX21" s="74">
        <v>11762</v>
      </c>
      <c r="FY21" s="74"/>
      <c r="FZ21" s="74"/>
      <c r="GA21" s="74"/>
      <c r="GB21" s="71">
        <f t="shared" si="35"/>
        <v>1329</v>
      </c>
      <c r="GC21" s="92">
        <f>1151+66+112</f>
        <v>1329</v>
      </c>
      <c r="GD21" s="92"/>
      <c r="GE21" s="67">
        <f t="shared" si="36"/>
        <v>332.11</v>
      </c>
      <c r="GF21" s="66">
        <v>332.11</v>
      </c>
      <c r="GG21" s="66"/>
      <c r="GH21" s="66"/>
      <c r="GI21" s="66"/>
      <c r="GJ21" s="77">
        <f>4415/2</f>
        <v>2207.5</v>
      </c>
    </row>
    <row r="22" spans="1:192" ht="18.600000000000001" customHeight="1" x14ac:dyDescent="0.25">
      <c r="A22" s="89"/>
      <c r="B22" s="17"/>
      <c r="C22" s="50"/>
      <c r="D22" s="140"/>
      <c r="E22" s="51"/>
      <c r="F22" s="139"/>
      <c r="G22" s="49"/>
      <c r="H22" s="50"/>
      <c r="I22" s="122"/>
      <c r="J22" s="49"/>
      <c r="K22" s="50">
        <v>4</v>
      </c>
      <c r="L22" s="50"/>
      <c r="M22" s="90">
        <v>53</v>
      </c>
      <c r="N22" s="50"/>
      <c r="O22" s="50"/>
      <c r="P22" s="90"/>
      <c r="Q22" s="52">
        <f t="shared" si="0"/>
        <v>944330.90499999991</v>
      </c>
      <c r="R22" s="52">
        <f t="shared" si="1"/>
        <v>894337.91999999993</v>
      </c>
      <c r="S22" s="53">
        <f t="shared" si="2"/>
        <v>874110.42999999993</v>
      </c>
      <c r="T22" s="54">
        <f t="shared" si="3"/>
        <v>97842.18</v>
      </c>
      <c r="U22" s="115">
        <f>SUM(Tableau1[[#This Row],[Vente confiserie]:[Vente boisson]])</f>
        <v>97842.18</v>
      </c>
      <c r="V22" s="55">
        <v>97842.18</v>
      </c>
      <c r="W22" s="55"/>
      <c r="X22" s="135">
        <f>SUM(Tableau1[[#This Row],[Vente lunette]:[Location lunette]])</f>
        <v>0</v>
      </c>
      <c r="Y22" s="55"/>
      <c r="Z22" s="55"/>
      <c r="AA22" s="55"/>
      <c r="AB22" s="55"/>
      <c r="AC22" s="56">
        <f t="shared" si="38"/>
        <v>695503.47</v>
      </c>
      <c r="AD22" s="57">
        <v>669196.97</v>
      </c>
      <c r="AE22" s="57"/>
      <c r="AF22" s="57"/>
      <c r="AG22" s="57"/>
      <c r="AH22" s="57"/>
      <c r="AI22" s="57"/>
      <c r="AJ22" s="118">
        <f>(Tableau1[[#This Row],[Recette guichet ]]*1.1275177)-Tableau1[[#This Row],[Recette guichet ]]</f>
        <v>85334.458461369039</v>
      </c>
      <c r="AK22" s="57">
        <v>26306.5</v>
      </c>
      <c r="AL22" s="56">
        <f>SUM(AM22:AO22,AQ22:BF22)</f>
        <v>80764.78</v>
      </c>
      <c r="AM22" s="58"/>
      <c r="AN22" s="58"/>
      <c r="AO22" s="58">
        <v>9454.35</v>
      </c>
      <c r="AP22" s="115">
        <f t="shared" si="6"/>
        <v>10627.96</v>
      </c>
      <c r="AQ22" s="69"/>
      <c r="AR22" s="69"/>
      <c r="AS22" s="69">
        <v>10627.96</v>
      </c>
      <c r="AT22" s="105"/>
      <c r="AU22" s="59">
        <f t="shared" si="7"/>
        <v>20227.489999999998</v>
      </c>
      <c r="AV22" s="60">
        <f t="shared" si="8"/>
        <v>1275.77</v>
      </c>
      <c r="AW22" s="58">
        <v>1275.77</v>
      </c>
      <c r="AX22" s="58"/>
      <c r="AY22" s="58"/>
      <c r="AZ22" s="60">
        <f t="shared" si="9"/>
        <v>1248.8</v>
      </c>
      <c r="BA22" s="58"/>
      <c r="BB22" s="58">
        <v>1248.8</v>
      </c>
      <c r="BC22" s="58"/>
      <c r="BD22" s="60">
        <f>SUM(Tableau1[[#This Row],[ticket/carte/abonnement périmé]:[Autres ou non précisé 5]])</f>
        <v>17702.919999999998</v>
      </c>
      <c r="BE22" s="58"/>
      <c r="BF22" s="69">
        <v>17702.919999999998</v>
      </c>
      <c r="BG22" s="58"/>
      <c r="BH22" s="61">
        <f t="shared" si="10"/>
        <v>568.24</v>
      </c>
      <c r="BI22" s="120">
        <f>1136.48/2</f>
        <v>568.24</v>
      </c>
      <c r="BJ22" s="120"/>
      <c r="BK22" s="62">
        <f t="shared" si="11"/>
        <v>49424.745000000003</v>
      </c>
      <c r="BL22" s="120"/>
      <c r="BM22" s="120"/>
      <c r="BN22" s="120">
        <v>336.745</v>
      </c>
      <c r="BO22" s="120">
        <v>49088</v>
      </c>
      <c r="BP22" s="120"/>
      <c r="BQ22" s="63"/>
      <c r="BR22" s="52">
        <f t="shared" si="12"/>
        <v>851417.11</v>
      </c>
      <c r="BS22" s="52">
        <f t="shared" si="13"/>
        <v>843727.91499999992</v>
      </c>
      <c r="BT22" s="61">
        <f t="shared" si="14"/>
        <v>49196.63</v>
      </c>
      <c r="BU22" s="64">
        <f t="shared" si="15"/>
        <v>48932.729999999996</v>
      </c>
      <c r="BV22" s="119">
        <f>SUM(Tableau1[[#This Row],[Achats confiserie]:[Achats boisson]])</f>
        <v>48932.729999999996</v>
      </c>
      <c r="BW22" s="58">
        <f>7550.74+41381.99</f>
        <v>48932.729999999996</v>
      </c>
      <c r="BX22" s="69"/>
      <c r="BY22" s="58"/>
      <c r="BZ22" s="56">
        <f t="shared" si="16"/>
        <v>0</v>
      </c>
      <c r="CA22" s="66"/>
      <c r="CB22" s="66"/>
      <c r="CC22" s="56">
        <f t="shared" si="17"/>
        <v>263.89999999999998</v>
      </c>
      <c r="CD22" s="55"/>
      <c r="CE22" s="65"/>
      <c r="CF22" s="55"/>
      <c r="CG22" s="55">
        <v>263.89999999999998</v>
      </c>
      <c r="CH22" s="67">
        <f t="shared" si="18"/>
        <v>507053.6700000001</v>
      </c>
      <c r="CI22" s="68">
        <f t="shared" si="37"/>
        <v>276280.26</v>
      </c>
      <c r="CJ22" s="55"/>
      <c r="CK22" s="55">
        <v>276280.26</v>
      </c>
      <c r="CL22" s="55"/>
      <c r="CM22" s="55"/>
      <c r="CN22" s="55"/>
      <c r="CO22" s="68">
        <f t="shared" si="20"/>
        <v>41956.700000000004</v>
      </c>
      <c r="CP22" s="75">
        <f>SUM(Tableau1[[#This Row],[Fourniture eau]:[Energie (non précisé)]])</f>
        <v>27741.27</v>
      </c>
      <c r="CQ22" s="55">
        <v>4437.32</v>
      </c>
      <c r="CR22" s="55">
        <v>23303.95</v>
      </c>
      <c r="CS22" s="55"/>
      <c r="CT22" s="55"/>
      <c r="CU22" s="55">
        <f>6907.72+2395.28</f>
        <v>9303</v>
      </c>
      <c r="CV22" s="55">
        <v>3795.43</v>
      </c>
      <c r="CW22" s="55">
        <v>1117</v>
      </c>
      <c r="CX22" s="68">
        <f>SUM(Tableau1[[#This Row],[Sous-traitance]:[Autres ou non précisé 12]])</f>
        <v>94062.68</v>
      </c>
      <c r="CY22" s="65"/>
      <c r="CZ22" s="65">
        <f>4800/2+57778+14000/2</f>
        <v>67178</v>
      </c>
      <c r="DA22" s="65">
        <f>5319.42+15883.56+2646.7+276</f>
        <v>24125.68</v>
      </c>
      <c r="DB22" s="65"/>
      <c r="DC22" s="55">
        <v>2759</v>
      </c>
      <c r="DD22" s="68">
        <f t="shared" si="21"/>
        <v>34518.729999999996</v>
      </c>
      <c r="DE22" s="55">
        <v>21742.5</v>
      </c>
      <c r="DF22" s="65"/>
      <c r="DG22" s="65"/>
      <c r="DH22" s="65">
        <v>12776.23</v>
      </c>
      <c r="DI22" s="68">
        <f>SUM(Tableau1[[#This Row],[Entretien et réparation matériel de projection]:[Autres ou non précisé 14]])</f>
        <v>7769.21</v>
      </c>
      <c r="DJ22" s="58">
        <v>7638.21</v>
      </c>
      <c r="DK22" s="58"/>
      <c r="DL22" s="69">
        <v>131</v>
      </c>
      <c r="DM22" s="68">
        <f t="shared" si="22"/>
        <v>9359.56</v>
      </c>
      <c r="DN22" s="58"/>
      <c r="DO22" s="58">
        <v>9359.56</v>
      </c>
      <c r="DP22" s="68">
        <f t="shared" si="23"/>
        <v>4476.46</v>
      </c>
      <c r="DQ22" s="65">
        <f>4393+83.46</f>
        <v>4476.46</v>
      </c>
      <c r="DR22" s="65"/>
      <c r="DS22" s="68">
        <f t="shared" si="24"/>
        <v>0</v>
      </c>
      <c r="DT22" s="65"/>
      <c r="DU22" s="65"/>
      <c r="DV22" s="65"/>
      <c r="DW22" s="68">
        <f>SUM(Tableau1[[#This Row],[Comission et courtage sur achats]:[Autres ou honoraires
 non précisé ]])</f>
        <v>13478.14</v>
      </c>
      <c r="DX22" s="57"/>
      <c r="DY22" s="57"/>
      <c r="DZ22" s="65">
        <v>13332.05</v>
      </c>
      <c r="EA22" s="65"/>
      <c r="EB22" s="65">
        <f>292.18/2</f>
        <v>146.09</v>
      </c>
      <c r="EC22" s="68">
        <f t="shared" si="25"/>
        <v>1186.6799999999998</v>
      </c>
      <c r="ED22" s="69"/>
      <c r="EE22" s="69"/>
      <c r="EF22" s="69">
        <v>646.67999999999995</v>
      </c>
      <c r="EG22" s="69"/>
      <c r="EH22" s="69">
        <v>540</v>
      </c>
      <c r="EI22" s="84">
        <f>SUM(Tableau1[[#This Row],[Transports sur films]:[autres ]])</f>
        <v>125.27</v>
      </c>
      <c r="EJ22" s="132">
        <v>125.27</v>
      </c>
      <c r="EK22" s="132"/>
      <c r="EL22" s="68">
        <f t="shared" si="26"/>
        <v>18809.71</v>
      </c>
      <c r="EM22" s="65">
        <v>1039.0899999999999</v>
      </c>
      <c r="EN22" s="65">
        <v>4236.38</v>
      </c>
      <c r="EO22" s="65"/>
      <c r="EP22" s="65">
        <v>4423.8599999999997</v>
      </c>
      <c r="EQ22" s="65">
        <v>2258.48</v>
      </c>
      <c r="ER22" s="65">
        <v>6851.9</v>
      </c>
      <c r="ES22" s="65"/>
      <c r="ET22" s="68">
        <f t="shared" si="27"/>
        <v>2709.88</v>
      </c>
      <c r="EU22" s="65">
        <v>1272.27</v>
      </c>
      <c r="EV22" s="65">
        <v>133.6</v>
      </c>
      <c r="EW22" s="65"/>
      <c r="EX22" s="65"/>
      <c r="EY22" s="65">
        <v>1304.01</v>
      </c>
      <c r="EZ22" s="68">
        <f>SUM(Tableau1[[#This Row],[Frais sur CB]:[Services bancaires]])</f>
        <v>990.64</v>
      </c>
      <c r="FA22" s="65">
        <v>990.64</v>
      </c>
      <c r="FB22" s="65"/>
      <c r="FC22" s="70">
        <f t="shared" si="28"/>
        <v>1329.75</v>
      </c>
      <c r="FD22" s="65">
        <v>1329.75</v>
      </c>
      <c r="FE22" s="71">
        <f t="shared" si="29"/>
        <v>16437.21</v>
      </c>
      <c r="FF22" s="72">
        <f t="shared" si="30"/>
        <v>3168.71</v>
      </c>
      <c r="FG22" s="65">
        <v>2118.4899999999998</v>
      </c>
      <c r="FH22" s="65">
        <v>1050.22</v>
      </c>
      <c r="FI22" s="65"/>
      <c r="FJ22" s="56">
        <f t="shared" si="31"/>
        <v>13268.5</v>
      </c>
      <c r="FK22" s="65">
        <v>9372</v>
      </c>
      <c r="FL22" s="65">
        <v>3896.5</v>
      </c>
      <c r="FM22" s="65"/>
      <c r="FN22" s="65"/>
      <c r="FO22" s="67">
        <f t="shared" si="32"/>
        <v>215991.44</v>
      </c>
      <c r="FP22" s="57">
        <f>154453.34-5964</f>
        <v>148489.34</v>
      </c>
      <c r="FQ22" s="73">
        <f>67502.1</f>
        <v>67502.100000000006</v>
      </c>
      <c r="FR22" s="73"/>
      <c r="FS22" s="71">
        <f t="shared" si="33"/>
        <v>43920.595000000001</v>
      </c>
      <c r="FT22" s="91">
        <f>87841.19/2</f>
        <v>43920.595000000001</v>
      </c>
      <c r="FU22" s="91"/>
      <c r="FV22" s="67">
        <f>SUM(Tableau1[[#This Row],[Droits d''auteurs SACEM + cotisations SACEM]:[Autres ou non préciés]])</f>
        <v>11128.369999999999</v>
      </c>
      <c r="FW22" s="75">
        <f t="shared" si="34"/>
        <v>11128.32</v>
      </c>
      <c r="FX22" s="74">
        <v>11128.32</v>
      </c>
      <c r="FY22" s="74"/>
      <c r="FZ22" s="74"/>
      <c r="GA22" s="74">
        <v>0.05</v>
      </c>
      <c r="GB22" s="71">
        <f t="shared" si="35"/>
        <v>377.14499999999998</v>
      </c>
      <c r="GC22" s="92">
        <f>150.82+212.89</f>
        <v>363.71</v>
      </c>
      <c r="GD22" s="92">
        <f>26.87/2</f>
        <v>13.435</v>
      </c>
      <c r="GE22" s="67">
        <f t="shared" si="36"/>
        <v>36.549999999999997</v>
      </c>
      <c r="GF22" s="66">
        <v>36.549999999999997</v>
      </c>
      <c r="GG22" s="66"/>
      <c r="GH22" s="66"/>
      <c r="GI22" s="66"/>
      <c r="GJ22" s="77">
        <f>14551/2</f>
        <v>7275.5</v>
      </c>
    </row>
    <row r="23" spans="1:192" ht="18.600000000000001" customHeight="1" x14ac:dyDescent="0.25">
      <c r="A23" s="89"/>
      <c r="B23" s="17"/>
      <c r="C23" s="50"/>
      <c r="D23" s="140"/>
      <c r="E23" s="51"/>
      <c r="F23" s="139"/>
      <c r="G23" s="49"/>
      <c r="H23" s="50"/>
      <c r="I23" s="122"/>
      <c r="J23" s="49"/>
      <c r="K23" s="50">
        <v>3</v>
      </c>
      <c r="L23" s="50"/>
      <c r="M23" s="90">
        <v>52</v>
      </c>
      <c r="N23" s="50"/>
      <c r="O23" s="50"/>
      <c r="P23" s="90"/>
      <c r="Q23" s="52">
        <f t="shared" si="0"/>
        <v>367843</v>
      </c>
      <c r="R23" s="52">
        <f t="shared" si="1"/>
        <v>342633</v>
      </c>
      <c r="S23" s="53">
        <f t="shared" si="2"/>
        <v>342633</v>
      </c>
      <c r="T23" s="54">
        <f t="shared" si="3"/>
        <v>21036</v>
      </c>
      <c r="U23" s="115">
        <f>SUM(Tableau1[[#This Row],[Vente confiserie]:[Vente boisson]])</f>
        <v>21036</v>
      </c>
      <c r="V23" s="55">
        <v>16104</v>
      </c>
      <c r="W23" s="55">
        <v>4932</v>
      </c>
      <c r="X23" s="135">
        <f>SUM(Tableau1[[#This Row],[Vente lunette]:[Location lunette]])</f>
        <v>0</v>
      </c>
      <c r="Y23" s="55"/>
      <c r="Z23" s="55"/>
      <c r="AA23" s="55"/>
      <c r="AB23" s="55"/>
      <c r="AC23" s="56">
        <f t="shared" si="38"/>
        <v>321597</v>
      </c>
      <c r="AD23" s="57">
        <f>346939-25342</f>
        <v>321597</v>
      </c>
      <c r="AE23" s="57"/>
      <c r="AF23" s="57"/>
      <c r="AG23" s="57"/>
      <c r="AH23" s="57"/>
      <c r="AI23" s="57"/>
      <c r="AJ23" s="118">
        <f>(Tableau1[[#This Row],[Recette guichet ]]*1.1275177)-Tableau1[[#This Row],[Recette guichet ]]</f>
        <v>41009.309766900027</v>
      </c>
      <c r="AK23" s="57"/>
      <c r="AL23" s="56">
        <f t="shared" ref="AL23:AL86" si="39">SUM(AM23:AO23,AQ23:AT23)</f>
        <v>0</v>
      </c>
      <c r="AM23" s="58"/>
      <c r="AN23" s="58"/>
      <c r="AO23" s="58"/>
      <c r="AP23" s="115">
        <f t="shared" si="6"/>
        <v>0</v>
      </c>
      <c r="AQ23" s="69"/>
      <c r="AR23" s="69"/>
      <c r="AS23" s="69"/>
      <c r="AT23" s="69"/>
      <c r="AU23" s="59">
        <f t="shared" si="7"/>
        <v>0</v>
      </c>
      <c r="AV23" s="60">
        <f t="shared" si="8"/>
        <v>0</v>
      </c>
      <c r="AW23" s="58"/>
      <c r="AX23" s="58"/>
      <c r="AY23" s="58"/>
      <c r="AZ23" s="60">
        <f t="shared" si="9"/>
        <v>0</v>
      </c>
      <c r="BA23" s="58"/>
      <c r="BB23" s="58"/>
      <c r="BC23" s="58"/>
      <c r="BD23" s="60">
        <f>SUM(Tableau1[[#This Row],[ticket/carte/abonnement périmé]:[Autres ou non précisé 5]])</f>
        <v>0</v>
      </c>
      <c r="BE23" s="58"/>
      <c r="BF23" s="58"/>
      <c r="BG23" s="58"/>
      <c r="BH23" s="61">
        <f t="shared" si="10"/>
        <v>0</v>
      </c>
      <c r="BI23" s="120"/>
      <c r="BJ23" s="120"/>
      <c r="BK23" s="62">
        <f t="shared" si="11"/>
        <v>25210</v>
      </c>
      <c r="BL23" s="120"/>
      <c r="BM23" s="120"/>
      <c r="BN23" s="120"/>
      <c r="BO23" s="120">
        <v>25210</v>
      </c>
      <c r="BP23" s="120"/>
      <c r="BQ23" s="63"/>
      <c r="BR23" s="52">
        <f t="shared" si="12"/>
        <v>447415</v>
      </c>
      <c r="BS23" s="52">
        <f t="shared" si="13"/>
        <v>421269</v>
      </c>
      <c r="BT23" s="61">
        <f t="shared" si="14"/>
        <v>21577</v>
      </c>
      <c r="BU23" s="64">
        <f t="shared" si="15"/>
        <v>22777</v>
      </c>
      <c r="BV23" s="119">
        <f>SUM(Tableau1[[#This Row],[Achats confiserie]:[Achats boisson]])</f>
        <v>0</v>
      </c>
      <c r="BW23" s="58"/>
      <c r="BX23" s="69"/>
      <c r="BY23" s="58">
        <v>22777</v>
      </c>
      <c r="BZ23" s="56">
        <f t="shared" si="16"/>
        <v>0</v>
      </c>
      <c r="CA23" s="66"/>
      <c r="CB23" s="66"/>
      <c r="CC23" s="56">
        <f t="shared" si="17"/>
        <v>-1200</v>
      </c>
      <c r="CD23" s="55"/>
      <c r="CE23" s="65"/>
      <c r="CF23" s="55"/>
      <c r="CG23" s="55">
        <v>-1200</v>
      </c>
      <c r="CH23" s="67">
        <f t="shared" si="18"/>
        <v>215883</v>
      </c>
      <c r="CI23" s="68">
        <f t="shared" si="37"/>
        <v>102875</v>
      </c>
      <c r="CJ23" s="55"/>
      <c r="CK23" s="55">
        <f>102816+59</f>
        <v>102875</v>
      </c>
      <c r="CL23" s="55"/>
      <c r="CM23" s="55"/>
      <c r="CN23" s="55"/>
      <c r="CO23" s="68">
        <f t="shared" si="20"/>
        <v>27557</v>
      </c>
      <c r="CP23" s="75">
        <f>SUM(Tableau1[[#This Row],[Fourniture eau]:[Energie (non précisé)]])</f>
        <v>15394</v>
      </c>
      <c r="CQ23" s="55">
        <v>461</v>
      </c>
      <c r="CR23" s="55">
        <v>14933</v>
      </c>
      <c r="CS23" s="55"/>
      <c r="CT23" s="55"/>
      <c r="CU23" s="55">
        <f>6767+100</f>
        <v>6867</v>
      </c>
      <c r="CV23" s="55">
        <v>5296</v>
      </c>
      <c r="CW23" s="55"/>
      <c r="CX23" s="68">
        <f>SUM(Tableau1[[#This Row],[Sous-traitance]:[Autres ou non précisé 12]])</f>
        <v>20633</v>
      </c>
      <c r="CY23" s="65"/>
      <c r="CZ23" s="65"/>
      <c r="DA23" s="65">
        <f>570+6484+744+12051</f>
        <v>19849</v>
      </c>
      <c r="DB23" s="65">
        <v>784</v>
      </c>
      <c r="DC23" s="55"/>
      <c r="DD23" s="68">
        <f t="shared" si="21"/>
        <v>10230</v>
      </c>
      <c r="DE23" s="55"/>
      <c r="DF23" s="93"/>
      <c r="DG23" s="65">
        <v>10230</v>
      </c>
      <c r="DH23" s="65"/>
      <c r="DI23" s="68">
        <f>SUM(Tableau1[[#This Row],[Entretien et réparation matériel de projection]:[Autres ou non précisé 14]])</f>
        <v>817</v>
      </c>
      <c r="DJ23" s="58"/>
      <c r="DK23" s="58"/>
      <c r="DL23" s="69">
        <v>817</v>
      </c>
      <c r="DM23" s="68">
        <f t="shared" si="22"/>
        <v>325</v>
      </c>
      <c r="DN23" s="58"/>
      <c r="DO23" s="58">
        <v>325</v>
      </c>
      <c r="DP23" s="68">
        <f t="shared" si="23"/>
        <v>14967</v>
      </c>
      <c r="DQ23" s="65">
        <v>14591</v>
      </c>
      <c r="DR23" s="65">
        <v>376</v>
      </c>
      <c r="DS23" s="68">
        <f t="shared" si="24"/>
        <v>0</v>
      </c>
      <c r="DT23" s="65"/>
      <c r="DU23" s="65"/>
      <c r="DV23" s="65"/>
      <c r="DW23" s="68">
        <f>SUM(Tableau1[[#This Row],[Comission et courtage sur achats]:[Autres ou honoraires
 non précisé ]])</f>
        <v>6587</v>
      </c>
      <c r="DX23" s="57"/>
      <c r="DY23" s="57"/>
      <c r="DZ23" s="65"/>
      <c r="EA23" s="65"/>
      <c r="EB23" s="65">
        <f>2975+3612</f>
        <v>6587</v>
      </c>
      <c r="EC23" s="68">
        <f t="shared" si="25"/>
        <v>3648</v>
      </c>
      <c r="ED23" s="69"/>
      <c r="EE23" s="69">
        <v>3648</v>
      </c>
      <c r="EF23" s="69"/>
      <c r="EG23" s="69"/>
      <c r="EH23" s="69"/>
      <c r="EI23" s="84">
        <f>SUM(Tableau1[[#This Row],[Transports sur films]:[autres ]])</f>
        <v>0</v>
      </c>
      <c r="EJ23" s="132">
        <v>0</v>
      </c>
      <c r="EK23" s="132"/>
      <c r="EL23" s="68">
        <f t="shared" si="26"/>
        <v>21614</v>
      </c>
      <c r="EM23" s="65">
        <f>9+46+1928+2140</f>
        <v>4123</v>
      </c>
      <c r="EN23" s="65">
        <v>12349</v>
      </c>
      <c r="EO23" s="65"/>
      <c r="EP23" s="65">
        <v>610</v>
      </c>
      <c r="EQ23" s="65">
        <v>607</v>
      </c>
      <c r="ER23" s="65">
        <f>692+3233</f>
        <v>3925</v>
      </c>
      <c r="ES23" s="65"/>
      <c r="ET23" s="68">
        <f t="shared" si="27"/>
        <v>2579</v>
      </c>
      <c r="EU23" s="65">
        <v>2210</v>
      </c>
      <c r="EV23" s="65"/>
      <c r="EW23" s="65"/>
      <c r="EX23" s="65">
        <v>203</v>
      </c>
      <c r="EY23" s="65">
        <v>166</v>
      </c>
      <c r="EZ23" s="68">
        <f>SUM(FA23:FB23)</f>
        <v>3509</v>
      </c>
      <c r="FA23" s="65"/>
      <c r="FB23" s="65">
        <v>3509</v>
      </c>
      <c r="FC23" s="70">
        <f t="shared" si="28"/>
        <v>542</v>
      </c>
      <c r="FD23" s="65">
        <v>542</v>
      </c>
      <c r="FE23" s="71">
        <f t="shared" si="29"/>
        <v>0</v>
      </c>
      <c r="FF23" s="72">
        <f t="shared" si="30"/>
        <v>0</v>
      </c>
      <c r="FG23" s="65"/>
      <c r="FH23" s="65"/>
      <c r="FI23" s="65"/>
      <c r="FJ23" s="56">
        <f t="shared" si="31"/>
        <v>0</v>
      </c>
      <c r="FK23" s="65"/>
      <c r="FL23" s="65"/>
      <c r="FM23" s="65"/>
      <c r="FN23" s="65"/>
      <c r="FO23" s="67">
        <f t="shared" si="32"/>
        <v>61548</v>
      </c>
      <c r="FP23" s="57">
        <v>54770</v>
      </c>
      <c r="FQ23" s="73">
        <v>6778</v>
      </c>
      <c r="FR23" s="73"/>
      <c r="FS23" s="71">
        <f t="shared" si="33"/>
        <v>119564</v>
      </c>
      <c r="FT23" s="91">
        <v>119564</v>
      </c>
      <c r="FU23" s="91"/>
      <c r="FV23" s="67">
        <f>SUM(Tableau1[[#This Row],[Droits d''auteurs SACEM + cotisations SACEM]:[Autres ou non préciés]])</f>
        <v>2697</v>
      </c>
      <c r="FW23" s="75">
        <f t="shared" si="34"/>
        <v>2703</v>
      </c>
      <c r="FX23" s="74">
        <v>0</v>
      </c>
      <c r="FY23" s="110"/>
      <c r="FZ23" s="74">
        <v>2703</v>
      </c>
      <c r="GA23" s="110">
        <v>-6</v>
      </c>
      <c r="GB23" s="71">
        <f t="shared" si="35"/>
        <v>26146</v>
      </c>
      <c r="GC23" s="92">
        <v>26146</v>
      </c>
      <c r="GD23" s="92"/>
      <c r="GE23" s="67">
        <f t="shared" si="36"/>
        <v>0</v>
      </c>
      <c r="GF23" s="66"/>
      <c r="GG23" s="66"/>
      <c r="GH23" s="66"/>
      <c r="GI23" s="66"/>
      <c r="GJ23" s="77"/>
    </row>
    <row r="24" spans="1:192" ht="18.600000000000001" customHeight="1" x14ac:dyDescent="0.25">
      <c r="A24" s="89"/>
      <c r="B24" s="17"/>
      <c r="C24" s="50"/>
      <c r="D24" s="140"/>
      <c r="E24" s="51"/>
      <c r="F24" s="139"/>
      <c r="G24" s="49"/>
      <c r="H24" s="50"/>
      <c r="I24" s="122"/>
      <c r="J24" s="49"/>
      <c r="K24" s="50">
        <v>3</v>
      </c>
      <c r="L24" s="50"/>
      <c r="M24" s="90">
        <v>53</v>
      </c>
      <c r="N24" s="50"/>
      <c r="O24" s="50"/>
      <c r="P24" s="90"/>
      <c r="Q24" s="52">
        <f t="shared" si="0"/>
        <v>586218</v>
      </c>
      <c r="R24" s="52">
        <f t="shared" si="1"/>
        <v>426218</v>
      </c>
      <c r="S24" s="53">
        <f t="shared" si="2"/>
        <v>425920</v>
      </c>
      <c r="T24" s="54">
        <f t="shared" si="3"/>
        <v>57880</v>
      </c>
      <c r="U24" s="115">
        <f>SUM(Tableau1[[#This Row],[Vente confiserie]:[Vente boisson]])</f>
        <v>53312</v>
      </c>
      <c r="V24" s="55">
        <v>30414</v>
      </c>
      <c r="W24" s="55">
        <v>22898</v>
      </c>
      <c r="X24" s="135">
        <f>SUM(Tableau1[[#This Row],[Vente lunette]:[Location lunette]])</f>
        <v>0</v>
      </c>
      <c r="Y24" s="55"/>
      <c r="Z24" s="55"/>
      <c r="AA24" s="55"/>
      <c r="AB24" s="55">
        <f>4568</f>
        <v>4568</v>
      </c>
      <c r="AC24" s="56">
        <f t="shared" si="38"/>
        <v>352757</v>
      </c>
      <c r="AD24" s="57">
        <f>1956+391367-40566</f>
        <v>352757</v>
      </c>
      <c r="AE24" s="57"/>
      <c r="AF24" s="57"/>
      <c r="AG24" s="57"/>
      <c r="AH24" s="57"/>
      <c r="AI24" s="57"/>
      <c r="AJ24" s="118">
        <v>40566</v>
      </c>
      <c r="AK24" s="57"/>
      <c r="AL24" s="56">
        <f t="shared" si="39"/>
        <v>15283</v>
      </c>
      <c r="AM24" s="58"/>
      <c r="AN24" s="58"/>
      <c r="AO24" s="58"/>
      <c r="AP24" s="115">
        <f t="shared" si="6"/>
        <v>15283</v>
      </c>
      <c r="AQ24" s="69"/>
      <c r="AR24" s="69"/>
      <c r="AS24" s="69">
        <v>15283</v>
      </c>
      <c r="AT24" s="69"/>
      <c r="AU24" s="59">
        <f t="shared" si="7"/>
        <v>298</v>
      </c>
      <c r="AV24" s="60">
        <f t="shared" si="8"/>
        <v>0</v>
      </c>
      <c r="AW24" s="58"/>
      <c r="AX24" s="58"/>
      <c r="AY24" s="58"/>
      <c r="AZ24" s="60">
        <f t="shared" si="9"/>
        <v>0</v>
      </c>
      <c r="BA24" s="58"/>
      <c r="BB24" s="58"/>
      <c r="BC24" s="58"/>
      <c r="BD24" s="60">
        <f>SUM(Tableau1[[#This Row],[ticket/carte/abonnement périmé]:[Autres ou non précisé 5]])</f>
        <v>298</v>
      </c>
      <c r="BE24" s="58"/>
      <c r="BF24" s="58"/>
      <c r="BG24" s="58">
        <v>298</v>
      </c>
      <c r="BH24" s="61">
        <f t="shared" si="10"/>
        <v>0</v>
      </c>
      <c r="BI24" s="120"/>
      <c r="BJ24" s="120"/>
      <c r="BK24" s="62">
        <f t="shared" si="11"/>
        <v>160000</v>
      </c>
      <c r="BL24" s="120"/>
      <c r="BM24" s="120"/>
      <c r="BN24" s="120"/>
      <c r="BO24" s="120">
        <v>160000</v>
      </c>
      <c r="BP24" s="120"/>
      <c r="BQ24" s="63"/>
      <c r="BR24" s="52">
        <f t="shared" si="12"/>
        <v>579155</v>
      </c>
      <c r="BS24" s="52">
        <f t="shared" si="13"/>
        <v>548056</v>
      </c>
      <c r="BT24" s="61">
        <f t="shared" si="14"/>
        <v>26263</v>
      </c>
      <c r="BU24" s="64">
        <f t="shared" si="15"/>
        <v>26765</v>
      </c>
      <c r="BV24" s="119">
        <f>SUM(Tableau1[[#This Row],[Achats confiserie]:[Achats boisson]])</f>
        <v>26765</v>
      </c>
      <c r="BW24" s="58">
        <v>26765</v>
      </c>
      <c r="BX24" s="69"/>
      <c r="BY24" s="58"/>
      <c r="BZ24" s="56">
        <f t="shared" si="16"/>
        <v>0</v>
      </c>
      <c r="CA24" s="66"/>
      <c r="CB24" s="66"/>
      <c r="CC24" s="56">
        <f t="shared" si="17"/>
        <v>-502</v>
      </c>
      <c r="CD24" s="55"/>
      <c r="CE24" s="65"/>
      <c r="CF24" s="55"/>
      <c r="CG24" s="55">
        <v>-502</v>
      </c>
      <c r="CH24" s="67">
        <f t="shared" si="18"/>
        <v>308783</v>
      </c>
      <c r="CI24" s="68">
        <f t="shared" si="37"/>
        <v>176443</v>
      </c>
      <c r="CJ24" s="55"/>
      <c r="CK24" s="55">
        <v>176443</v>
      </c>
      <c r="CL24" s="55"/>
      <c r="CM24" s="55"/>
      <c r="CN24" s="55"/>
      <c r="CO24" s="68">
        <f t="shared" si="20"/>
        <v>33505</v>
      </c>
      <c r="CP24" s="75">
        <f>SUM(Tableau1[[#This Row],[Fourniture eau]:[Energie (non précisé)]])</f>
        <v>29740</v>
      </c>
      <c r="CQ24" s="55">
        <v>473</v>
      </c>
      <c r="CR24" s="55">
        <v>29267</v>
      </c>
      <c r="CS24" s="55"/>
      <c r="CT24" s="55"/>
      <c r="CU24" s="55">
        <v>3303</v>
      </c>
      <c r="CV24" s="55">
        <v>462</v>
      </c>
      <c r="CW24" s="55"/>
      <c r="CX24" s="68">
        <f>SUM(Tableau1[[#This Row],[Sous-traitance]:[Autres ou non précisé 12]])</f>
        <v>35808</v>
      </c>
      <c r="CY24" s="65"/>
      <c r="CZ24" s="65"/>
      <c r="DA24" s="65">
        <f>8787+6626+2446+2582+14719</f>
        <v>35160</v>
      </c>
      <c r="DB24" s="65">
        <v>648</v>
      </c>
      <c r="DC24" s="55"/>
      <c r="DD24" s="68">
        <f t="shared" si="21"/>
        <v>14817</v>
      </c>
      <c r="DE24" s="55"/>
      <c r="DF24" s="65"/>
      <c r="DG24" s="65">
        <v>14817</v>
      </c>
      <c r="DH24" s="65"/>
      <c r="DI24" s="68">
        <f>SUM(Tableau1[[#This Row],[Entretien et réparation matériel de projection]:[Autres ou non précisé 14]])</f>
        <v>11170</v>
      </c>
      <c r="DJ24" s="58">
        <v>11025</v>
      </c>
      <c r="DK24" s="58"/>
      <c r="DL24" s="69">
        <v>145</v>
      </c>
      <c r="DM24" s="68">
        <f t="shared" si="22"/>
        <v>727</v>
      </c>
      <c r="DN24" s="58"/>
      <c r="DO24" s="58">
        <v>727</v>
      </c>
      <c r="DP24" s="68">
        <f t="shared" si="23"/>
        <v>8137</v>
      </c>
      <c r="DQ24" s="65">
        <v>7746</v>
      </c>
      <c r="DR24" s="65">
        <v>391</v>
      </c>
      <c r="DS24" s="68">
        <f t="shared" si="24"/>
        <v>0</v>
      </c>
      <c r="DT24" s="65"/>
      <c r="DU24" s="65"/>
      <c r="DV24" s="65"/>
      <c r="DW24" s="68">
        <f>SUM(Tableau1[[#This Row],[Comission et courtage sur achats]:[Autres ou honoraires
 non précisé ]])</f>
        <v>5403</v>
      </c>
      <c r="DX24" s="57"/>
      <c r="DY24" s="57"/>
      <c r="DZ24" s="65"/>
      <c r="EA24" s="65"/>
      <c r="EB24" s="65">
        <f>5403</f>
        <v>5403</v>
      </c>
      <c r="EC24" s="68">
        <f t="shared" si="25"/>
        <v>1837</v>
      </c>
      <c r="ED24" s="69"/>
      <c r="EE24" s="69">
        <v>937</v>
      </c>
      <c r="EF24" s="69"/>
      <c r="EG24" s="69"/>
      <c r="EH24" s="69">
        <v>900</v>
      </c>
      <c r="EI24" s="84">
        <f>SUM(Tableau1[[#This Row],[Transports sur films]:[autres ]])</f>
        <v>0</v>
      </c>
      <c r="EJ24" s="132">
        <v>0</v>
      </c>
      <c r="EK24" s="132"/>
      <c r="EL24" s="68">
        <f t="shared" si="26"/>
        <v>13804</v>
      </c>
      <c r="EM24" s="65">
        <f>1000+937+2493</f>
        <v>4430</v>
      </c>
      <c r="EN24" s="65">
        <v>3389</v>
      </c>
      <c r="EO24" s="65"/>
      <c r="EP24" s="65"/>
      <c r="EQ24" s="65">
        <v>3207</v>
      </c>
      <c r="ER24" s="65">
        <v>2778</v>
      </c>
      <c r="ES24" s="65"/>
      <c r="ET24" s="68">
        <f t="shared" si="27"/>
        <v>3256</v>
      </c>
      <c r="EU24" s="65">
        <v>2492</v>
      </c>
      <c r="EV24" s="65">
        <v>481</v>
      </c>
      <c r="EW24" s="65"/>
      <c r="EX24" s="65">
        <v>283</v>
      </c>
      <c r="EY24" s="65"/>
      <c r="EZ24" s="68">
        <f>SUM(FA24:FB24)</f>
        <v>3091</v>
      </c>
      <c r="FA24" s="65">
        <v>918</v>
      </c>
      <c r="FB24" s="65">
        <v>2173</v>
      </c>
      <c r="FC24" s="70">
        <f t="shared" si="28"/>
        <v>785</v>
      </c>
      <c r="FD24" s="65">
        <v>785</v>
      </c>
      <c r="FE24" s="71">
        <f t="shared" si="29"/>
        <v>1790</v>
      </c>
      <c r="FF24" s="72">
        <f t="shared" si="30"/>
        <v>758</v>
      </c>
      <c r="FG24" s="65">
        <v>386</v>
      </c>
      <c r="FH24" s="65">
        <v>372</v>
      </c>
      <c r="FI24" s="65"/>
      <c r="FJ24" s="56">
        <f t="shared" si="31"/>
        <v>1032</v>
      </c>
      <c r="FK24" s="65"/>
      <c r="FL24" s="65">
        <v>1032</v>
      </c>
      <c r="FM24" s="65"/>
      <c r="FN24" s="65"/>
      <c r="FO24" s="67">
        <f t="shared" si="32"/>
        <v>74992</v>
      </c>
      <c r="FP24" s="57">
        <v>55326</v>
      </c>
      <c r="FQ24" s="73">
        <v>19666</v>
      </c>
      <c r="FR24" s="73"/>
      <c r="FS24" s="71">
        <f t="shared" si="33"/>
        <v>128665</v>
      </c>
      <c r="FT24" s="91">
        <v>128665</v>
      </c>
      <c r="FU24" s="91"/>
      <c r="FV24" s="67">
        <f>SUM(Tableau1[[#This Row],[Droits d''auteurs SACEM + cotisations SACEM]:[Autres ou non préciés]])</f>
        <v>7563</v>
      </c>
      <c r="FW24" s="75">
        <f t="shared" si="34"/>
        <v>7555</v>
      </c>
      <c r="FX24" s="74">
        <v>0</v>
      </c>
      <c r="FY24" s="74"/>
      <c r="FZ24" s="74">
        <v>7555</v>
      </c>
      <c r="GA24" s="74">
        <v>8</v>
      </c>
      <c r="GB24" s="71">
        <f t="shared" si="35"/>
        <v>31099</v>
      </c>
      <c r="GC24" s="92">
        <v>31099</v>
      </c>
      <c r="GD24" s="92"/>
      <c r="GE24" s="67">
        <f t="shared" si="36"/>
        <v>0</v>
      </c>
      <c r="GF24" s="66"/>
      <c r="GG24" s="66"/>
      <c r="GH24" s="66"/>
      <c r="GI24" s="66"/>
      <c r="GJ24" s="77"/>
    </row>
    <row r="25" spans="1:192" ht="18.600000000000001" customHeight="1" x14ac:dyDescent="0.25">
      <c r="A25" s="89"/>
      <c r="B25" s="17"/>
      <c r="C25" s="50"/>
      <c r="D25" s="140"/>
      <c r="E25" s="51"/>
      <c r="F25" s="139"/>
      <c r="G25" s="49"/>
      <c r="H25" s="50"/>
      <c r="I25" s="122"/>
      <c r="J25" s="49"/>
      <c r="K25" s="50">
        <v>3</v>
      </c>
      <c r="L25" s="50"/>
      <c r="M25" s="90"/>
      <c r="N25" s="50"/>
      <c r="O25" s="50"/>
      <c r="P25" s="90"/>
      <c r="Q25" s="52">
        <f t="shared" si="0"/>
        <v>562433</v>
      </c>
      <c r="R25" s="52">
        <f t="shared" si="1"/>
        <v>402433</v>
      </c>
      <c r="S25" s="53">
        <f t="shared" si="2"/>
        <v>391146</v>
      </c>
      <c r="T25" s="54">
        <f t="shared" si="3"/>
        <v>63000</v>
      </c>
      <c r="U25" s="115">
        <f>SUM(Tableau1[[#This Row],[Vente confiserie]:[Vente boisson]])</f>
        <v>0</v>
      </c>
      <c r="V25" s="55"/>
      <c r="W25" s="55"/>
      <c r="X25" s="135">
        <f>SUM(Tableau1[[#This Row],[Vente lunette]:[Location lunette]])</f>
        <v>0</v>
      </c>
      <c r="Y25" s="55"/>
      <c r="Z25" s="55"/>
      <c r="AA25" s="55"/>
      <c r="AB25" s="55">
        <f>27804+33406+1790</f>
        <v>63000</v>
      </c>
      <c r="AC25" s="56">
        <f t="shared" si="38"/>
        <v>315445</v>
      </c>
      <c r="AD25" s="57">
        <f>355984-40539</f>
        <v>315445</v>
      </c>
      <c r="AE25" s="57"/>
      <c r="AF25" s="57"/>
      <c r="AG25" s="57"/>
      <c r="AH25" s="57"/>
      <c r="AI25" s="57"/>
      <c r="AJ25" s="118">
        <v>40539</v>
      </c>
      <c r="AK25" s="57"/>
      <c r="AL25" s="56">
        <f t="shared" si="39"/>
        <v>12701</v>
      </c>
      <c r="AM25" s="58"/>
      <c r="AN25" s="58"/>
      <c r="AO25" s="58"/>
      <c r="AP25" s="115">
        <f t="shared" si="6"/>
        <v>12701</v>
      </c>
      <c r="AQ25" s="69"/>
      <c r="AR25" s="69"/>
      <c r="AS25" s="69">
        <v>12701</v>
      </c>
      <c r="AT25" s="69"/>
      <c r="AU25" s="59">
        <f t="shared" si="7"/>
        <v>11287</v>
      </c>
      <c r="AV25" s="60">
        <f t="shared" si="8"/>
        <v>10230</v>
      </c>
      <c r="AW25" s="58">
        <v>10230</v>
      </c>
      <c r="AX25" s="58"/>
      <c r="AY25" s="58"/>
      <c r="AZ25" s="60">
        <f t="shared" si="9"/>
        <v>0</v>
      </c>
      <c r="BA25" s="58"/>
      <c r="BB25" s="58"/>
      <c r="BC25" s="58"/>
      <c r="BD25" s="60">
        <f>SUM(Tableau1[[#This Row],[ticket/carte/abonnement périmé]:[Autres ou non précisé 5]])</f>
        <v>1057</v>
      </c>
      <c r="BE25" s="58"/>
      <c r="BF25" s="58"/>
      <c r="BG25" s="58">
        <v>1057</v>
      </c>
      <c r="BH25" s="61">
        <f t="shared" si="10"/>
        <v>0</v>
      </c>
      <c r="BI25" s="120"/>
      <c r="BJ25" s="120"/>
      <c r="BK25" s="62">
        <f t="shared" si="11"/>
        <v>160000</v>
      </c>
      <c r="BL25" s="120"/>
      <c r="BM25" s="120"/>
      <c r="BN25" s="120"/>
      <c r="BO25" s="120">
        <v>160000</v>
      </c>
      <c r="BP25" s="120"/>
      <c r="BQ25" s="63"/>
      <c r="BR25" s="52">
        <f t="shared" si="12"/>
        <v>526275</v>
      </c>
      <c r="BS25" s="52">
        <f t="shared" si="13"/>
        <v>520501</v>
      </c>
      <c r="BT25" s="61">
        <f t="shared" si="14"/>
        <v>17896</v>
      </c>
      <c r="BU25" s="64">
        <f t="shared" si="15"/>
        <v>17496</v>
      </c>
      <c r="BV25" s="119">
        <f>SUM(Tableau1[[#This Row],[Achats confiserie]:[Achats boisson]])</f>
        <v>17496</v>
      </c>
      <c r="BW25" s="58">
        <v>17496</v>
      </c>
      <c r="BX25" s="69"/>
      <c r="BY25" s="58"/>
      <c r="BZ25" s="56">
        <f t="shared" si="16"/>
        <v>0</v>
      </c>
      <c r="CA25" s="66"/>
      <c r="CB25" s="66"/>
      <c r="CC25" s="56">
        <f t="shared" si="17"/>
        <v>400</v>
      </c>
      <c r="CD25" s="55"/>
      <c r="CE25" s="65"/>
      <c r="CF25" s="55"/>
      <c r="CG25" s="55">
        <v>400</v>
      </c>
      <c r="CH25" s="67">
        <f t="shared" si="18"/>
        <v>274155</v>
      </c>
      <c r="CI25" s="68">
        <f t="shared" si="37"/>
        <v>138750</v>
      </c>
      <c r="CJ25" s="55"/>
      <c r="CK25" s="55">
        <v>138750</v>
      </c>
      <c r="CL25" s="55"/>
      <c r="CM25" s="55"/>
      <c r="CN25" s="55"/>
      <c r="CO25" s="68">
        <f t="shared" si="20"/>
        <v>29259</v>
      </c>
      <c r="CP25" s="75">
        <f>SUM(Tableau1[[#This Row],[Fourniture eau]:[Energie (non précisé)]])</f>
        <v>21317</v>
      </c>
      <c r="CQ25" s="55">
        <v>541</v>
      </c>
      <c r="CR25" s="55">
        <v>20776</v>
      </c>
      <c r="CS25" s="55"/>
      <c r="CT25" s="55"/>
      <c r="CU25" s="55">
        <v>7101</v>
      </c>
      <c r="CV25" s="55">
        <v>841</v>
      </c>
      <c r="CW25" s="55"/>
      <c r="CX25" s="68">
        <f>SUM(Tableau1[[#This Row],[Sous-traitance]:[Autres ou non précisé 12]])</f>
        <v>29196</v>
      </c>
      <c r="CY25" s="65"/>
      <c r="CZ25" s="65">
        <v>815</v>
      </c>
      <c r="DA25" s="65">
        <f>6722+6666+2446+2582+9317</f>
        <v>27733</v>
      </c>
      <c r="DB25" s="65">
        <v>648</v>
      </c>
      <c r="DC25" s="55"/>
      <c r="DD25" s="68">
        <f t="shared" si="21"/>
        <v>6028</v>
      </c>
      <c r="DE25" s="55"/>
      <c r="DF25" s="65"/>
      <c r="DG25" s="65">
        <v>6028</v>
      </c>
      <c r="DH25" s="65"/>
      <c r="DI25" s="68">
        <f>SUM(Tableau1[[#This Row],[Entretien et réparation matériel de projection]:[Autres ou non précisé 14]])</f>
        <v>10101</v>
      </c>
      <c r="DJ25" s="58">
        <v>9602</v>
      </c>
      <c r="DK25" s="58"/>
      <c r="DL25" s="69">
        <v>499</v>
      </c>
      <c r="DM25" s="68">
        <f t="shared" si="22"/>
        <v>7817</v>
      </c>
      <c r="DN25" s="58"/>
      <c r="DO25" s="58">
        <v>7817</v>
      </c>
      <c r="DP25" s="68">
        <f t="shared" si="23"/>
        <v>21527</v>
      </c>
      <c r="DQ25" s="65">
        <v>21527</v>
      </c>
      <c r="DR25" s="65"/>
      <c r="DS25" s="68">
        <f t="shared" si="24"/>
        <v>0</v>
      </c>
      <c r="DT25" s="65"/>
      <c r="DU25" s="65"/>
      <c r="DV25" s="65"/>
      <c r="DW25" s="68">
        <f>SUM(Tableau1[[#This Row],[Comission et courtage sur achats]:[Autres ou honoraires
 non précisé ]])</f>
        <v>11746</v>
      </c>
      <c r="DX25" s="57"/>
      <c r="DY25" s="57"/>
      <c r="DZ25" s="65"/>
      <c r="EA25" s="65"/>
      <c r="EB25" s="65">
        <f>6698+5000+48</f>
        <v>11746</v>
      </c>
      <c r="EC25" s="68">
        <f t="shared" si="25"/>
        <v>80</v>
      </c>
      <c r="ED25" s="69"/>
      <c r="EE25" s="69"/>
      <c r="EF25" s="69"/>
      <c r="EG25" s="69"/>
      <c r="EH25" s="69">
        <v>80</v>
      </c>
      <c r="EI25" s="84">
        <f>SUM(Tableau1[[#This Row],[Transports sur films]:[autres ]])</f>
        <v>60</v>
      </c>
      <c r="EJ25" s="132">
        <v>60</v>
      </c>
      <c r="EK25" s="132"/>
      <c r="EL25" s="68">
        <f t="shared" si="26"/>
        <v>10934</v>
      </c>
      <c r="EM25" s="65">
        <f>1139+1678</f>
        <v>2817</v>
      </c>
      <c r="EN25" s="65">
        <v>3693</v>
      </c>
      <c r="EO25" s="65"/>
      <c r="EP25" s="65"/>
      <c r="EQ25" s="65">
        <v>1781</v>
      </c>
      <c r="ER25" s="65">
        <v>2643</v>
      </c>
      <c r="ES25" s="65"/>
      <c r="ET25" s="68">
        <f t="shared" si="27"/>
        <v>4448</v>
      </c>
      <c r="EU25" s="65">
        <v>4125</v>
      </c>
      <c r="EV25" s="65"/>
      <c r="EW25" s="65"/>
      <c r="EX25" s="65">
        <v>323</v>
      </c>
      <c r="EY25" s="65"/>
      <c r="EZ25" s="68">
        <f>SUM(FA25:FB25)</f>
        <v>3050</v>
      </c>
      <c r="FA25" s="65">
        <v>833</v>
      </c>
      <c r="FB25" s="65">
        <v>2217</v>
      </c>
      <c r="FC25" s="70">
        <f t="shared" si="28"/>
        <v>1159</v>
      </c>
      <c r="FD25" s="65">
        <v>1159</v>
      </c>
      <c r="FE25" s="71">
        <f t="shared" si="29"/>
        <v>1503</v>
      </c>
      <c r="FF25" s="72">
        <f t="shared" si="30"/>
        <v>1015</v>
      </c>
      <c r="FG25" s="65">
        <v>608</v>
      </c>
      <c r="FH25" s="65">
        <v>407</v>
      </c>
      <c r="FI25" s="65"/>
      <c r="FJ25" s="56">
        <f t="shared" si="31"/>
        <v>488</v>
      </c>
      <c r="FK25" s="65"/>
      <c r="FL25" s="65">
        <v>488</v>
      </c>
      <c r="FM25" s="65"/>
      <c r="FN25" s="65"/>
      <c r="FO25" s="67">
        <f t="shared" si="32"/>
        <v>92943</v>
      </c>
      <c r="FP25" s="57">
        <v>76264</v>
      </c>
      <c r="FQ25" s="73">
        <v>16679</v>
      </c>
      <c r="FR25" s="73"/>
      <c r="FS25" s="71">
        <f t="shared" si="33"/>
        <v>129675</v>
      </c>
      <c r="FT25" s="91">
        <v>129675</v>
      </c>
      <c r="FU25" s="91"/>
      <c r="FV25" s="67">
        <f>SUM(Tableau1[[#This Row],[Droits d''auteurs SACEM + cotisations SACEM]:[Autres ou non préciés]])</f>
        <v>4329</v>
      </c>
      <c r="FW25" s="75">
        <f t="shared" si="34"/>
        <v>4284</v>
      </c>
      <c r="FX25" s="74">
        <v>0</v>
      </c>
      <c r="FY25" s="74"/>
      <c r="FZ25" s="74">
        <v>4284</v>
      </c>
      <c r="GA25" s="74">
        <v>45</v>
      </c>
      <c r="GB25" s="71">
        <f t="shared" si="35"/>
        <v>5774</v>
      </c>
      <c r="GC25" s="92">
        <v>5774</v>
      </c>
      <c r="GD25" s="92"/>
      <c r="GE25" s="67">
        <f t="shared" si="36"/>
        <v>0</v>
      </c>
      <c r="GF25" s="66"/>
      <c r="GG25" s="66"/>
      <c r="GH25" s="66"/>
      <c r="GI25" s="66"/>
      <c r="GJ25" s="77"/>
    </row>
    <row r="26" spans="1:192" ht="18.600000000000001" customHeight="1" x14ac:dyDescent="0.25">
      <c r="A26" s="89"/>
      <c r="B26" s="17"/>
      <c r="C26" s="50"/>
      <c r="D26" s="140"/>
      <c r="E26" s="51"/>
      <c r="F26" s="139"/>
      <c r="G26" s="49"/>
      <c r="H26" s="50"/>
      <c r="I26" s="122"/>
      <c r="J26" s="49"/>
      <c r="K26" s="50">
        <v>2</v>
      </c>
      <c r="L26" s="50"/>
      <c r="M26" s="90">
        <v>43</v>
      </c>
      <c r="N26" s="50"/>
      <c r="O26" s="50"/>
      <c r="P26" s="90"/>
      <c r="Q26" s="52">
        <f t="shared" si="0"/>
        <v>123730.29000000001</v>
      </c>
      <c r="R26" s="52">
        <f t="shared" si="1"/>
        <v>123730.29000000001</v>
      </c>
      <c r="S26" s="53">
        <f t="shared" si="2"/>
        <v>123631.29000000001</v>
      </c>
      <c r="T26" s="54">
        <f t="shared" si="3"/>
        <v>21295.940000000002</v>
      </c>
      <c r="U26" s="115">
        <f>SUM(Tableau1[[#This Row],[Vente confiserie]:[Vente boisson]])</f>
        <v>20315.45</v>
      </c>
      <c r="V26" s="55">
        <v>20315.45</v>
      </c>
      <c r="W26" s="55"/>
      <c r="X26" s="135">
        <f>SUM(Tableau1[[#This Row],[Vente lunette]:[Location lunette]])</f>
        <v>980.49</v>
      </c>
      <c r="Y26" s="55">
        <v>980.49</v>
      </c>
      <c r="Z26" s="55"/>
      <c r="AA26" s="55"/>
      <c r="AB26" s="55"/>
      <c r="AC26" s="56">
        <f t="shared" si="38"/>
        <v>100337.52</v>
      </c>
      <c r="AD26" s="57">
        <v>100337.52</v>
      </c>
      <c r="AE26" s="57"/>
      <c r="AF26" s="57"/>
      <c r="AG26" s="57"/>
      <c r="AH26" s="57"/>
      <c r="AI26" s="57"/>
      <c r="AJ26" s="118">
        <f>(Tableau1[[#This Row],[Recette guichet ]]*1.1275177)-Tableau1[[#This Row],[Recette guichet ]]</f>
        <v>12794.809774104011</v>
      </c>
      <c r="AK26" s="57"/>
      <c r="AL26" s="56">
        <f t="shared" si="39"/>
        <v>1997.83</v>
      </c>
      <c r="AM26" s="58"/>
      <c r="AN26" s="58"/>
      <c r="AO26" s="58"/>
      <c r="AP26" s="115">
        <f t="shared" si="6"/>
        <v>480</v>
      </c>
      <c r="AQ26" s="69"/>
      <c r="AR26" s="69"/>
      <c r="AS26" s="69">
        <v>480</v>
      </c>
      <c r="AT26" s="69">
        <v>1517.83</v>
      </c>
      <c r="AU26" s="59">
        <f t="shared" si="7"/>
        <v>99</v>
      </c>
      <c r="AV26" s="60">
        <f t="shared" si="8"/>
        <v>0</v>
      </c>
      <c r="AW26" s="58"/>
      <c r="AX26" s="58"/>
      <c r="AY26" s="58"/>
      <c r="AZ26" s="60">
        <f t="shared" si="9"/>
        <v>0</v>
      </c>
      <c r="BA26" s="58"/>
      <c r="BB26" s="58"/>
      <c r="BC26" s="58"/>
      <c r="BD26" s="60">
        <f>SUM(Tableau1[[#This Row],[ticket/carte/abonnement périmé]:[Autres ou non précisé 5]])</f>
        <v>99</v>
      </c>
      <c r="BE26" s="58"/>
      <c r="BF26" s="58"/>
      <c r="BG26" s="58">
        <v>99</v>
      </c>
      <c r="BH26" s="61">
        <f t="shared" si="10"/>
        <v>0</v>
      </c>
      <c r="BI26" s="120"/>
      <c r="BJ26" s="120"/>
      <c r="BK26" s="62">
        <f t="shared" si="11"/>
        <v>0</v>
      </c>
      <c r="BL26" s="120"/>
      <c r="BM26" s="120"/>
      <c r="BN26" s="120"/>
      <c r="BO26" s="120"/>
      <c r="BP26" s="120"/>
      <c r="BQ26" s="63"/>
      <c r="BR26" s="52">
        <f t="shared" si="12"/>
        <v>133752.94</v>
      </c>
      <c r="BS26" s="52">
        <f t="shared" si="13"/>
        <v>133752.94</v>
      </c>
      <c r="BT26" s="61">
        <f t="shared" si="14"/>
        <v>121.74000000000024</v>
      </c>
      <c r="BU26" s="64">
        <f t="shared" si="15"/>
        <v>2641.94</v>
      </c>
      <c r="BV26" s="119">
        <f>SUM(Tableau1[[#This Row],[Achats confiserie]:[Achats boisson]])</f>
        <v>2641.94</v>
      </c>
      <c r="BW26" s="58">
        <f>2359.21+84.23+198.5</f>
        <v>2641.94</v>
      </c>
      <c r="BX26" s="69"/>
      <c r="BY26" s="58"/>
      <c r="BZ26" s="56">
        <f t="shared" si="16"/>
        <v>0</v>
      </c>
      <c r="CA26" s="66"/>
      <c r="CB26" s="66"/>
      <c r="CC26" s="56">
        <f t="shared" si="17"/>
        <v>-2520.1999999999998</v>
      </c>
      <c r="CD26" s="55">
        <v>-2696.6</v>
      </c>
      <c r="CE26" s="65"/>
      <c r="CF26" s="55">
        <v>176.4</v>
      </c>
      <c r="CG26" s="55"/>
      <c r="CH26" s="67">
        <f t="shared" si="18"/>
        <v>89718.47</v>
      </c>
      <c r="CI26" s="68">
        <f t="shared" si="37"/>
        <v>47723.71</v>
      </c>
      <c r="CJ26" s="55"/>
      <c r="CK26" s="55">
        <v>47723.71</v>
      </c>
      <c r="CL26" s="55"/>
      <c r="CM26" s="55"/>
      <c r="CN26" s="55"/>
      <c r="CO26" s="68">
        <f t="shared" si="20"/>
        <v>6279.8099999999995</v>
      </c>
      <c r="CP26" s="75">
        <f>SUM(Tableau1[[#This Row],[Fourniture eau]:[Energie (non précisé)]])</f>
        <v>2374.42</v>
      </c>
      <c r="CQ26" s="55"/>
      <c r="CR26" s="55">
        <v>2374.42</v>
      </c>
      <c r="CS26" s="55"/>
      <c r="CT26" s="93"/>
      <c r="CU26" s="55">
        <f>576.19</f>
        <v>576.19000000000005</v>
      </c>
      <c r="CV26" s="55">
        <v>3329.2</v>
      </c>
      <c r="CW26" s="55"/>
      <c r="CX26" s="68">
        <f>SUM(Tableau1[[#This Row],[Sous-traitance]:[Autres ou non précisé 12]])</f>
        <v>2951.48</v>
      </c>
      <c r="CY26" s="65"/>
      <c r="CZ26" s="93">
        <v>2664.1</v>
      </c>
      <c r="DA26" s="93"/>
      <c r="DB26" s="65"/>
      <c r="DC26" s="55">
        <f>188.4+98.98</f>
        <v>287.38</v>
      </c>
      <c r="DD26" s="68">
        <f t="shared" si="21"/>
        <v>6566.8099999999995</v>
      </c>
      <c r="DE26" s="55">
        <v>5074</v>
      </c>
      <c r="DF26" s="65"/>
      <c r="DG26" s="65">
        <v>1492.81</v>
      </c>
      <c r="DH26" s="65"/>
      <c r="DI26" s="68">
        <f>SUM(Tableau1[[#This Row],[Entretien et réparation matériel de projection]:[Autres ou non précisé 14]])</f>
        <v>3775.66</v>
      </c>
      <c r="DJ26" s="58"/>
      <c r="DK26" s="58">
        <v>3775.66</v>
      </c>
      <c r="DL26" s="69"/>
      <c r="DM26" s="68">
        <f t="shared" si="22"/>
        <v>1435.67</v>
      </c>
      <c r="DN26" s="58"/>
      <c r="DO26" s="58">
        <f>1435.67</f>
        <v>1435.67</v>
      </c>
      <c r="DP26" s="68">
        <f t="shared" si="23"/>
        <v>1566.27</v>
      </c>
      <c r="DQ26" s="65">
        <f>1249.4</f>
        <v>1249.4000000000001</v>
      </c>
      <c r="DR26" s="65">
        <v>316.87</v>
      </c>
      <c r="DS26" s="68">
        <f t="shared" si="24"/>
        <v>0</v>
      </c>
      <c r="DT26" s="65"/>
      <c r="DU26" s="65"/>
      <c r="DV26" s="65"/>
      <c r="DW26" s="68">
        <f>SUM(Tableau1[[#This Row],[Comission et courtage sur achats]:[Autres ou honoraires
 non précisé ]])</f>
        <v>6101.28</v>
      </c>
      <c r="DX26" s="57"/>
      <c r="DY26" s="57"/>
      <c r="DZ26" s="65"/>
      <c r="EA26" s="65">
        <v>101.28</v>
      </c>
      <c r="EB26" s="65">
        <v>6000</v>
      </c>
      <c r="EC26" s="68">
        <f t="shared" si="25"/>
        <v>0</v>
      </c>
      <c r="ED26" s="69"/>
      <c r="EE26" s="69"/>
      <c r="EF26" s="69"/>
      <c r="EG26" s="69"/>
      <c r="EH26" s="69"/>
      <c r="EI26" s="84">
        <f>SUM(Tableau1[[#This Row],[Transports sur films]:[autres ]])</f>
        <v>0</v>
      </c>
      <c r="EJ26" s="132">
        <v>0</v>
      </c>
      <c r="EK26" s="132"/>
      <c r="EL26" s="68">
        <f t="shared" si="26"/>
        <v>12688.31</v>
      </c>
      <c r="EM26" s="65">
        <v>5809.57</v>
      </c>
      <c r="EN26" s="65">
        <v>1526.65</v>
      </c>
      <c r="EO26" s="65"/>
      <c r="EP26" s="65">
        <v>4521.62</v>
      </c>
      <c r="EQ26" s="65"/>
      <c r="ER26" s="65">
        <v>830.47</v>
      </c>
      <c r="ES26" s="65"/>
      <c r="ET26" s="68">
        <f t="shared" si="27"/>
        <v>0</v>
      </c>
      <c r="EU26" s="65"/>
      <c r="EV26" s="65"/>
      <c r="EW26" s="65"/>
      <c r="EX26" s="65"/>
      <c r="EY26" s="65"/>
      <c r="EZ26" s="68">
        <f>SUM(Tableau1[[#This Row],[Frais sur CB]:[Services bancaires]])</f>
        <v>597.47</v>
      </c>
      <c r="FA26" s="65">
        <f>212.92+384.55</f>
        <v>597.47</v>
      </c>
      <c r="FB26" s="65"/>
      <c r="FC26" s="70">
        <f t="shared" si="28"/>
        <v>32</v>
      </c>
      <c r="FD26" s="65">
        <v>32</v>
      </c>
      <c r="FE26" s="71">
        <f t="shared" si="29"/>
        <v>381.17</v>
      </c>
      <c r="FF26" s="72">
        <f t="shared" si="30"/>
        <v>381.17</v>
      </c>
      <c r="FG26" s="65">
        <v>180.99</v>
      </c>
      <c r="FH26" s="65">
        <v>175.81</v>
      </c>
      <c r="FI26" s="65">
        <v>24.37</v>
      </c>
      <c r="FJ26" s="56">
        <f t="shared" si="31"/>
        <v>0</v>
      </c>
      <c r="FK26" s="65"/>
      <c r="FL26" s="65"/>
      <c r="FM26" s="65"/>
      <c r="FN26" s="65"/>
      <c r="FO26" s="67">
        <f t="shared" si="32"/>
        <v>35888.15</v>
      </c>
      <c r="FP26" s="57">
        <v>28559</v>
      </c>
      <c r="FQ26" s="73">
        <v>7329.15</v>
      </c>
      <c r="FR26" s="73"/>
      <c r="FS26" s="71">
        <f t="shared" si="33"/>
        <v>5417.43</v>
      </c>
      <c r="FT26" s="91">
        <f>135.42+5282.01</f>
        <v>5417.43</v>
      </c>
      <c r="FU26" s="91"/>
      <c r="FV26" s="67">
        <f>SUM(Tableau1[[#This Row],[Droits d''auteurs SACEM + cotisations SACEM]:[Autres ou non préciés]])</f>
        <v>2225.98</v>
      </c>
      <c r="FW26" s="75">
        <f t="shared" si="34"/>
        <v>1740.98</v>
      </c>
      <c r="FX26" s="74">
        <v>1740.98</v>
      </c>
      <c r="FY26" s="74"/>
      <c r="FZ26" s="74"/>
      <c r="GA26" s="74">
        <f>469+16</f>
        <v>485</v>
      </c>
      <c r="GB26" s="71">
        <f t="shared" si="35"/>
        <v>0</v>
      </c>
      <c r="GC26" s="92"/>
      <c r="GD26" s="92"/>
      <c r="GE26" s="67">
        <f t="shared" si="36"/>
        <v>0</v>
      </c>
      <c r="GF26" s="66"/>
      <c r="GG26" s="66"/>
      <c r="GH26" s="66"/>
      <c r="GI26" s="66"/>
      <c r="GJ26" s="77"/>
    </row>
    <row r="27" spans="1:192" ht="18.600000000000001" customHeight="1" x14ac:dyDescent="0.25">
      <c r="A27" s="89"/>
      <c r="B27" s="17"/>
      <c r="C27" s="50"/>
      <c r="D27" s="140"/>
      <c r="E27" s="51"/>
      <c r="F27" s="139"/>
      <c r="G27" s="49"/>
      <c r="H27" s="50"/>
      <c r="I27" s="122"/>
      <c r="J27" s="49"/>
      <c r="K27" s="50">
        <v>7</v>
      </c>
      <c r="L27" s="50"/>
      <c r="M27" s="90">
        <v>53</v>
      </c>
      <c r="N27" s="50"/>
      <c r="O27" s="50"/>
      <c r="P27" s="90"/>
      <c r="Q27" s="52">
        <f t="shared" si="0"/>
        <v>983291</v>
      </c>
      <c r="R27" s="52">
        <f t="shared" si="1"/>
        <v>880245</v>
      </c>
      <c r="S27" s="53">
        <f t="shared" si="2"/>
        <v>812254</v>
      </c>
      <c r="T27" s="54">
        <f t="shared" si="3"/>
        <v>152378</v>
      </c>
      <c r="U27" s="115">
        <f>SUM(Tableau1[[#This Row],[Vente confiserie]:[Vente boisson]])</f>
        <v>141691</v>
      </c>
      <c r="V27" s="55">
        <f>11925+108825</f>
        <v>120750</v>
      </c>
      <c r="W27" s="55">
        <v>20941</v>
      </c>
      <c r="X27" s="135">
        <f>SUM(Tableau1[[#This Row],[Vente lunette]:[Location lunette]])</f>
        <v>10687</v>
      </c>
      <c r="Y27" s="55">
        <v>10687</v>
      </c>
      <c r="Z27" s="55"/>
      <c r="AA27" s="55"/>
      <c r="AB27" s="55"/>
      <c r="AC27" s="56">
        <f t="shared" si="38"/>
        <v>643736</v>
      </c>
      <c r="AD27" s="57">
        <v>643736</v>
      </c>
      <c r="AE27" s="57"/>
      <c r="AF27" s="57"/>
      <c r="AG27" s="57"/>
      <c r="AH27" s="57"/>
      <c r="AI27" s="57"/>
      <c r="AJ27" s="118">
        <f>(Tableau1[[#This Row],[Recette guichet ]]*1.1275177)-Tableau1[[#This Row],[Recette guichet ]]</f>
        <v>82087.734127200092</v>
      </c>
      <c r="AK27" s="57"/>
      <c r="AL27" s="56">
        <f t="shared" si="39"/>
        <v>16140</v>
      </c>
      <c r="AM27" s="58">
        <v>1354</v>
      </c>
      <c r="AN27" s="58"/>
      <c r="AO27" s="58"/>
      <c r="AP27" s="115">
        <f t="shared" si="6"/>
        <v>14786</v>
      </c>
      <c r="AQ27" s="69"/>
      <c r="AR27" s="69"/>
      <c r="AS27" s="69">
        <v>14786</v>
      </c>
      <c r="AT27" s="69"/>
      <c r="AU27" s="59">
        <f t="shared" si="7"/>
        <v>67991</v>
      </c>
      <c r="AV27" s="60">
        <f t="shared" si="8"/>
        <v>9551</v>
      </c>
      <c r="AW27" s="58"/>
      <c r="AX27" s="58">
        <v>5400</v>
      </c>
      <c r="AY27" s="58">
        <v>4151</v>
      </c>
      <c r="AZ27" s="60">
        <f t="shared" si="9"/>
        <v>1480</v>
      </c>
      <c r="BA27" s="58"/>
      <c r="BB27" s="58">
        <v>1480</v>
      </c>
      <c r="BC27" s="58"/>
      <c r="BD27" s="60">
        <f>SUM(Tableau1[[#This Row],[ticket/carte/abonnement périmé]:[Autres ou non précisé 5]])</f>
        <v>56960</v>
      </c>
      <c r="BE27" s="58"/>
      <c r="BF27" s="58">
        <v>54447</v>
      </c>
      <c r="BG27" s="58">
        <v>2513</v>
      </c>
      <c r="BH27" s="61">
        <f t="shared" si="10"/>
        <v>0</v>
      </c>
      <c r="BI27" s="120"/>
      <c r="BJ27" s="120"/>
      <c r="BK27" s="62">
        <f t="shared" si="11"/>
        <v>103046</v>
      </c>
      <c r="BL27" s="120"/>
      <c r="BM27" s="120"/>
      <c r="BN27" s="120"/>
      <c r="BO27" s="120"/>
      <c r="BP27" s="120">
        <v>103046</v>
      </c>
      <c r="BQ27" s="63"/>
      <c r="BR27" s="52">
        <f t="shared" si="12"/>
        <v>945205</v>
      </c>
      <c r="BS27" s="52">
        <f t="shared" si="13"/>
        <v>918058</v>
      </c>
      <c r="BT27" s="61">
        <f t="shared" si="14"/>
        <v>55652</v>
      </c>
      <c r="BU27" s="64">
        <f t="shared" si="15"/>
        <v>48603</v>
      </c>
      <c r="BV27" s="119">
        <f>SUM(Tableau1[[#This Row],[Achats confiserie]:[Achats boisson]])</f>
        <v>48603</v>
      </c>
      <c r="BW27" s="58">
        <f>543+3457+25960+9922</f>
        <v>39882</v>
      </c>
      <c r="BX27" s="69">
        <v>8721</v>
      </c>
      <c r="BY27" s="58"/>
      <c r="BZ27" s="56">
        <f t="shared" si="16"/>
        <v>15072</v>
      </c>
      <c r="CA27" s="66">
        <v>7659</v>
      </c>
      <c r="CB27" s="66">
        <v>7413</v>
      </c>
      <c r="CC27" s="56">
        <f t="shared" si="17"/>
        <v>-8023</v>
      </c>
      <c r="CD27" s="55"/>
      <c r="CE27" s="65"/>
      <c r="CF27" s="55">
        <v>-2779</v>
      </c>
      <c r="CG27" s="55">
        <v>-5244</v>
      </c>
      <c r="CH27" s="67">
        <f t="shared" si="18"/>
        <v>615760</v>
      </c>
      <c r="CI27" s="68">
        <f t="shared" si="37"/>
        <v>336499</v>
      </c>
      <c r="CJ27" s="55">
        <v>33677</v>
      </c>
      <c r="CK27" s="55">
        <v>301040</v>
      </c>
      <c r="CL27" s="55">
        <v>1782</v>
      </c>
      <c r="CM27" s="55"/>
      <c r="CN27" s="55"/>
      <c r="CO27" s="68">
        <f t="shared" si="20"/>
        <v>74855</v>
      </c>
      <c r="CP27" s="75">
        <f>SUM(Tableau1[[#This Row],[Fourniture eau]:[Energie (non précisé)]])</f>
        <v>30514</v>
      </c>
      <c r="CQ27" s="55">
        <v>1547</v>
      </c>
      <c r="CR27" s="55"/>
      <c r="CS27" s="55"/>
      <c r="CT27" s="55">
        <v>28967</v>
      </c>
      <c r="CU27" s="55">
        <v>3518</v>
      </c>
      <c r="CV27" s="55">
        <v>40823</v>
      </c>
      <c r="CW27" s="55"/>
      <c r="CX27" s="68">
        <f>SUM(Tableau1[[#This Row],[Sous-traitance]:[Autres ou non précisé 12]])</f>
        <v>135006</v>
      </c>
      <c r="CY27" s="65"/>
      <c r="CZ27" s="65">
        <f>50000+752</f>
        <v>50752</v>
      </c>
      <c r="DA27" s="65">
        <f>62653+2324+1274+1503</f>
        <v>67754</v>
      </c>
      <c r="DB27" s="65">
        <v>648</v>
      </c>
      <c r="DC27" s="55">
        <v>15852</v>
      </c>
      <c r="DD27" s="68">
        <f t="shared" si="21"/>
        <v>17625</v>
      </c>
      <c r="DE27" s="55"/>
      <c r="DF27" s="65"/>
      <c r="DG27" s="65">
        <f>4005+13620</f>
        <v>17625</v>
      </c>
      <c r="DH27" s="65"/>
      <c r="DI27" s="68">
        <f>SUM(Tableau1[[#This Row],[Entretien et réparation matériel de projection]:[Autres ou non précisé 14]])</f>
        <v>0</v>
      </c>
      <c r="DJ27" s="58"/>
      <c r="DK27" s="58"/>
      <c r="DL27" s="69"/>
      <c r="DM27" s="68">
        <f t="shared" si="22"/>
        <v>22248</v>
      </c>
      <c r="DN27" s="58"/>
      <c r="DO27" s="58">
        <v>22248</v>
      </c>
      <c r="DP27" s="68">
        <f t="shared" si="23"/>
        <v>7963</v>
      </c>
      <c r="DQ27" s="65">
        <v>7963</v>
      </c>
      <c r="DR27" s="65"/>
      <c r="DS27" s="68">
        <f t="shared" si="24"/>
        <v>0</v>
      </c>
      <c r="DT27" s="65"/>
      <c r="DU27" s="65"/>
      <c r="DV27" s="65"/>
      <c r="DW27" s="68">
        <f>SUM(Tableau1[[#This Row],[Comission et courtage sur achats]:[Autres ou honoraires
 non précisé ]])</f>
        <v>8492</v>
      </c>
      <c r="DX27" s="57"/>
      <c r="DY27" s="57"/>
      <c r="DZ27" s="65">
        <v>6788</v>
      </c>
      <c r="EA27" s="65">
        <f>689+132</f>
        <v>821</v>
      </c>
      <c r="EB27" s="65">
        <f>192+691</f>
        <v>883</v>
      </c>
      <c r="EC27" s="68">
        <f t="shared" si="25"/>
        <v>15</v>
      </c>
      <c r="ED27" s="69"/>
      <c r="EE27" s="69"/>
      <c r="EF27" s="69"/>
      <c r="EG27" s="69"/>
      <c r="EH27" s="69">
        <v>15</v>
      </c>
      <c r="EI27" s="84">
        <f>SUM(Tableau1[[#This Row],[Transports sur films]:[autres ]])</f>
        <v>0</v>
      </c>
      <c r="EJ27" s="132">
        <v>0</v>
      </c>
      <c r="EK27" s="132"/>
      <c r="EL27" s="68">
        <f t="shared" si="26"/>
        <v>2337</v>
      </c>
      <c r="EM27" s="65">
        <v>2337</v>
      </c>
      <c r="EN27" s="65">
        <v>0</v>
      </c>
      <c r="EO27" s="65"/>
      <c r="EP27" s="65"/>
      <c r="EQ27" s="65"/>
      <c r="ER27" s="65"/>
      <c r="ES27" s="65"/>
      <c r="ET27" s="68">
        <f t="shared" si="27"/>
        <v>3878</v>
      </c>
      <c r="EU27" s="65">
        <v>2686</v>
      </c>
      <c r="EV27" s="65"/>
      <c r="EW27" s="65"/>
      <c r="EX27" s="65">
        <v>1192</v>
      </c>
      <c r="EY27" s="65"/>
      <c r="EZ27" s="68">
        <f>SUM(Tableau1[[#This Row],[Frais sur CB]:[Services bancaires]])</f>
        <v>5144</v>
      </c>
      <c r="FA27" s="65">
        <v>1685</v>
      </c>
      <c r="FB27" s="131">
        <f>412+3047</f>
        <v>3459</v>
      </c>
      <c r="FC27" s="70">
        <f t="shared" si="28"/>
        <v>1698</v>
      </c>
      <c r="FD27" s="65">
        <v>1698</v>
      </c>
      <c r="FE27" s="71">
        <f t="shared" si="29"/>
        <v>6384</v>
      </c>
      <c r="FF27" s="72">
        <f t="shared" si="30"/>
        <v>1758</v>
      </c>
      <c r="FG27" s="65">
        <v>966</v>
      </c>
      <c r="FH27" s="65">
        <v>792</v>
      </c>
      <c r="FI27" s="65"/>
      <c r="FJ27" s="56">
        <f t="shared" si="31"/>
        <v>4626</v>
      </c>
      <c r="FK27" s="65">
        <v>3361</v>
      </c>
      <c r="FL27" s="65"/>
      <c r="FM27" s="65"/>
      <c r="FN27" s="65">
        <v>1265</v>
      </c>
      <c r="FO27" s="67">
        <f t="shared" si="32"/>
        <v>146178</v>
      </c>
      <c r="FP27" s="57">
        <v>113024</v>
      </c>
      <c r="FQ27" s="73">
        <v>33154</v>
      </c>
      <c r="FR27" s="73"/>
      <c r="FS27" s="71">
        <f t="shared" si="33"/>
        <v>81407</v>
      </c>
      <c r="FT27" s="91">
        <v>81407</v>
      </c>
      <c r="FU27" s="91"/>
      <c r="FV27" s="67">
        <f>SUM(Tableau1[[#This Row],[Droits d''auteurs SACEM + cotisations SACEM]:[Autres ou non préciés]])</f>
        <v>12677</v>
      </c>
      <c r="FW27" s="75">
        <f t="shared" si="34"/>
        <v>12211</v>
      </c>
      <c r="FX27" s="74">
        <v>11641</v>
      </c>
      <c r="FY27" s="74">
        <v>570</v>
      </c>
      <c r="FZ27" s="74"/>
      <c r="GA27" s="74">
        <v>466</v>
      </c>
      <c r="GB27" s="71">
        <f t="shared" si="35"/>
        <v>18787</v>
      </c>
      <c r="GC27" s="92">
        <v>18787</v>
      </c>
      <c r="GD27" s="92"/>
      <c r="GE27" s="67">
        <f t="shared" si="36"/>
        <v>656</v>
      </c>
      <c r="GF27" s="66">
        <v>656</v>
      </c>
      <c r="GG27" s="66"/>
      <c r="GH27" s="66"/>
      <c r="GI27" s="66"/>
      <c r="GJ27" s="77">
        <v>7704</v>
      </c>
    </row>
    <row r="28" spans="1:192" ht="18.75" x14ac:dyDescent="0.25">
      <c r="A28" s="89"/>
      <c r="B28" s="17"/>
      <c r="C28" s="50"/>
      <c r="D28" s="140"/>
      <c r="E28" s="51"/>
      <c r="F28" s="139"/>
      <c r="G28" s="49"/>
      <c r="H28" s="50"/>
      <c r="I28" s="122"/>
      <c r="J28" s="49"/>
      <c r="K28" s="50">
        <v>7</v>
      </c>
      <c r="L28" s="50"/>
      <c r="M28" s="90">
        <v>53</v>
      </c>
      <c r="N28" s="50"/>
      <c r="O28" s="50"/>
      <c r="P28" s="90"/>
      <c r="Q28" s="52">
        <f t="shared" si="0"/>
        <v>1003332</v>
      </c>
      <c r="R28" s="52">
        <f t="shared" si="1"/>
        <v>899771</v>
      </c>
      <c r="S28" s="53">
        <f t="shared" si="2"/>
        <v>835570</v>
      </c>
      <c r="T28" s="54">
        <f t="shared" si="3"/>
        <v>149773</v>
      </c>
      <c r="U28" s="115">
        <f>SUM(Tableau1[[#This Row],[Vente confiserie]:[Vente boisson]])</f>
        <v>143226</v>
      </c>
      <c r="V28" s="55">
        <f>13559+114885</f>
        <v>128444</v>
      </c>
      <c r="W28" s="55">
        <v>14782</v>
      </c>
      <c r="X28" s="135">
        <f>SUM(Tableau1[[#This Row],[Vente lunette]:[Location lunette]])</f>
        <v>6547</v>
      </c>
      <c r="Y28" s="55">
        <v>6547</v>
      </c>
      <c r="Z28" s="55"/>
      <c r="AA28" s="55"/>
      <c r="AB28" s="55"/>
      <c r="AC28" s="56">
        <f t="shared" si="38"/>
        <v>660716</v>
      </c>
      <c r="AD28" s="57">
        <v>660716</v>
      </c>
      <c r="AE28" s="57"/>
      <c r="AF28" s="57"/>
      <c r="AG28" s="57"/>
      <c r="AH28" s="57"/>
      <c r="AI28" s="57"/>
      <c r="AJ28" s="118">
        <f>(Tableau1[[#This Row],[Recette guichet ]]*1.1275177)-Tableau1[[#This Row],[Recette guichet ]]</f>
        <v>84252.984673200059</v>
      </c>
      <c r="AK28" s="57"/>
      <c r="AL28" s="56">
        <f t="shared" si="39"/>
        <v>25081</v>
      </c>
      <c r="AM28" s="58">
        <f>3524+5794</f>
        <v>9318</v>
      </c>
      <c r="AN28" s="58"/>
      <c r="AO28" s="58">
        <v>725</v>
      </c>
      <c r="AP28" s="115">
        <f t="shared" si="6"/>
        <v>11722</v>
      </c>
      <c r="AQ28" s="69"/>
      <c r="AR28" s="69"/>
      <c r="AS28" s="69">
        <v>11722</v>
      </c>
      <c r="AT28" s="69">
        <v>3316</v>
      </c>
      <c r="AU28" s="59">
        <f t="shared" si="7"/>
        <v>64201</v>
      </c>
      <c r="AV28" s="60">
        <f t="shared" si="8"/>
        <v>6795</v>
      </c>
      <c r="AW28" s="58"/>
      <c r="AX28" s="58">
        <v>5400</v>
      </c>
      <c r="AY28" s="58">
        <v>1395</v>
      </c>
      <c r="AZ28" s="60">
        <f t="shared" si="9"/>
        <v>2726</v>
      </c>
      <c r="BA28" s="58"/>
      <c r="BB28" s="58">
        <f>2680+46</f>
        <v>2726</v>
      </c>
      <c r="BC28" s="58"/>
      <c r="BD28" s="60">
        <f>SUM(Tableau1[[#This Row],[ticket/carte/abonnement périmé]:[Autres ou non précisé 5]])</f>
        <v>54680</v>
      </c>
      <c r="BE28" s="58"/>
      <c r="BF28" s="58">
        <v>54447</v>
      </c>
      <c r="BG28" s="58">
        <v>233</v>
      </c>
      <c r="BH28" s="61">
        <f t="shared" si="10"/>
        <v>0</v>
      </c>
      <c r="BI28" s="120"/>
      <c r="BJ28" s="120"/>
      <c r="BK28" s="62">
        <f t="shared" si="11"/>
        <v>103561</v>
      </c>
      <c r="BL28" s="120">
        <v>3679</v>
      </c>
      <c r="BM28" s="120"/>
      <c r="BN28" s="120"/>
      <c r="BO28" s="120"/>
      <c r="BP28" s="120">
        <v>99882</v>
      </c>
      <c r="BQ28" s="63"/>
      <c r="BR28" s="52">
        <f t="shared" si="12"/>
        <v>977694</v>
      </c>
      <c r="BS28" s="52">
        <f t="shared" si="13"/>
        <v>960599</v>
      </c>
      <c r="BT28" s="61">
        <f t="shared" si="14"/>
        <v>60184</v>
      </c>
      <c r="BU28" s="64">
        <f t="shared" si="15"/>
        <v>48093</v>
      </c>
      <c r="BV28" s="119">
        <f>SUM(Tableau1[[#This Row],[Achats confiserie]:[Achats boisson]])</f>
        <v>48093</v>
      </c>
      <c r="BW28" s="58">
        <f>512+3003+13902+9000</f>
        <v>26417</v>
      </c>
      <c r="BX28" s="69">
        <v>21676</v>
      </c>
      <c r="BY28" s="58"/>
      <c r="BZ28" s="56">
        <f t="shared" si="16"/>
        <v>7619</v>
      </c>
      <c r="CA28" s="66">
        <v>1618</v>
      </c>
      <c r="CB28" s="66">
        <v>6001</v>
      </c>
      <c r="CC28" s="56">
        <f t="shared" si="17"/>
        <v>4472</v>
      </c>
      <c r="CD28" s="55"/>
      <c r="CE28" s="65"/>
      <c r="CF28" s="55">
        <v>1019</v>
      </c>
      <c r="CG28" s="55">
        <v>3453</v>
      </c>
      <c r="CH28" s="67">
        <f t="shared" si="18"/>
        <v>638251</v>
      </c>
      <c r="CI28" s="68">
        <f t="shared" si="37"/>
        <v>339418</v>
      </c>
      <c r="CJ28" s="55">
        <v>27613</v>
      </c>
      <c r="CK28" s="55">
        <v>310343</v>
      </c>
      <c r="CL28" s="55">
        <v>1462</v>
      </c>
      <c r="CM28" s="55"/>
      <c r="CN28" s="55"/>
      <c r="CO28" s="68">
        <f t="shared" si="20"/>
        <v>95975</v>
      </c>
      <c r="CP28" s="75">
        <f>SUM(Tableau1[[#This Row],[Fourniture eau]:[Energie (non précisé)]])</f>
        <v>30603</v>
      </c>
      <c r="CQ28" s="55">
        <v>1168</v>
      </c>
      <c r="CR28" s="55"/>
      <c r="CS28" s="55"/>
      <c r="CT28" s="55">
        <v>29435</v>
      </c>
      <c r="CU28" s="55">
        <v>3427</v>
      </c>
      <c r="CV28" s="55">
        <v>61945</v>
      </c>
      <c r="CW28" s="55"/>
      <c r="CX28" s="68">
        <f>SUM(Tableau1[[#This Row],[Sous-traitance]:[Autres ou non précisé 12]])</f>
        <v>134635</v>
      </c>
      <c r="CY28" s="65"/>
      <c r="CZ28" s="65">
        <v>50000</v>
      </c>
      <c r="DA28" s="65">
        <f>62653+2324+1293+1701</f>
        <v>67971</v>
      </c>
      <c r="DB28" s="65">
        <v>642</v>
      </c>
      <c r="DC28" s="55">
        <f>16022</f>
        <v>16022</v>
      </c>
      <c r="DD28" s="68">
        <f t="shared" si="21"/>
        <v>23431</v>
      </c>
      <c r="DE28" s="55"/>
      <c r="DF28" s="65"/>
      <c r="DG28" s="65">
        <f>5162+18269</f>
        <v>23431</v>
      </c>
      <c r="DH28" s="65"/>
      <c r="DI28" s="68">
        <f>SUM(Tableau1[[#This Row],[Entretien et réparation matériel de projection]:[Autres ou non précisé 14]])</f>
        <v>0</v>
      </c>
      <c r="DJ28" s="58"/>
      <c r="DK28" s="58"/>
      <c r="DL28" s="69"/>
      <c r="DM28" s="68">
        <f t="shared" si="22"/>
        <v>21957</v>
      </c>
      <c r="DN28" s="58"/>
      <c r="DO28" s="58">
        <v>21957</v>
      </c>
      <c r="DP28" s="68">
        <f t="shared" si="23"/>
        <v>5957</v>
      </c>
      <c r="DQ28" s="65">
        <v>5957</v>
      </c>
      <c r="DR28" s="65"/>
      <c r="DS28" s="68">
        <f t="shared" si="24"/>
        <v>0</v>
      </c>
      <c r="DT28" s="65"/>
      <c r="DU28" s="65"/>
      <c r="DV28" s="65"/>
      <c r="DW28" s="68">
        <f>SUM(Tableau1[[#This Row],[Comission et courtage sur achats]:[Autres ou honoraires
 non précisé ]])</f>
        <v>7087</v>
      </c>
      <c r="DX28" s="57"/>
      <c r="DY28" s="57"/>
      <c r="DZ28" s="65">
        <v>5872</v>
      </c>
      <c r="EA28" s="65">
        <f>561+43</f>
        <v>604</v>
      </c>
      <c r="EB28" s="65">
        <f>211+400</f>
        <v>611</v>
      </c>
      <c r="EC28" s="68">
        <f t="shared" si="25"/>
        <v>363</v>
      </c>
      <c r="ED28" s="69"/>
      <c r="EE28" s="69">
        <v>200</v>
      </c>
      <c r="EF28" s="69"/>
      <c r="EG28" s="69"/>
      <c r="EH28" s="69">
        <v>163</v>
      </c>
      <c r="EI28" s="84">
        <f>SUM(Tableau1[[#This Row],[Transports sur films]:[autres ]])</f>
        <v>15</v>
      </c>
      <c r="EJ28" s="132">
        <v>15</v>
      </c>
      <c r="EK28" s="132"/>
      <c r="EL28" s="68">
        <f t="shared" si="26"/>
        <v>875</v>
      </c>
      <c r="EM28" s="65">
        <v>875</v>
      </c>
      <c r="EN28" s="65">
        <v>0</v>
      </c>
      <c r="EO28" s="65"/>
      <c r="EP28" s="65"/>
      <c r="EQ28" s="65"/>
      <c r="ER28" s="65"/>
      <c r="ES28" s="65"/>
      <c r="ET28" s="68">
        <f t="shared" si="27"/>
        <v>3439</v>
      </c>
      <c r="EU28" s="65">
        <v>2575</v>
      </c>
      <c r="EV28" s="65"/>
      <c r="EW28" s="65"/>
      <c r="EX28" s="65">
        <v>864</v>
      </c>
      <c r="EY28" s="65"/>
      <c r="EZ28" s="68">
        <f>SUM(Tableau1[[#This Row],[Frais sur CB]:[Services bancaires]])</f>
        <v>3323</v>
      </c>
      <c r="FA28" s="65">
        <v>1489</v>
      </c>
      <c r="FB28" s="131">
        <f>673+1161</f>
        <v>1834</v>
      </c>
      <c r="FC28" s="70">
        <f t="shared" si="28"/>
        <v>1776</v>
      </c>
      <c r="FD28" s="65">
        <v>1776</v>
      </c>
      <c r="FE28" s="71">
        <f t="shared" si="29"/>
        <v>6085</v>
      </c>
      <c r="FF28" s="72">
        <f t="shared" si="30"/>
        <v>2148</v>
      </c>
      <c r="FG28" s="65">
        <v>1262</v>
      </c>
      <c r="FH28" s="65">
        <v>886</v>
      </c>
      <c r="FI28" s="65"/>
      <c r="FJ28" s="56">
        <f t="shared" si="31"/>
        <v>3937</v>
      </c>
      <c r="FK28" s="65">
        <v>3578</v>
      </c>
      <c r="FL28" s="65"/>
      <c r="FM28" s="65"/>
      <c r="FN28" s="65">
        <v>359</v>
      </c>
      <c r="FO28" s="67">
        <f t="shared" si="32"/>
        <v>167356</v>
      </c>
      <c r="FP28" s="57">
        <v>128804</v>
      </c>
      <c r="FQ28" s="73">
        <v>38552</v>
      </c>
      <c r="FR28" s="73"/>
      <c r="FS28" s="71">
        <f t="shared" si="33"/>
        <v>75784</v>
      </c>
      <c r="FT28" s="91">
        <v>75784</v>
      </c>
      <c r="FU28" s="91"/>
      <c r="FV28" s="67">
        <f>SUM(Tableau1[[#This Row],[Droits d''auteurs SACEM + cotisations SACEM]:[Autres ou non préciés]])</f>
        <v>12939</v>
      </c>
      <c r="FW28" s="75">
        <f t="shared" si="34"/>
        <v>12875</v>
      </c>
      <c r="FX28" s="74">
        <v>12390</v>
      </c>
      <c r="FY28" s="74">
        <v>485</v>
      </c>
      <c r="FZ28" s="74"/>
      <c r="GA28" s="74">
        <v>64</v>
      </c>
      <c r="GB28" s="71">
        <f t="shared" si="35"/>
        <v>12616</v>
      </c>
      <c r="GC28" s="92">
        <v>12616</v>
      </c>
      <c r="GD28" s="92"/>
      <c r="GE28" s="67">
        <f t="shared" si="36"/>
        <v>180</v>
      </c>
      <c r="GF28" s="66">
        <v>180</v>
      </c>
      <c r="GG28" s="66"/>
      <c r="GH28" s="66"/>
      <c r="GI28" s="66"/>
      <c r="GJ28" s="77">
        <v>4299</v>
      </c>
    </row>
    <row r="29" spans="1:192" ht="18.75" x14ac:dyDescent="0.25">
      <c r="A29" s="89"/>
      <c r="B29" s="17"/>
      <c r="C29" s="50"/>
      <c r="D29" s="140"/>
      <c r="E29" s="51"/>
      <c r="F29" s="139"/>
      <c r="G29" s="49"/>
      <c r="H29" s="50"/>
      <c r="I29" s="122"/>
      <c r="J29" s="49"/>
      <c r="K29" s="50">
        <v>2</v>
      </c>
      <c r="L29" s="50"/>
      <c r="M29" s="90">
        <v>53</v>
      </c>
      <c r="N29" s="50"/>
      <c r="O29" s="50"/>
      <c r="P29" s="90"/>
      <c r="Q29" s="52">
        <f t="shared" si="0"/>
        <v>216905.4</v>
      </c>
      <c r="R29" s="52">
        <f t="shared" si="1"/>
        <v>171489.9</v>
      </c>
      <c r="S29" s="53">
        <f t="shared" si="2"/>
        <v>162023.4</v>
      </c>
      <c r="T29" s="54">
        <f t="shared" si="3"/>
        <v>0</v>
      </c>
      <c r="U29" s="115">
        <f>SUM(Tableau1[[#This Row],[Vente confiserie]:[Vente boisson]])</f>
        <v>0</v>
      </c>
      <c r="V29" s="55"/>
      <c r="W29" s="55"/>
      <c r="X29" s="135">
        <f>SUM(Tableau1[[#This Row],[Vente lunette]:[Location lunette]])</f>
        <v>0</v>
      </c>
      <c r="Y29" s="55"/>
      <c r="Z29" s="55"/>
      <c r="AA29" s="55"/>
      <c r="AB29" s="55"/>
      <c r="AC29" s="56">
        <f t="shared" si="38"/>
        <v>159427</v>
      </c>
      <c r="AD29" s="57">
        <v>159427</v>
      </c>
      <c r="AE29" s="57"/>
      <c r="AF29" s="57"/>
      <c r="AG29" s="57"/>
      <c r="AH29" s="57"/>
      <c r="AI29" s="57"/>
      <c r="AJ29" s="118">
        <f>(Tableau1[[#This Row],[Recette guichet ]]*1.1275177)-Tableau1[[#This Row],[Recette guichet ]]</f>
        <v>20329.764357900014</v>
      </c>
      <c r="AK29" s="57"/>
      <c r="AL29" s="56">
        <f t="shared" si="39"/>
        <v>2596.4</v>
      </c>
      <c r="AM29" s="58"/>
      <c r="AN29" s="58"/>
      <c r="AO29" s="58"/>
      <c r="AP29" s="115">
        <f t="shared" si="6"/>
        <v>2348.9</v>
      </c>
      <c r="AQ29" s="69"/>
      <c r="AR29" s="69"/>
      <c r="AS29" s="69">
        <v>2348.9</v>
      </c>
      <c r="AT29" s="69">
        <f>495/2</f>
        <v>247.5</v>
      </c>
      <c r="AU29" s="59">
        <f t="shared" si="7"/>
        <v>9466.5</v>
      </c>
      <c r="AV29" s="60">
        <f t="shared" si="8"/>
        <v>8819</v>
      </c>
      <c r="AW29" s="58">
        <v>5000</v>
      </c>
      <c r="AX29" s="58">
        <v>3000</v>
      </c>
      <c r="AY29" s="58">
        <v>819</v>
      </c>
      <c r="AZ29" s="60">
        <f t="shared" si="9"/>
        <v>227.5</v>
      </c>
      <c r="BA29" s="58"/>
      <c r="BB29" s="58">
        <f>455/2</f>
        <v>227.5</v>
      </c>
      <c r="BC29" s="58"/>
      <c r="BD29" s="60">
        <f>SUM(Tableau1[[#This Row],[ticket/carte/abonnement périmé]:[Autres ou non précisé 5]])</f>
        <v>420</v>
      </c>
      <c r="BE29" s="58"/>
      <c r="BF29" s="58"/>
      <c r="BG29" s="58">
        <f>840/2</f>
        <v>420</v>
      </c>
      <c r="BH29" s="61">
        <f t="shared" si="10"/>
        <v>0</v>
      </c>
      <c r="BI29" s="120"/>
      <c r="BJ29" s="120"/>
      <c r="BK29" s="62">
        <f t="shared" si="11"/>
        <v>45415.5</v>
      </c>
      <c r="BL29" s="120">
        <f>53800/2+229/2</f>
        <v>27014.5</v>
      </c>
      <c r="BM29" s="120"/>
      <c r="BN29" s="120"/>
      <c r="BO29" s="120">
        <f>36802/2</f>
        <v>18401</v>
      </c>
      <c r="BP29" s="120"/>
      <c r="BQ29" s="63"/>
      <c r="BR29" s="52">
        <f t="shared" si="12"/>
        <v>190807.02000000002</v>
      </c>
      <c r="BS29" s="52">
        <f t="shared" si="13"/>
        <v>190807.02000000002</v>
      </c>
      <c r="BT29" s="61">
        <f t="shared" si="14"/>
        <v>0</v>
      </c>
      <c r="BU29" s="64">
        <f t="shared" si="15"/>
        <v>0</v>
      </c>
      <c r="BV29" s="119">
        <f>SUM(Tableau1[[#This Row],[Achats confiserie]:[Achats boisson]])</f>
        <v>0</v>
      </c>
      <c r="BW29" s="58"/>
      <c r="BX29" s="69"/>
      <c r="BY29" s="58"/>
      <c r="BZ29" s="56">
        <f t="shared" si="16"/>
        <v>0</v>
      </c>
      <c r="CA29" s="66"/>
      <c r="CB29" s="66"/>
      <c r="CC29" s="56">
        <f t="shared" si="17"/>
        <v>0</v>
      </c>
      <c r="CD29" s="55"/>
      <c r="CE29" s="65"/>
      <c r="CF29" s="55"/>
      <c r="CG29" s="55"/>
      <c r="CH29" s="67">
        <f t="shared" si="18"/>
        <v>106601.52</v>
      </c>
      <c r="CI29" s="68">
        <f t="shared" si="37"/>
        <v>77241</v>
      </c>
      <c r="CJ29" s="55"/>
      <c r="CK29" s="55">
        <v>77033</v>
      </c>
      <c r="CL29" s="55">
        <v>208</v>
      </c>
      <c r="CM29" s="55"/>
      <c r="CN29" s="55"/>
      <c r="CO29" s="68">
        <f t="shared" si="20"/>
        <v>11953.5</v>
      </c>
      <c r="CP29" s="75">
        <f>SUM(Tableau1[[#This Row],[Fourniture eau]:[Energie (non précisé)]])</f>
        <v>9290</v>
      </c>
      <c r="CQ29" s="55">
        <v>169</v>
      </c>
      <c r="CR29" s="55">
        <v>5439</v>
      </c>
      <c r="CS29" s="55">
        <v>3682</v>
      </c>
      <c r="CT29" s="55"/>
      <c r="CU29" s="55">
        <f>21.5+2125</f>
        <v>2146.5</v>
      </c>
      <c r="CV29" s="55">
        <v>517</v>
      </c>
      <c r="CW29" s="55"/>
      <c r="CX29" s="68">
        <f>SUM(Tableau1[[#This Row],[Sous-traitance]:[Autres ou non précisé 12]])</f>
        <v>218</v>
      </c>
      <c r="CY29" s="65"/>
      <c r="CZ29" s="65">
        <v>177</v>
      </c>
      <c r="DA29" s="65">
        <v>41</v>
      </c>
      <c r="DB29" s="65"/>
      <c r="DC29" s="55"/>
      <c r="DD29" s="68">
        <f t="shared" si="21"/>
        <v>455.52</v>
      </c>
      <c r="DE29" s="93"/>
      <c r="DF29" s="65"/>
      <c r="DG29" s="55">
        <v>455.52</v>
      </c>
      <c r="DH29" s="65"/>
      <c r="DI29" s="68">
        <f>SUM(Tableau1[[#This Row],[Entretien et réparation matériel de projection]:[Autres ou non précisé 14]])</f>
        <v>5389</v>
      </c>
      <c r="DJ29" s="58"/>
      <c r="DK29" s="58">
        <v>5283</v>
      </c>
      <c r="DL29" s="69">
        <v>106</v>
      </c>
      <c r="DM29" s="68">
        <f t="shared" si="22"/>
        <v>1621</v>
      </c>
      <c r="DN29" s="58"/>
      <c r="DO29" s="58">
        <v>1621</v>
      </c>
      <c r="DP29" s="68">
        <f t="shared" si="23"/>
        <v>2241.5</v>
      </c>
      <c r="DQ29" s="65">
        <v>2072</v>
      </c>
      <c r="DR29" s="65">
        <f>339/2</f>
        <v>169.5</v>
      </c>
      <c r="DS29" s="68">
        <f t="shared" si="24"/>
        <v>0</v>
      </c>
      <c r="DT29" s="65"/>
      <c r="DU29" s="65"/>
      <c r="DV29" s="65"/>
      <c r="DW29" s="68">
        <f>SUM(Tableau1[[#This Row],[Comission et courtage sur achats]:[Autres ou honoraires
 non précisé ]])</f>
        <v>0</v>
      </c>
      <c r="DX29" s="57"/>
      <c r="DY29" s="57"/>
      <c r="DZ29" s="65"/>
      <c r="EA29" s="65"/>
      <c r="EB29" s="65"/>
      <c r="EC29" s="68">
        <f t="shared" si="25"/>
        <v>117</v>
      </c>
      <c r="ED29" s="69"/>
      <c r="EE29" s="69"/>
      <c r="EF29" s="69">
        <v>65</v>
      </c>
      <c r="EG29" s="69"/>
      <c r="EH29" s="69">
        <f>52</f>
        <v>52</v>
      </c>
      <c r="EI29" s="84">
        <f>SUM(Tableau1[[#This Row],[Transports sur films]:[autres ]])</f>
        <v>125</v>
      </c>
      <c r="EJ29" s="132">
        <v>125</v>
      </c>
      <c r="EK29" s="132"/>
      <c r="EL29" s="68">
        <f t="shared" si="26"/>
        <v>5480</v>
      </c>
      <c r="EM29" s="65">
        <v>1976</v>
      </c>
      <c r="EN29" s="65">
        <v>69</v>
      </c>
      <c r="EO29" s="65"/>
      <c r="EP29" s="65"/>
      <c r="EQ29" s="65">
        <v>223</v>
      </c>
      <c r="ER29" s="65"/>
      <c r="ES29" s="65">
        <v>3212</v>
      </c>
      <c r="ET29" s="68">
        <f t="shared" si="27"/>
        <v>139</v>
      </c>
      <c r="EU29" s="65">
        <v>139</v>
      </c>
      <c r="EV29" s="65"/>
      <c r="EW29" s="65"/>
      <c r="EX29" s="65"/>
      <c r="EY29" s="65"/>
      <c r="EZ29" s="68">
        <f>SUM(Tableau1[[#This Row],[Frais sur CB]:[Services bancaires]])</f>
        <v>1016</v>
      </c>
      <c r="FA29" s="65"/>
      <c r="FB29" s="65">
        <v>1016</v>
      </c>
      <c r="FC29" s="70">
        <f t="shared" si="28"/>
        <v>605</v>
      </c>
      <c r="FD29" s="65">
        <v>605</v>
      </c>
      <c r="FE29" s="71">
        <f t="shared" si="29"/>
        <v>1131</v>
      </c>
      <c r="FF29" s="72">
        <f t="shared" si="30"/>
        <v>610</v>
      </c>
      <c r="FG29" s="65">
        <f>456/2+382</f>
        <v>610</v>
      </c>
      <c r="FH29" s="65"/>
      <c r="FI29" s="65"/>
      <c r="FJ29" s="56">
        <f t="shared" si="31"/>
        <v>521</v>
      </c>
      <c r="FK29" s="65"/>
      <c r="FL29" s="65">
        <v>229</v>
      </c>
      <c r="FM29" s="65">
        <v>292</v>
      </c>
      <c r="FN29" s="65"/>
      <c r="FO29" s="67">
        <f t="shared" si="32"/>
        <v>47092</v>
      </c>
      <c r="FP29" s="57">
        <v>40027</v>
      </c>
      <c r="FQ29" s="73">
        <v>7065</v>
      </c>
      <c r="FR29" s="73"/>
      <c r="FS29" s="71">
        <f t="shared" si="33"/>
        <v>33127</v>
      </c>
      <c r="FT29" s="91">
        <v>33127</v>
      </c>
      <c r="FU29" s="91"/>
      <c r="FV29" s="67">
        <f>SUM(Tableau1[[#This Row],[Droits d''auteurs SACEM + cotisations SACEM]:[Autres ou non préciés]])</f>
        <v>2855.5</v>
      </c>
      <c r="FW29" s="75">
        <f t="shared" si="34"/>
        <v>2740</v>
      </c>
      <c r="FX29" s="74">
        <v>2740</v>
      </c>
      <c r="FY29" s="74"/>
      <c r="FZ29" s="74"/>
      <c r="GA29" s="74">
        <f>165*0.7</f>
        <v>115.49999999999999</v>
      </c>
      <c r="GB29" s="71">
        <f t="shared" si="35"/>
        <v>0</v>
      </c>
      <c r="GC29" s="92"/>
      <c r="GD29" s="92"/>
      <c r="GE29" s="67">
        <f t="shared" si="36"/>
        <v>0</v>
      </c>
      <c r="GF29" s="66"/>
      <c r="GG29" s="66"/>
      <c r="GH29" s="66"/>
      <c r="GI29" s="66"/>
      <c r="GJ29" s="77"/>
    </row>
    <row r="30" spans="1:192" ht="18.600000000000001" customHeight="1" x14ac:dyDescent="0.25">
      <c r="A30" s="89"/>
      <c r="B30" s="17"/>
      <c r="C30" s="50"/>
      <c r="D30" s="140"/>
      <c r="E30" s="51"/>
      <c r="F30" s="139"/>
      <c r="G30" s="49"/>
      <c r="H30" s="50"/>
      <c r="I30" s="122"/>
      <c r="J30" s="49"/>
      <c r="K30" s="50">
        <v>2</v>
      </c>
      <c r="L30" s="50"/>
      <c r="M30" s="90">
        <v>53</v>
      </c>
      <c r="N30" s="50"/>
      <c r="O30" s="50"/>
      <c r="P30" s="90"/>
      <c r="Q30" s="52">
        <f t="shared" si="0"/>
        <v>172056.4</v>
      </c>
      <c r="R30" s="52">
        <f t="shared" si="1"/>
        <v>172056.4</v>
      </c>
      <c r="S30" s="53">
        <f t="shared" si="2"/>
        <v>168768</v>
      </c>
      <c r="T30" s="54">
        <f t="shared" si="3"/>
        <v>0</v>
      </c>
      <c r="U30" s="115">
        <f>SUM(Tableau1[[#This Row],[Vente confiserie]:[Vente boisson]])</f>
        <v>0</v>
      </c>
      <c r="V30" s="55"/>
      <c r="W30" s="55"/>
      <c r="X30" s="135">
        <f>SUM(Tableau1[[#This Row],[Vente lunette]:[Location lunette]])</f>
        <v>0</v>
      </c>
      <c r="Y30" s="55"/>
      <c r="Z30" s="55"/>
      <c r="AA30" s="55"/>
      <c r="AB30" s="55"/>
      <c r="AC30" s="56">
        <f t="shared" si="38"/>
        <v>167043</v>
      </c>
      <c r="AD30" s="57">
        <v>167043</v>
      </c>
      <c r="AE30" s="57"/>
      <c r="AF30" s="57"/>
      <c r="AG30" s="57"/>
      <c r="AH30" s="57"/>
      <c r="AI30" s="57"/>
      <c r="AJ30" s="118">
        <f>(Tableau1[[#This Row],[Recette guichet ]]*1.1275177)-Tableau1[[#This Row],[Recette guichet ]]</f>
        <v>21300.939161100017</v>
      </c>
      <c r="AK30" s="57"/>
      <c r="AL30" s="56">
        <f t="shared" si="39"/>
        <v>1725</v>
      </c>
      <c r="AM30" s="58"/>
      <c r="AN30" s="58"/>
      <c r="AO30" s="58">
        <v>150</v>
      </c>
      <c r="AP30" s="115">
        <f t="shared" si="6"/>
        <v>1575</v>
      </c>
      <c r="AQ30" s="69"/>
      <c r="AR30" s="69"/>
      <c r="AS30" s="69">
        <v>1575</v>
      </c>
      <c r="AT30" s="69"/>
      <c r="AU30" s="59">
        <f t="shared" si="7"/>
        <v>3288.4</v>
      </c>
      <c r="AV30" s="60">
        <f t="shared" si="8"/>
        <v>3226.9</v>
      </c>
      <c r="AW30" s="58"/>
      <c r="AX30" s="58">
        <v>4000</v>
      </c>
      <c r="AY30" s="58">
        <f>-1000+226.9</f>
        <v>-773.1</v>
      </c>
      <c r="AZ30" s="60">
        <f t="shared" si="9"/>
        <v>0</v>
      </c>
      <c r="BA30" s="58"/>
      <c r="BB30" s="58"/>
      <c r="BC30" s="58"/>
      <c r="BD30" s="60">
        <f>SUM(Tableau1[[#This Row],[ticket/carte/abonnement périmé]:[Autres ou non précisé 5]])</f>
        <v>61.5</v>
      </c>
      <c r="BE30" s="58"/>
      <c r="BF30" s="58"/>
      <c r="BG30" s="58">
        <f>123/2</f>
        <v>61.5</v>
      </c>
      <c r="BH30" s="61">
        <f t="shared" si="10"/>
        <v>0</v>
      </c>
      <c r="BI30" s="120"/>
      <c r="BJ30" s="120"/>
      <c r="BK30" s="62">
        <f t="shared" si="11"/>
        <v>0</v>
      </c>
      <c r="BL30" s="120"/>
      <c r="BM30" s="120"/>
      <c r="BN30" s="120"/>
      <c r="BO30" s="120"/>
      <c r="BP30" s="120"/>
      <c r="BQ30" s="63"/>
      <c r="BR30" s="52">
        <f t="shared" si="12"/>
        <v>179173.08</v>
      </c>
      <c r="BS30" s="52">
        <f t="shared" si="13"/>
        <v>179173.08</v>
      </c>
      <c r="BT30" s="61">
        <f t="shared" si="14"/>
        <v>0</v>
      </c>
      <c r="BU30" s="64">
        <f t="shared" si="15"/>
        <v>0</v>
      </c>
      <c r="BV30" s="119">
        <f>SUM(Tableau1[[#This Row],[Achats confiserie]:[Achats boisson]])</f>
        <v>0</v>
      </c>
      <c r="BW30" s="58"/>
      <c r="BX30" s="69"/>
      <c r="BY30" s="58"/>
      <c r="BZ30" s="56">
        <f t="shared" si="16"/>
        <v>0</v>
      </c>
      <c r="CA30" s="66"/>
      <c r="CB30" s="66"/>
      <c r="CC30" s="56">
        <f t="shared" si="17"/>
        <v>0</v>
      </c>
      <c r="CD30" s="55"/>
      <c r="CE30" s="65"/>
      <c r="CF30" s="55"/>
      <c r="CG30" s="55"/>
      <c r="CH30" s="67">
        <f t="shared" si="18"/>
        <v>95250.48</v>
      </c>
      <c r="CI30" s="68">
        <f t="shared" si="37"/>
        <v>67227</v>
      </c>
      <c r="CJ30" s="55"/>
      <c r="CK30" s="55">
        <v>63229</v>
      </c>
      <c r="CL30" s="55">
        <v>39</v>
      </c>
      <c r="CM30" s="55"/>
      <c r="CN30" s="55">
        <f>2500/2+2709</f>
        <v>3959</v>
      </c>
      <c r="CO30" s="68">
        <f t="shared" si="20"/>
        <v>9035.5</v>
      </c>
      <c r="CP30" s="75">
        <f>SUM(Tableau1[[#This Row],[Fourniture eau]:[Energie (non précisé)]])</f>
        <v>7572</v>
      </c>
      <c r="CQ30" s="55">
        <v>115</v>
      </c>
      <c r="CR30" s="55">
        <v>5410</v>
      </c>
      <c r="CS30" s="55">
        <v>2047</v>
      </c>
      <c r="CT30" s="55"/>
      <c r="CU30" s="55">
        <v>935</v>
      </c>
      <c r="CV30" s="55">
        <v>301</v>
      </c>
      <c r="CW30" s="55">
        <f>455/2</f>
        <v>227.5</v>
      </c>
      <c r="CX30" s="68">
        <f>SUM(Tableau1[[#This Row],[Sous-traitance]:[Autres ou non précisé 12]])</f>
        <v>343</v>
      </c>
      <c r="CY30" s="65"/>
      <c r="CZ30" s="65">
        <v>177</v>
      </c>
      <c r="DA30" s="65">
        <v>166</v>
      </c>
      <c r="DB30" s="65"/>
      <c r="DC30" s="55"/>
      <c r="DD30" s="68">
        <f t="shared" si="21"/>
        <v>-455.52</v>
      </c>
      <c r="DE30" s="93"/>
      <c r="DF30" s="65"/>
      <c r="DG30" s="55">
        <v>-455.52</v>
      </c>
      <c r="DH30" s="65"/>
      <c r="DI30" s="68">
        <f>SUM(Tableau1[[#This Row],[Entretien et réparation matériel de projection]:[Autres ou non précisé 14]])</f>
        <v>3241</v>
      </c>
      <c r="DJ30" s="58"/>
      <c r="DK30" s="58">
        <v>2039</v>
      </c>
      <c r="DL30" s="69">
        <v>1202</v>
      </c>
      <c r="DM30" s="68">
        <f t="shared" si="22"/>
        <v>5277</v>
      </c>
      <c r="DN30" s="58"/>
      <c r="DO30" s="58">
        <v>5277</v>
      </c>
      <c r="DP30" s="68">
        <f t="shared" si="23"/>
        <v>2275.5</v>
      </c>
      <c r="DQ30" s="65">
        <v>2106</v>
      </c>
      <c r="DR30" s="65">
        <f>339/2</f>
        <v>169.5</v>
      </c>
      <c r="DS30" s="68">
        <f t="shared" si="24"/>
        <v>0</v>
      </c>
      <c r="DT30" s="65"/>
      <c r="DU30" s="65"/>
      <c r="DV30" s="65"/>
      <c r="DW30" s="68">
        <f>SUM(Tableau1[[#This Row],[Comission et courtage sur achats]:[Autres ou honoraires
 non précisé ]])</f>
        <v>0</v>
      </c>
      <c r="DX30" s="57"/>
      <c r="DY30" s="57"/>
      <c r="DZ30" s="65"/>
      <c r="EA30" s="65"/>
      <c r="EB30" s="65"/>
      <c r="EC30" s="68">
        <f t="shared" si="25"/>
        <v>20</v>
      </c>
      <c r="ED30" s="69"/>
      <c r="EE30" s="69">
        <v>20</v>
      </c>
      <c r="EF30" s="69"/>
      <c r="EG30" s="69"/>
      <c r="EH30" s="69"/>
      <c r="EI30" s="84">
        <f>SUM(Tableau1[[#This Row],[Transports sur films]:[autres ]])</f>
        <v>166</v>
      </c>
      <c r="EJ30" s="132">
        <v>166</v>
      </c>
      <c r="EK30" s="132"/>
      <c r="EL30" s="68">
        <f t="shared" si="26"/>
        <v>6791</v>
      </c>
      <c r="EM30" s="65">
        <v>1948</v>
      </c>
      <c r="EN30" s="65">
        <v>221</v>
      </c>
      <c r="EO30" s="65"/>
      <c r="EP30" s="65"/>
      <c r="EQ30" s="65">
        <v>258</v>
      </c>
      <c r="ER30" s="65"/>
      <c r="ES30" s="65">
        <v>4364</v>
      </c>
      <c r="ET30" s="68">
        <f t="shared" si="27"/>
        <v>0</v>
      </c>
      <c r="EU30" s="65"/>
      <c r="EV30" s="65"/>
      <c r="EW30" s="65"/>
      <c r="EX30" s="65"/>
      <c r="EY30" s="65"/>
      <c r="EZ30" s="68">
        <f>SUM(Tableau1[[#This Row],[Frais sur CB]:[Services bancaires]])</f>
        <v>950</v>
      </c>
      <c r="FA30" s="65"/>
      <c r="FB30" s="55">
        <v>950</v>
      </c>
      <c r="FC30" s="70">
        <f t="shared" si="28"/>
        <v>380</v>
      </c>
      <c r="FD30" s="65">
        <v>380</v>
      </c>
      <c r="FE30" s="71">
        <f t="shared" si="29"/>
        <v>2050</v>
      </c>
      <c r="FF30" s="72">
        <f t="shared" si="30"/>
        <v>142</v>
      </c>
      <c r="FG30" s="93">
        <v>142</v>
      </c>
      <c r="FH30" s="65"/>
      <c r="FI30" s="65"/>
      <c r="FJ30" s="56">
        <f t="shared" si="31"/>
        <v>1908</v>
      </c>
      <c r="FK30" s="65"/>
      <c r="FL30" s="65">
        <v>231</v>
      </c>
      <c r="FM30" s="65">
        <v>369</v>
      </c>
      <c r="FN30" s="65">
        <v>1308</v>
      </c>
      <c r="FO30" s="67">
        <f t="shared" si="32"/>
        <v>44830</v>
      </c>
      <c r="FP30" s="57">
        <v>37901</v>
      </c>
      <c r="FQ30" s="73">
        <v>6929</v>
      </c>
      <c r="FR30" s="73"/>
      <c r="FS30" s="71">
        <f t="shared" si="33"/>
        <v>34440</v>
      </c>
      <c r="FT30" s="91">
        <v>34440</v>
      </c>
      <c r="FU30" s="91"/>
      <c r="FV30" s="67">
        <f>SUM(Tableau1[[#This Row],[Droits d''auteurs SACEM + cotisations SACEM]:[Autres ou non préciés]])</f>
        <v>2602.6</v>
      </c>
      <c r="FW30" s="75">
        <f t="shared" si="34"/>
        <v>2499</v>
      </c>
      <c r="FX30" s="74">
        <v>2499</v>
      </c>
      <c r="FY30" s="74"/>
      <c r="FZ30" s="74"/>
      <c r="GA30" s="74">
        <f>148*0.7</f>
        <v>103.6</v>
      </c>
      <c r="GB30" s="71">
        <f t="shared" si="35"/>
        <v>0</v>
      </c>
      <c r="GC30" s="92"/>
      <c r="GD30" s="92"/>
      <c r="GE30" s="67">
        <f t="shared" si="36"/>
        <v>0</v>
      </c>
      <c r="GF30" s="66"/>
      <c r="GG30" s="66"/>
      <c r="GH30" s="66"/>
      <c r="GI30" s="66"/>
      <c r="GJ30" s="77"/>
    </row>
    <row r="31" spans="1:192" ht="18.600000000000001" customHeight="1" x14ac:dyDescent="0.25">
      <c r="A31" s="89"/>
      <c r="B31" s="17"/>
      <c r="C31" s="50"/>
      <c r="D31" s="140"/>
      <c r="E31" s="51"/>
      <c r="F31" s="139"/>
      <c r="G31" s="49"/>
      <c r="H31" s="50"/>
      <c r="I31" s="122"/>
      <c r="J31" s="49"/>
      <c r="K31" s="50">
        <v>2</v>
      </c>
      <c r="L31" s="50"/>
      <c r="M31" s="90">
        <v>53</v>
      </c>
      <c r="N31" s="50"/>
      <c r="O31" s="50"/>
      <c r="P31" s="90"/>
      <c r="Q31" s="52">
        <f t="shared" si="0"/>
        <v>359407.22000000003</v>
      </c>
      <c r="R31" s="52">
        <f t="shared" si="1"/>
        <v>356532.22000000003</v>
      </c>
      <c r="S31" s="53">
        <f t="shared" si="2"/>
        <v>330284.42000000004</v>
      </c>
      <c r="T31" s="54">
        <f t="shared" si="3"/>
        <v>19436.769999999997</v>
      </c>
      <c r="U31" s="115">
        <f>SUM(Tableau1[[#This Row],[Vente confiserie]:[Vente boisson]])</f>
        <v>16907.599999999999</v>
      </c>
      <c r="V31" s="55">
        <v>14628</v>
      </c>
      <c r="W31" s="55">
        <v>2279.6</v>
      </c>
      <c r="X31" s="135">
        <f>SUM(Tableau1[[#This Row],[Vente lunette]:[Location lunette]])</f>
        <v>2529.17</v>
      </c>
      <c r="Y31" s="55">
        <v>2529.17</v>
      </c>
      <c r="Z31" s="55"/>
      <c r="AA31" s="55"/>
      <c r="AB31" s="55"/>
      <c r="AC31" s="56">
        <f t="shared" si="38"/>
        <v>300370.7</v>
      </c>
      <c r="AD31" s="57">
        <v>239154.7</v>
      </c>
      <c r="AE31" s="57"/>
      <c r="AF31" s="57"/>
      <c r="AG31" s="57"/>
      <c r="AH31" s="57"/>
      <c r="AI31" s="57">
        <v>61216</v>
      </c>
      <c r="AJ31" s="118">
        <f>(Tableau1[[#This Row],[Recette guichet ]]*1.1275177)-Tableau1[[#This Row],[Recette guichet ]]</f>
        <v>30496.457288190024</v>
      </c>
      <c r="AK31" s="57"/>
      <c r="AL31" s="56">
        <f t="shared" si="39"/>
        <v>10476.950000000001</v>
      </c>
      <c r="AM31" s="58"/>
      <c r="AN31" s="58">
        <f>3089+680.7</f>
        <v>3769.7</v>
      </c>
      <c r="AO31" s="58"/>
      <c r="AP31" s="115">
        <f t="shared" si="6"/>
        <v>6636</v>
      </c>
      <c r="AQ31" s="69"/>
      <c r="AR31" s="69"/>
      <c r="AS31" s="69">
        <v>6636</v>
      </c>
      <c r="AT31" s="69">
        <v>71.25</v>
      </c>
      <c r="AU31" s="59">
        <f t="shared" si="7"/>
        <v>26247.8</v>
      </c>
      <c r="AV31" s="60">
        <f t="shared" si="8"/>
        <v>26235.8</v>
      </c>
      <c r="AW31" s="58">
        <v>26235.8</v>
      </c>
      <c r="AX31" s="58"/>
      <c r="AY31" s="58"/>
      <c r="AZ31" s="60">
        <f t="shared" si="9"/>
        <v>0</v>
      </c>
      <c r="BA31" s="58"/>
      <c r="BB31" s="58"/>
      <c r="BC31" s="58"/>
      <c r="BD31" s="60">
        <f>SUM(Tableau1[[#This Row],[ticket/carte/abonnement périmé]:[Autres ou non précisé 5]])</f>
        <v>12</v>
      </c>
      <c r="BE31" s="58"/>
      <c r="BF31" s="58"/>
      <c r="BG31" s="58">
        <v>12</v>
      </c>
      <c r="BH31" s="61">
        <f t="shared" si="10"/>
        <v>1106</v>
      </c>
      <c r="BI31" s="120">
        <v>1106</v>
      </c>
      <c r="BJ31" s="120"/>
      <c r="BK31" s="62">
        <f t="shared" si="11"/>
        <v>1769</v>
      </c>
      <c r="BL31" s="120"/>
      <c r="BM31" s="120">
        <v>1769</v>
      </c>
      <c r="BN31" s="120"/>
      <c r="BO31" s="120"/>
      <c r="BP31" s="120"/>
      <c r="BQ31" s="63"/>
      <c r="BR31" s="52">
        <f t="shared" si="12"/>
        <v>280598.69999999995</v>
      </c>
      <c r="BS31" s="52">
        <f t="shared" si="13"/>
        <v>269984.69999999995</v>
      </c>
      <c r="BT31" s="61">
        <f t="shared" si="14"/>
        <v>8100.3</v>
      </c>
      <c r="BU31" s="64">
        <f t="shared" si="15"/>
        <v>6010.8</v>
      </c>
      <c r="BV31" s="119">
        <f>SUM(Tableau1[[#This Row],[Achats confiserie]:[Achats boisson]])</f>
        <v>6010.8</v>
      </c>
      <c r="BW31" s="58">
        <v>6010.8</v>
      </c>
      <c r="BX31" s="69"/>
      <c r="BY31" s="58"/>
      <c r="BZ31" s="56">
        <f t="shared" si="16"/>
        <v>2165.5</v>
      </c>
      <c r="CA31" s="66">
        <v>1813.5</v>
      </c>
      <c r="CB31" s="66">
        <v>352</v>
      </c>
      <c r="CC31" s="56">
        <f t="shared" si="17"/>
        <v>-76</v>
      </c>
      <c r="CD31" s="55"/>
      <c r="CE31" s="65"/>
      <c r="CF31" s="55"/>
      <c r="CG31" s="55">
        <v>-76</v>
      </c>
      <c r="CH31" s="67">
        <f t="shared" si="18"/>
        <v>194808.9</v>
      </c>
      <c r="CI31" s="68">
        <f t="shared" si="37"/>
        <v>129418</v>
      </c>
      <c r="CJ31" s="55"/>
      <c r="CK31" s="55">
        <v>129418</v>
      </c>
      <c r="CL31" s="55"/>
      <c r="CM31" s="55"/>
      <c r="CN31" s="55"/>
      <c r="CO31" s="68">
        <f t="shared" si="20"/>
        <v>14985</v>
      </c>
      <c r="CP31" s="75">
        <f>SUM(Tableau1[[#This Row],[Fourniture eau]:[Energie (non précisé)]])</f>
        <v>12124</v>
      </c>
      <c r="CQ31" s="55">
        <v>294</v>
      </c>
      <c r="CR31" s="55">
        <v>7302</v>
      </c>
      <c r="CS31" s="55">
        <v>4528</v>
      </c>
      <c r="CT31" s="55"/>
      <c r="CU31" s="55">
        <v>917</v>
      </c>
      <c r="CV31" s="55">
        <v>1944</v>
      </c>
      <c r="CW31" s="55"/>
      <c r="CX31" s="68">
        <f>SUM(Tableau1[[#This Row],[Sous-traitance]:[Autres ou non précisé 12]])</f>
        <v>4651</v>
      </c>
      <c r="CY31" s="65">
        <f>1500+1771</f>
        <v>3271</v>
      </c>
      <c r="CZ31" s="65">
        <v>1140</v>
      </c>
      <c r="DA31" s="65"/>
      <c r="DB31" s="65">
        <v>240</v>
      </c>
      <c r="DC31" s="55"/>
      <c r="DD31" s="68">
        <f t="shared" si="21"/>
        <v>9751</v>
      </c>
      <c r="DE31" s="93"/>
      <c r="DF31" s="65"/>
      <c r="DG31" s="55">
        <v>9751</v>
      </c>
      <c r="DH31" s="65"/>
      <c r="DI31" s="68">
        <f>SUM(Tableau1[[#This Row],[Entretien et réparation matériel de projection]:[Autres ou non précisé 14]])</f>
        <v>7946</v>
      </c>
      <c r="DJ31" s="58">
        <v>7946</v>
      </c>
      <c r="DK31" s="58"/>
      <c r="DL31" s="69"/>
      <c r="DM31" s="68">
        <f t="shared" si="22"/>
        <v>5770</v>
      </c>
      <c r="DN31" s="58"/>
      <c r="DO31" s="58">
        <v>5770</v>
      </c>
      <c r="DP31" s="68">
        <f t="shared" si="23"/>
        <v>3067</v>
      </c>
      <c r="DQ31" s="65">
        <f>1161+1072+146</f>
        <v>2379</v>
      </c>
      <c r="DR31" s="65">
        <v>688</v>
      </c>
      <c r="DS31" s="68">
        <f t="shared" si="24"/>
        <v>0</v>
      </c>
      <c r="DT31" s="65"/>
      <c r="DU31" s="65"/>
      <c r="DV31" s="65"/>
      <c r="DW31" s="68">
        <f>SUM(Tableau1[[#This Row],[Comission et courtage sur achats]:[Autres ou honoraires
 non précisé ]])</f>
        <v>7996</v>
      </c>
      <c r="DX31" s="57"/>
      <c r="DY31" s="57"/>
      <c r="DZ31" s="65"/>
      <c r="EA31" s="65">
        <v>621</v>
      </c>
      <c r="EB31" s="65">
        <v>7375</v>
      </c>
      <c r="EC31" s="68">
        <f t="shared" si="25"/>
        <v>366</v>
      </c>
      <c r="ED31" s="69"/>
      <c r="EE31" s="69">
        <v>126</v>
      </c>
      <c r="EF31" s="69"/>
      <c r="EG31" s="69"/>
      <c r="EH31" s="69">
        <f>200+40</f>
        <v>240</v>
      </c>
      <c r="EI31" s="84">
        <f>SUM(Tableau1[[#This Row],[Transports sur films]:[autres ]])</f>
        <v>1076</v>
      </c>
      <c r="EJ31" s="132">
        <v>1076</v>
      </c>
      <c r="EK31" s="132"/>
      <c r="EL31" s="68">
        <f t="shared" si="26"/>
        <v>5918.9</v>
      </c>
      <c r="EM31" s="65">
        <f>114+1638</f>
        <v>1752</v>
      </c>
      <c r="EN31" s="65">
        <v>2077.9</v>
      </c>
      <c r="EO31" s="65"/>
      <c r="EP31" s="65">
        <v>1004</v>
      </c>
      <c r="EQ31" s="65">
        <v>405</v>
      </c>
      <c r="ER31" s="65">
        <v>680</v>
      </c>
      <c r="ES31" s="65"/>
      <c r="ET31" s="68">
        <f t="shared" si="27"/>
        <v>1886</v>
      </c>
      <c r="EU31" s="65"/>
      <c r="EV31" s="65"/>
      <c r="EW31" s="65">
        <v>1886</v>
      </c>
      <c r="EX31" s="65"/>
      <c r="EY31" s="65"/>
      <c r="EZ31" s="68">
        <f>SUM(Tableau1[[#This Row],[Frais sur CB]:[Services bancaires]])</f>
        <v>1483</v>
      </c>
      <c r="FA31" s="65">
        <v>1483</v>
      </c>
      <c r="FB31" s="65"/>
      <c r="FC31" s="70">
        <f t="shared" si="28"/>
        <v>495</v>
      </c>
      <c r="FD31" s="65">
        <v>495</v>
      </c>
      <c r="FE31" s="71">
        <f t="shared" si="29"/>
        <v>3828.5</v>
      </c>
      <c r="FF31" s="72">
        <f t="shared" si="30"/>
        <v>489.5</v>
      </c>
      <c r="FG31" s="65">
        <v>295</v>
      </c>
      <c r="FH31" s="65">
        <v>194.5</v>
      </c>
      <c r="FI31" s="65"/>
      <c r="FJ31" s="56">
        <f t="shared" si="31"/>
        <v>3339</v>
      </c>
      <c r="FK31" s="65">
        <v>481</v>
      </c>
      <c r="FL31" s="65"/>
      <c r="FM31" s="65"/>
      <c r="FN31" s="55">
        <f>1479+1379</f>
        <v>2858</v>
      </c>
      <c r="FO31" s="67">
        <f t="shared" si="32"/>
        <v>56978</v>
      </c>
      <c r="FP31" s="57">
        <v>44313</v>
      </c>
      <c r="FQ31" s="73">
        <v>12665</v>
      </c>
      <c r="FR31" s="73"/>
      <c r="FS31" s="71">
        <f t="shared" si="33"/>
        <v>930</v>
      </c>
      <c r="FT31" s="91">
        <v>930</v>
      </c>
      <c r="FU31" s="91"/>
      <c r="FV31" s="67">
        <f>SUM(Tableau1[[#This Row],[Droits d''auteurs SACEM + cotisations SACEM]:[Autres ou non préciés]])</f>
        <v>5339</v>
      </c>
      <c r="FW31" s="75">
        <f t="shared" si="34"/>
        <v>5339</v>
      </c>
      <c r="FX31" s="74">
        <v>5339</v>
      </c>
      <c r="FY31" s="74"/>
      <c r="FZ31" s="74"/>
      <c r="GA31" s="74"/>
      <c r="GB31" s="71">
        <f t="shared" si="35"/>
        <v>0</v>
      </c>
      <c r="GC31" s="92"/>
      <c r="GD31" s="92"/>
      <c r="GE31" s="67">
        <f t="shared" si="36"/>
        <v>173</v>
      </c>
      <c r="GF31" s="66"/>
      <c r="GG31" s="66">
        <v>173</v>
      </c>
      <c r="GH31" s="66"/>
      <c r="GI31" s="66"/>
      <c r="GJ31" s="77">
        <v>10441</v>
      </c>
    </row>
    <row r="32" spans="1:192" ht="18.600000000000001" customHeight="1" x14ac:dyDescent="0.25">
      <c r="A32" s="89"/>
      <c r="B32" s="17"/>
      <c r="C32" s="50"/>
      <c r="D32" s="140"/>
      <c r="E32" s="51"/>
      <c r="F32" s="139"/>
      <c r="G32" s="49"/>
      <c r="H32" s="50"/>
      <c r="I32" s="122"/>
      <c r="J32" s="49"/>
      <c r="K32" s="50">
        <v>1</v>
      </c>
      <c r="L32" s="50"/>
      <c r="M32" s="90">
        <v>53</v>
      </c>
      <c r="N32" s="130"/>
      <c r="O32" s="50"/>
      <c r="P32" s="90"/>
      <c r="Q32" s="52">
        <f t="shared" si="0"/>
        <v>220625.46</v>
      </c>
      <c r="R32" s="52">
        <f t="shared" si="1"/>
        <v>202368.37</v>
      </c>
      <c r="S32" s="53">
        <f t="shared" si="2"/>
        <v>189477.91</v>
      </c>
      <c r="T32" s="54">
        <f t="shared" si="3"/>
        <v>5507.97</v>
      </c>
      <c r="U32" s="115">
        <f>SUM(Tableau1[[#This Row],[Vente confiserie]:[Vente boisson]])</f>
        <v>5032.97</v>
      </c>
      <c r="V32" s="55">
        <v>5032.97</v>
      </c>
      <c r="W32" s="55"/>
      <c r="X32" s="135">
        <f>SUM(Tableau1[[#This Row],[Vente lunette]:[Location lunette]])</f>
        <v>0</v>
      </c>
      <c r="Y32" s="55"/>
      <c r="Z32" s="55"/>
      <c r="AA32" s="55">
        <v>435</v>
      </c>
      <c r="AB32" s="55">
        <v>40</v>
      </c>
      <c r="AC32" s="56">
        <f t="shared" si="38"/>
        <v>176159.94</v>
      </c>
      <c r="AD32" s="57">
        <f>180976-18409</f>
        <v>162567</v>
      </c>
      <c r="AE32" s="57"/>
      <c r="AF32" s="57">
        <f>10354.94-1112</f>
        <v>9242.94</v>
      </c>
      <c r="AG32" s="57"/>
      <c r="AH32" s="57"/>
      <c r="AI32" s="57"/>
      <c r="AJ32" s="118">
        <f>(Tableau1[[#This Row],[Recette guichet ]]*1.1275177)-Tableau1[[#This Row],[Recette guichet ]]</f>
        <v>20730.169935900019</v>
      </c>
      <c r="AK32" s="57">
        <v>4350</v>
      </c>
      <c r="AL32" s="56">
        <f t="shared" si="39"/>
        <v>7810</v>
      </c>
      <c r="AM32" s="58"/>
      <c r="AN32" s="58"/>
      <c r="AO32" s="58">
        <v>650</v>
      </c>
      <c r="AP32" s="115">
        <f t="shared" si="6"/>
        <v>7160</v>
      </c>
      <c r="AQ32" s="69"/>
      <c r="AR32" s="69"/>
      <c r="AS32" s="69">
        <v>7160</v>
      </c>
      <c r="AT32" s="69"/>
      <c r="AU32" s="59">
        <f t="shared" si="7"/>
        <v>12890.46</v>
      </c>
      <c r="AV32" s="60">
        <f t="shared" si="8"/>
        <v>12373.4</v>
      </c>
      <c r="AW32" s="58">
        <v>12373.4</v>
      </c>
      <c r="AX32" s="58"/>
      <c r="AY32" s="58"/>
      <c r="AZ32" s="60">
        <f t="shared" si="9"/>
        <v>0</v>
      </c>
      <c r="BA32" s="58"/>
      <c r="BB32" s="58"/>
      <c r="BC32" s="58"/>
      <c r="BD32" s="60">
        <f>SUM(Tableau1[[#This Row],[ticket/carte/abonnement périmé]:[Autres ou non précisé 5]])</f>
        <v>517.05999999999995</v>
      </c>
      <c r="BE32" s="58"/>
      <c r="BF32" s="58"/>
      <c r="BG32" s="58">
        <f>82.06+435</f>
        <v>517.05999999999995</v>
      </c>
      <c r="BH32" s="61">
        <f t="shared" si="10"/>
        <v>3240.87</v>
      </c>
      <c r="BI32" s="120">
        <v>3240.87</v>
      </c>
      <c r="BJ32" s="120"/>
      <c r="BK32" s="62">
        <f t="shared" si="11"/>
        <v>15016.220000000001</v>
      </c>
      <c r="BL32" s="120"/>
      <c r="BM32" s="120"/>
      <c r="BN32" s="120"/>
      <c r="BO32" s="120">
        <v>6364.53</v>
      </c>
      <c r="BP32" s="120">
        <v>8651.69</v>
      </c>
      <c r="BQ32" s="63"/>
      <c r="BR32" s="52">
        <f t="shared" si="12"/>
        <v>197997.93000000002</v>
      </c>
      <c r="BS32" s="52">
        <f t="shared" si="13"/>
        <v>194842.93000000002</v>
      </c>
      <c r="BT32" s="61">
        <f t="shared" si="14"/>
        <v>3022.76</v>
      </c>
      <c r="BU32" s="64">
        <f t="shared" si="15"/>
        <v>3956.31</v>
      </c>
      <c r="BV32" s="119">
        <f>SUM(Tableau1[[#This Row],[Achats confiserie]:[Achats boisson]])</f>
        <v>3956.31</v>
      </c>
      <c r="BW32" s="58">
        <f>2312.56+1493.77</f>
        <v>3806.33</v>
      </c>
      <c r="BX32" s="69">
        <v>149.97999999999999</v>
      </c>
      <c r="BY32" s="58"/>
      <c r="BZ32" s="56">
        <f t="shared" si="16"/>
        <v>0</v>
      </c>
      <c r="CA32" s="66"/>
      <c r="CB32" s="66"/>
      <c r="CC32" s="56">
        <f t="shared" si="17"/>
        <v>-933.55</v>
      </c>
      <c r="CD32" s="55"/>
      <c r="CE32" s="65"/>
      <c r="CF32" s="55"/>
      <c r="CG32" s="55">
        <v>-933.55</v>
      </c>
      <c r="CH32" s="67">
        <f t="shared" si="18"/>
        <v>140231.04000000001</v>
      </c>
      <c r="CI32" s="68">
        <f t="shared" si="37"/>
        <v>76753.599999999991</v>
      </c>
      <c r="CJ32" s="55">
        <v>5046.5600000000004</v>
      </c>
      <c r="CK32" s="55">
        <v>71707.039999999994</v>
      </c>
      <c r="CL32" s="55"/>
      <c r="CM32" s="55"/>
      <c r="CN32" s="55"/>
      <c r="CO32" s="68">
        <f t="shared" si="20"/>
        <v>14571.12</v>
      </c>
      <c r="CP32" s="75">
        <f>SUM(Tableau1[[#This Row],[Fourniture eau]:[Energie (non précisé)]])</f>
        <v>10011.43</v>
      </c>
      <c r="CQ32" s="55">
        <v>296.14999999999998</v>
      </c>
      <c r="CR32" s="55">
        <v>5691.6</v>
      </c>
      <c r="CS32" s="55">
        <v>4023.68</v>
      </c>
      <c r="CT32" s="55"/>
      <c r="CU32" s="55">
        <f>675.78+179.37+921.7</f>
        <v>1776.85</v>
      </c>
      <c r="CV32" s="55">
        <v>2782.84</v>
      </c>
      <c r="CW32" s="55"/>
      <c r="CX32" s="68">
        <f>SUM(Tableau1[[#This Row],[Sous-traitance]:[Autres ou non précisé 12]])</f>
        <v>1198.79</v>
      </c>
      <c r="CY32" s="65"/>
      <c r="CZ32" s="65"/>
      <c r="DA32" s="65">
        <v>1198.79</v>
      </c>
      <c r="DB32" s="65"/>
      <c r="DC32" s="55"/>
      <c r="DD32" s="68">
        <f t="shared" si="21"/>
        <v>1143.8800000000001</v>
      </c>
      <c r="DE32" s="55"/>
      <c r="DF32" s="65"/>
      <c r="DG32" s="65">
        <f>760.15+383.73</f>
        <v>1143.8800000000001</v>
      </c>
      <c r="DH32" s="65"/>
      <c r="DI32" s="68">
        <f>SUM(Tableau1[[#This Row],[Entretien et réparation matériel de projection]:[Autres ou non précisé 14]])</f>
        <v>3846.1</v>
      </c>
      <c r="DJ32" s="58"/>
      <c r="DK32" s="58"/>
      <c r="DL32" s="69">
        <v>3846.1</v>
      </c>
      <c r="DM32" s="68">
        <f t="shared" si="22"/>
        <v>5432.44</v>
      </c>
      <c r="DN32" s="104"/>
      <c r="DO32" s="58">
        <v>5432.44</v>
      </c>
      <c r="DP32" s="68">
        <f t="shared" si="23"/>
        <v>2700.29</v>
      </c>
      <c r="DQ32" s="65">
        <v>2140.5100000000002</v>
      </c>
      <c r="DR32" s="65">
        <v>559.78</v>
      </c>
      <c r="DS32" s="68">
        <f t="shared" si="24"/>
        <v>9281.82</v>
      </c>
      <c r="DT32" s="65"/>
      <c r="DU32" s="65"/>
      <c r="DV32" s="55">
        <f>9131.82+150</f>
        <v>9281.82</v>
      </c>
      <c r="DW32" s="68">
        <f>SUM(Tableau1[[#This Row],[Comission et courtage sur achats]:[Autres ou honoraires
 non précisé ]])</f>
        <v>3500</v>
      </c>
      <c r="DX32" s="57"/>
      <c r="DY32" s="57"/>
      <c r="DZ32" s="65">
        <v>3500</v>
      </c>
      <c r="EA32" s="65"/>
      <c r="EB32" s="65"/>
      <c r="EC32" s="68">
        <f t="shared" si="25"/>
        <v>7329.41</v>
      </c>
      <c r="ED32" s="69">
        <v>3312.58</v>
      </c>
      <c r="EE32" s="69"/>
      <c r="EF32" s="69">
        <f>1837.52+408.1</f>
        <v>2245.62</v>
      </c>
      <c r="EG32" s="69"/>
      <c r="EH32" s="69">
        <f>1552.66+188.55+30</f>
        <v>1771.21</v>
      </c>
      <c r="EI32" s="84">
        <f>SUM(Tableau1[[#This Row],[Transports sur films]:[autres ]])</f>
        <v>4679.67</v>
      </c>
      <c r="EJ32" s="132">
        <v>4679.67</v>
      </c>
      <c r="EK32" s="132"/>
      <c r="EL32" s="68">
        <f t="shared" si="26"/>
        <v>3629.37</v>
      </c>
      <c r="EM32" s="65">
        <v>531.16999999999996</v>
      </c>
      <c r="EN32" s="65">
        <v>2633.2</v>
      </c>
      <c r="EO32" s="65">
        <v>465</v>
      </c>
      <c r="EP32" s="65"/>
      <c r="EQ32" s="65"/>
      <c r="ER32" s="65"/>
      <c r="ES32" s="93"/>
      <c r="ET32" s="68">
        <f t="shared" si="27"/>
        <v>3620.64</v>
      </c>
      <c r="EU32" s="65"/>
      <c r="EV32" s="65"/>
      <c r="EW32" s="65">
        <f>1825.9</f>
        <v>1825.9</v>
      </c>
      <c r="EX32" s="65"/>
      <c r="EY32" s="65">
        <f>1599.37+144.85+50.52</f>
        <v>1794.7399999999998</v>
      </c>
      <c r="EZ32" s="68">
        <f>SUM(Tableau1[[#This Row],[Frais sur CB]:[Services bancaires]])</f>
        <v>687.4</v>
      </c>
      <c r="FA32" s="65">
        <v>392.45</v>
      </c>
      <c r="FB32" s="65">
        <v>294.95</v>
      </c>
      <c r="FC32" s="70">
        <f t="shared" si="28"/>
        <v>1856.51</v>
      </c>
      <c r="FD32" s="65">
        <f>100+1756.51</f>
        <v>1856.51</v>
      </c>
      <c r="FE32" s="71">
        <f t="shared" si="29"/>
        <v>2358.09</v>
      </c>
      <c r="FF32" s="72">
        <f t="shared" si="30"/>
        <v>348.23</v>
      </c>
      <c r="FG32" s="65">
        <v>176.6</v>
      </c>
      <c r="FH32" s="65">
        <v>171.63</v>
      </c>
      <c r="FI32" s="65"/>
      <c r="FJ32" s="56">
        <f t="shared" si="31"/>
        <v>2009.8600000000001</v>
      </c>
      <c r="FK32" s="65">
        <v>474</v>
      </c>
      <c r="FL32" s="65">
        <v>1194</v>
      </c>
      <c r="FM32" s="65">
        <v>341.86</v>
      </c>
      <c r="FN32" s="65"/>
      <c r="FO32" s="67">
        <f t="shared" si="32"/>
        <v>32387.670000000002</v>
      </c>
      <c r="FP32" s="57">
        <v>27417.61</v>
      </c>
      <c r="FQ32" s="73">
        <v>4970.0600000000004</v>
      </c>
      <c r="FR32" s="73"/>
      <c r="FS32" s="71">
        <f t="shared" si="33"/>
        <v>13494.07</v>
      </c>
      <c r="FT32" s="91">
        <v>13494.07</v>
      </c>
      <c r="FU32" s="91"/>
      <c r="FV32" s="67">
        <f>SUM(Tableau1[[#This Row],[Droits d''auteurs SACEM + cotisations SACEM]:[Autres ou non préciés]])</f>
        <v>3349.3</v>
      </c>
      <c r="FW32" s="75">
        <f t="shared" si="34"/>
        <v>3005.08</v>
      </c>
      <c r="FX32" s="74">
        <v>2871.25</v>
      </c>
      <c r="FY32" s="74">
        <v>133.83000000000001</v>
      </c>
      <c r="FZ32" s="74"/>
      <c r="GA32" s="74">
        <v>344.22</v>
      </c>
      <c r="GB32" s="71">
        <f t="shared" si="35"/>
        <v>0</v>
      </c>
      <c r="GC32" s="92"/>
      <c r="GD32" s="92"/>
      <c r="GE32" s="67">
        <f t="shared" si="36"/>
        <v>0</v>
      </c>
      <c r="GF32" s="66"/>
      <c r="GG32" s="66"/>
      <c r="GH32" s="66"/>
      <c r="GI32" s="66"/>
      <c r="GJ32" s="77">
        <v>3155</v>
      </c>
    </row>
    <row r="33" spans="1:192" ht="18.600000000000001" customHeight="1" x14ac:dyDescent="0.25">
      <c r="A33" s="89"/>
      <c r="B33" s="17"/>
      <c r="C33" s="50"/>
      <c r="D33" s="140"/>
      <c r="E33" s="51"/>
      <c r="F33" s="139"/>
      <c r="G33" s="49"/>
      <c r="H33" s="50"/>
      <c r="I33" s="122"/>
      <c r="J33" s="49"/>
      <c r="K33" s="50">
        <v>1</v>
      </c>
      <c r="L33" s="50"/>
      <c r="M33" s="90">
        <v>53</v>
      </c>
      <c r="N33" s="50"/>
      <c r="O33" s="50"/>
      <c r="P33" s="90"/>
      <c r="Q33" s="52">
        <f t="shared" si="0"/>
        <v>224592.14</v>
      </c>
      <c r="R33" s="52">
        <f t="shared" si="1"/>
        <v>203787.27000000002</v>
      </c>
      <c r="S33" s="53">
        <f t="shared" si="2"/>
        <v>191148.73</v>
      </c>
      <c r="T33" s="54">
        <f t="shared" si="3"/>
        <v>5733.63</v>
      </c>
      <c r="U33" s="115">
        <f>SUM(Tableau1[[#This Row],[Vente confiserie]:[Vente boisson]])</f>
        <v>5232</v>
      </c>
      <c r="V33" s="55">
        <v>5232</v>
      </c>
      <c r="W33" s="55"/>
      <c r="X33" s="135">
        <f>SUM(Tableau1[[#This Row],[Vente lunette]:[Location lunette]])</f>
        <v>0</v>
      </c>
      <c r="Y33" s="55"/>
      <c r="Z33" s="55"/>
      <c r="AA33" s="55">
        <v>424.17</v>
      </c>
      <c r="AB33" s="55">
        <v>77.459999999999994</v>
      </c>
      <c r="AC33" s="56">
        <f t="shared" si="38"/>
        <v>176243.9</v>
      </c>
      <c r="AD33" s="57">
        <f>183305-19137</f>
        <v>164168</v>
      </c>
      <c r="AE33" s="57"/>
      <c r="AF33" s="57">
        <f>8456.9-797</f>
        <v>7659.9</v>
      </c>
      <c r="AG33" s="57"/>
      <c r="AH33" s="57"/>
      <c r="AI33" s="57"/>
      <c r="AJ33" s="118">
        <f>(Tableau1[[#This Row],[Recette guichet ]]*1.1275177)-Tableau1[[#This Row],[Recette guichet ]]</f>
        <v>20934.325773600023</v>
      </c>
      <c r="AK33" s="57">
        <v>4416</v>
      </c>
      <c r="AL33" s="56">
        <f t="shared" si="39"/>
        <v>9171.1999999999989</v>
      </c>
      <c r="AM33" s="58"/>
      <c r="AN33" s="58"/>
      <c r="AO33" s="58">
        <v>1016.64</v>
      </c>
      <c r="AP33" s="115">
        <f t="shared" si="6"/>
        <v>7737.5</v>
      </c>
      <c r="AQ33" s="69"/>
      <c r="AR33" s="69"/>
      <c r="AS33" s="69">
        <v>7737.5</v>
      </c>
      <c r="AT33" s="69">
        <v>417.06</v>
      </c>
      <c r="AU33" s="59">
        <f t="shared" si="7"/>
        <v>12638.54</v>
      </c>
      <c r="AV33" s="60">
        <f t="shared" si="8"/>
        <v>9981.5</v>
      </c>
      <c r="AW33" s="58">
        <v>9981.5</v>
      </c>
      <c r="AX33" s="58"/>
      <c r="AY33" s="58"/>
      <c r="AZ33" s="60">
        <f t="shared" si="9"/>
        <v>2034.04</v>
      </c>
      <c r="BA33" s="58"/>
      <c r="BB33" s="58">
        <f>1164.04+870</f>
        <v>2034.04</v>
      </c>
      <c r="BC33" s="58"/>
      <c r="BD33" s="60">
        <f>SUM(Tableau1[[#This Row],[ticket/carte/abonnement périmé]:[Autres ou non précisé 5]])</f>
        <v>623</v>
      </c>
      <c r="BE33" s="58"/>
      <c r="BF33" s="58"/>
      <c r="BG33" s="58">
        <f>148+475</f>
        <v>623</v>
      </c>
      <c r="BH33" s="61">
        <f t="shared" si="10"/>
        <v>3764.44</v>
      </c>
      <c r="BI33" s="120">
        <v>3764.44</v>
      </c>
      <c r="BJ33" s="120"/>
      <c r="BK33" s="62">
        <f t="shared" si="11"/>
        <v>17040.43</v>
      </c>
      <c r="BL33" s="120">
        <v>1266</v>
      </c>
      <c r="BM33" s="137"/>
      <c r="BN33" s="120"/>
      <c r="BO33" s="120">
        <v>7122.74</v>
      </c>
      <c r="BP33" s="120">
        <v>8651.69</v>
      </c>
      <c r="BQ33" s="63"/>
      <c r="BR33" s="52">
        <f t="shared" si="12"/>
        <v>208789.97000000003</v>
      </c>
      <c r="BS33" s="52">
        <f t="shared" si="13"/>
        <v>206300.58000000002</v>
      </c>
      <c r="BT33" s="61">
        <f t="shared" si="14"/>
        <v>3131.6000000000004</v>
      </c>
      <c r="BU33" s="64">
        <f t="shared" si="15"/>
        <v>2058.15</v>
      </c>
      <c r="BV33" s="119">
        <f>SUM(Tableau1[[#This Row],[Achats confiserie]:[Achats boisson]])</f>
        <v>2058.15</v>
      </c>
      <c r="BW33" s="58">
        <f>1211.67+633.15</f>
        <v>1844.8200000000002</v>
      </c>
      <c r="BX33" s="69">
        <v>213.33</v>
      </c>
      <c r="BY33" s="104"/>
      <c r="BZ33" s="56">
        <f t="shared" si="16"/>
        <v>0</v>
      </c>
      <c r="CA33" s="66"/>
      <c r="CB33" s="66"/>
      <c r="CC33" s="56">
        <f t="shared" si="17"/>
        <v>1073.45</v>
      </c>
      <c r="CD33" s="55"/>
      <c r="CE33" s="65"/>
      <c r="CF33" s="55"/>
      <c r="CG33" s="55">
        <v>1073.45</v>
      </c>
      <c r="CH33" s="67">
        <f t="shared" si="18"/>
        <v>146209.81000000003</v>
      </c>
      <c r="CI33" s="68">
        <f t="shared" si="37"/>
        <v>81431.100000000006</v>
      </c>
      <c r="CJ33" s="55">
        <v>5087.8500000000004</v>
      </c>
      <c r="CK33" s="55">
        <v>76016.45</v>
      </c>
      <c r="CL33" s="58">
        <v>326.8</v>
      </c>
      <c r="CM33" s="55"/>
      <c r="CN33" s="55"/>
      <c r="CO33" s="68">
        <f t="shared" si="20"/>
        <v>9355.0499999999993</v>
      </c>
      <c r="CP33" s="75">
        <f>SUM(Tableau1[[#This Row],[Fourniture eau]:[Energie (non précisé)]])</f>
        <v>7564.13</v>
      </c>
      <c r="CQ33" s="55">
        <v>315.31</v>
      </c>
      <c r="CR33" s="55">
        <v>3391.46</v>
      </c>
      <c r="CS33" s="55">
        <v>3857.36</v>
      </c>
      <c r="CT33" s="55"/>
      <c r="CU33" s="55">
        <f>276.2+321.46</f>
        <v>597.66</v>
      </c>
      <c r="CV33" s="55">
        <v>1193.26</v>
      </c>
      <c r="CW33" s="55"/>
      <c r="CX33" s="68">
        <f>SUM(Tableau1[[#This Row],[Sous-traitance]:[Autres ou non précisé 12]])</f>
        <v>1363.28</v>
      </c>
      <c r="CY33" s="65"/>
      <c r="CZ33" s="65"/>
      <c r="DA33" s="65">
        <f>1207.68+155.6</f>
        <v>1363.28</v>
      </c>
      <c r="DB33" s="65"/>
      <c r="DC33" s="55"/>
      <c r="DD33" s="68">
        <f t="shared" si="21"/>
        <v>1574.45</v>
      </c>
      <c r="DE33" s="55"/>
      <c r="DF33" s="65"/>
      <c r="DG33" s="65">
        <f>1095.29+479.16</f>
        <v>1574.45</v>
      </c>
      <c r="DH33" s="65"/>
      <c r="DI33" s="68">
        <f>SUM(Tableau1[[#This Row],[Entretien et réparation matériel de projection]:[Autres ou non précisé 14]])</f>
        <v>8102.08</v>
      </c>
      <c r="DJ33" s="58"/>
      <c r="DK33" s="58"/>
      <c r="DL33" s="69">
        <v>8102.08</v>
      </c>
      <c r="DM33" s="68">
        <f t="shared" si="22"/>
        <v>6275.41</v>
      </c>
      <c r="DN33" s="58"/>
      <c r="DO33" s="58">
        <v>6275.41</v>
      </c>
      <c r="DP33" s="68">
        <f t="shared" si="23"/>
        <v>2787.45</v>
      </c>
      <c r="DQ33" s="65">
        <v>2192.65</v>
      </c>
      <c r="DR33" s="65">
        <v>594.79999999999995</v>
      </c>
      <c r="DS33" s="68">
        <f t="shared" si="24"/>
        <v>9497.27</v>
      </c>
      <c r="DT33" s="65"/>
      <c r="DU33" s="65"/>
      <c r="DV33" s="65">
        <f>9057.27+440</f>
        <v>9497.27</v>
      </c>
      <c r="DW33" s="68">
        <f>SUM(Tableau1[[#This Row],[Comission et courtage sur achats]:[Autres ou honoraires
 non précisé ]])</f>
        <v>3764</v>
      </c>
      <c r="DX33" s="57"/>
      <c r="DY33" s="57">
        <v>164</v>
      </c>
      <c r="DZ33" s="65">
        <v>3600</v>
      </c>
      <c r="EA33" s="65"/>
      <c r="EB33" s="65"/>
      <c r="EC33" s="68">
        <f t="shared" si="25"/>
        <v>7601.5</v>
      </c>
      <c r="ED33" s="69">
        <v>3165.89</v>
      </c>
      <c r="EE33" s="69"/>
      <c r="EF33" s="69">
        <v>2761.53</v>
      </c>
      <c r="EG33" s="69"/>
      <c r="EH33" s="69">
        <f>1604.08+70</f>
        <v>1674.08</v>
      </c>
      <c r="EI33" s="84">
        <f>SUM(Tableau1[[#This Row],[Transports sur films]:[autres ]])</f>
        <v>3332.2</v>
      </c>
      <c r="EJ33" s="132">
        <v>3332.2</v>
      </c>
      <c r="EK33" s="132"/>
      <c r="EL33" s="68">
        <f t="shared" si="26"/>
        <v>6182.2400000000007</v>
      </c>
      <c r="EM33" s="65">
        <v>597.04999999999995</v>
      </c>
      <c r="EN33" s="65">
        <v>5420.1900000000005</v>
      </c>
      <c r="EO33" s="65">
        <v>165</v>
      </c>
      <c r="EP33" s="65"/>
      <c r="EQ33" s="65"/>
      <c r="ER33" s="65"/>
      <c r="ES33" s="93"/>
      <c r="ET33" s="68">
        <f t="shared" si="27"/>
        <v>2315.2799999999997</v>
      </c>
      <c r="EU33" s="65"/>
      <c r="EV33" s="65"/>
      <c r="EW33" s="65">
        <f>1775.58</f>
        <v>1775.58</v>
      </c>
      <c r="EX33" s="65"/>
      <c r="EY33" s="65">
        <v>539.70000000000005</v>
      </c>
      <c r="EZ33" s="68">
        <f>SUM(Tableau1[[#This Row],[Frais sur CB]:[Services bancaires]])</f>
        <v>752.5</v>
      </c>
      <c r="FA33" s="65">
        <v>451.4</v>
      </c>
      <c r="FB33" s="65">
        <v>301.10000000000002</v>
      </c>
      <c r="FC33" s="70">
        <f t="shared" si="28"/>
        <v>1876</v>
      </c>
      <c r="FD33" s="65">
        <v>1876</v>
      </c>
      <c r="FE33" s="71">
        <f t="shared" si="29"/>
        <v>2144.83</v>
      </c>
      <c r="FF33" s="72">
        <f t="shared" si="30"/>
        <v>509.87</v>
      </c>
      <c r="FG33" s="65">
        <v>312.99</v>
      </c>
      <c r="FH33" s="65">
        <v>196.88</v>
      </c>
      <c r="FI33" s="65"/>
      <c r="FJ33" s="56">
        <f t="shared" si="31"/>
        <v>1634.96</v>
      </c>
      <c r="FK33" s="65">
        <v>479</v>
      </c>
      <c r="FL33" s="65">
        <v>615</v>
      </c>
      <c r="FM33" s="65">
        <v>404.8</v>
      </c>
      <c r="FN33" s="65">
        <v>136.16</v>
      </c>
      <c r="FO33" s="67">
        <f t="shared" si="32"/>
        <v>36076.020000000004</v>
      </c>
      <c r="FP33" s="57">
        <v>29490.04</v>
      </c>
      <c r="FQ33" s="73">
        <v>6585.98</v>
      </c>
      <c r="FR33" s="73"/>
      <c r="FS33" s="71">
        <f t="shared" si="33"/>
        <v>15462.84</v>
      </c>
      <c r="FT33" s="91">
        <v>15462.84</v>
      </c>
      <c r="FU33" s="91"/>
      <c r="FV33" s="67">
        <f>SUM(Tableau1[[#This Row],[Droits d''auteurs SACEM + cotisations SACEM]:[Autres ou non préciés]])</f>
        <v>3275.48</v>
      </c>
      <c r="FW33" s="75">
        <f t="shared" si="34"/>
        <v>2995.19</v>
      </c>
      <c r="FX33" s="74">
        <v>2875.02</v>
      </c>
      <c r="FY33" s="74">
        <v>120.17</v>
      </c>
      <c r="FZ33" s="74"/>
      <c r="GA33" s="74">
        <v>280.29000000000002</v>
      </c>
      <c r="GB33" s="71">
        <f t="shared" si="35"/>
        <v>0</v>
      </c>
      <c r="GC33" s="92"/>
      <c r="GD33" s="92"/>
      <c r="GE33" s="67">
        <f t="shared" si="36"/>
        <v>649.39</v>
      </c>
      <c r="GF33" s="66">
        <v>148.63</v>
      </c>
      <c r="GG33" s="66">
        <v>500.76</v>
      </c>
      <c r="GH33" s="66"/>
      <c r="GI33" s="66"/>
      <c r="GJ33" s="77">
        <v>1840</v>
      </c>
    </row>
    <row r="34" spans="1:192" ht="18.600000000000001" customHeight="1" x14ac:dyDescent="0.25">
      <c r="A34" s="89"/>
      <c r="B34" s="17"/>
      <c r="C34" s="50"/>
      <c r="D34" s="140"/>
      <c r="E34" s="51"/>
      <c r="F34" s="139"/>
      <c r="G34" s="49"/>
      <c r="H34" s="50"/>
      <c r="I34" s="122"/>
      <c r="J34" s="49"/>
      <c r="K34" s="50">
        <v>1</v>
      </c>
      <c r="L34" s="50"/>
      <c r="M34" s="90">
        <v>53</v>
      </c>
      <c r="N34" s="50"/>
      <c r="O34" s="50"/>
      <c r="P34" s="90"/>
      <c r="Q34" s="52">
        <f t="shared" si="0"/>
        <v>225580</v>
      </c>
      <c r="R34" s="52">
        <f t="shared" si="1"/>
        <v>174919</v>
      </c>
      <c r="S34" s="53">
        <f t="shared" si="2"/>
        <v>140565</v>
      </c>
      <c r="T34" s="54">
        <f t="shared" si="3"/>
        <v>9755</v>
      </c>
      <c r="U34" s="115">
        <f>SUM(Tableau1[[#This Row],[Vente confiserie]:[Vente boisson]])</f>
        <v>8151</v>
      </c>
      <c r="V34" s="55">
        <v>8151</v>
      </c>
      <c r="W34" s="55"/>
      <c r="X34" s="135">
        <f>SUM(Tableau1[[#This Row],[Vente lunette]:[Location lunette]])</f>
        <v>860</v>
      </c>
      <c r="Y34" s="55"/>
      <c r="Z34" s="55">
        <v>860</v>
      </c>
      <c r="AA34" s="55">
        <v>744</v>
      </c>
      <c r="AB34" s="55"/>
      <c r="AC34" s="56">
        <f t="shared" si="38"/>
        <v>119091</v>
      </c>
      <c r="AD34" s="57">
        <v>113267</v>
      </c>
      <c r="AE34" s="57"/>
      <c r="AF34" s="57">
        <v>1353</v>
      </c>
      <c r="AG34" s="57"/>
      <c r="AH34" s="57"/>
      <c r="AI34" s="57"/>
      <c r="AJ34" s="118">
        <f>(Tableau1[[#This Row],[Recette guichet ]]*1.1275177)-Tableau1[[#This Row],[Recette guichet ]]</f>
        <v>14443.547325900014</v>
      </c>
      <c r="AK34" s="57">
        <v>4471</v>
      </c>
      <c r="AL34" s="56">
        <f t="shared" si="39"/>
        <v>11719</v>
      </c>
      <c r="AM34" s="58"/>
      <c r="AN34" s="58"/>
      <c r="AO34" s="58"/>
      <c r="AP34" s="115">
        <f t="shared" si="6"/>
        <v>0</v>
      </c>
      <c r="AQ34" s="69"/>
      <c r="AR34" s="69"/>
      <c r="AS34" s="69"/>
      <c r="AT34" s="69">
        <v>11719</v>
      </c>
      <c r="AU34" s="59">
        <f t="shared" si="7"/>
        <v>34354</v>
      </c>
      <c r="AV34" s="60">
        <f t="shared" si="8"/>
        <v>29123</v>
      </c>
      <c r="AW34" s="58">
        <f>4218+5000</f>
        <v>9218</v>
      </c>
      <c r="AX34" s="58">
        <v>6000</v>
      </c>
      <c r="AY34" s="58">
        <f>787+13118</f>
        <v>13905</v>
      </c>
      <c r="AZ34" s="60">
        <f t="shared" si="9"/>
        <v>0</v>
      </c>
      <c r="BA34" s="58"/>
      <c r="BB34" s="58"/>
      <c r="BC34" s="58"/>
      <c r="BD34" s="60">
        <f>SUM(Tableau1[[#This Row],[ticket/carte/abonnement périmé]:[Autres ou non précisé 5]])</f>
        <v>5231</v>
      </c>
      <c r="BE34" s="58"/>
      <c r="BF34" s="58">
        <f>4088</f>
        <v>4088</v>
      </c>
      <c r="BG34" s="58">
        <f>298+473+372</f>
        <v>1143</v>
      </c>
      <c r="BH34" s="61">
        <f t="shared" si="10"/>
        <v>1163</v>
      </c>
      <c r="BI34" s="120">
        <v>1163</v>
      </c>
      <c r="BJ34" s="120"/>
      <c r="BK34" s="62">
        <f t="shared" si="11"/>
        <v>49498</v>
      </c>
      <c r="BL34" s="120"/>
      <c r="BM34" s="120"/>
      <c r="BN34" s="120"/>
      <c r="BO34" s="120">
        <v>14772</v>
      </c>
      <c r="BP34" s="120">
        <f>49498-14772</f>
        <v>34726</v>
      </c>
      <c r="BQ34" s="63"/>
      <c r="BR34" s="52">
        <f t="shared" si="12"/>
        <v>195769</v>
      </c>
      <c r="BS34" s="52">
        <f t="shared" si="13"/>
        <v>175557</v>
      </c>
      <c r="BT34" s="61">
        <f t="shared" si="14"/>
        <v>3840</v>
      </c>
      <c r="BU34" s="64">
        <f t="shared" si="15"/>
        <v>3997</v>
      </c>
      <c r="BV34" s="119">
        <f>SUM(Tableau1[[#This Row],[Achats confiserie]:[Achats boisson]])</f>
        <v>3997</v>
      </c>
      <c r="BW34" s="58">
        <f>1869+1530+598</f>
        <v>3997</v>
      </c>
      <c r="BX34" s="69"/>
      <c r="BY34" s="58"/>
      <c r="BZ34" s="56">
        <f t="shared" si="16"/>
        <v>0</v>
      </c>
      <c r="CA34" s="66"/>
      <c r="CB34" s="66"/>
      <c r="CC34" s="56">
        <f t="shared" si="17"/>
        <v>-157</v>
      </c>
      <c r="CD34" s="55"/>
      <c r="CE34" s="65"/>
      <c r="CF34" s="55"/>
      <c r="CG34" s="55">
        <v>-157</v>
      </c>
      <c r="CH34" s="67">
        <f t="shared" si="18"/>
        <v>103736</v>
      </c>
      <c r="CI34" s="68">
        <f t="shared" si="37"/>
        <v>57829</v>
      </c>
      <c r="CJ34" s="55">
        <v>3734</v>
      </c>
      <c r="CK34" s="55">
        <v>53723</v>
      </c>
      <c r="CL34" s="55"/>
      <c r="CM34" s="55"/>
      <c r="CN34" s="55">
        <v>372</v>
      </c>
      <c r="CO34" s="68">
        <f t="shared" si="20"/>
        <v>8832</v>
      </c>
      <c r="CP34" s="75">
        <f>SUM(Tableau1[[#This Row],[Fourniture eau]:[Energie (non précisé)]])</f>
        <v>6958</v>
      </c>
      <c r="CQ34" s="55"/>
      <c r="CR34" s="55"/>
      <c r="CS34" s="55"/>
      <c r="CT34" s="55">
        <v>6958</v>
      </c>
      <c r="CU34" s="55">
        <v>824</v>
      </c>
      <c r="CV34" s="55">
        <v>1050</v>
      </c>
      <c r="CW34" s="55"/>
      <c r="CX34" s="68">
        <f>SUM(Tableau1[[#This Row],[Sous-traitance]:[Autres ou non précisé 12]])</f>
        <v>2152</v>
      </c>
      <c r="CY34" s="65"/>
      <c r="CZ34" s="65"/>
      <c r="DA34" s="65">
        <v>2152</v>
      </c>
      <c r="DB34" s="65"/>
      <c r="DC34" s="55"/>
      <c r="DD34" s="68">
        <f t="shared" si="21"/>
        <v>6258</v>
      </c>
      <c r="DE34" s="55"/>
      <c r="DF34" s="65"/>
      <c r="DG34" s="65">
        <v>2103</v>
      </c>
      <c r="DH34" s="65">
        <v>4155</v>
      </c>
      <c r="DI34" s="68">
        <f>SUM(Tableau1[[#This Row],[Entretien et réparation matériel de projection]:[Autres ou non précisé 14]])</f>
        <v>1446</v>
      </c>
      <c r="DJ34" s="58"/>
      <c r="DK34" s="58"/>
      <c r="DL34" s="69">
        <f>142+1304</f>
        <v>1446</v>
      </c>
      <c r="DM34" s="68">
        <f t="shared" si="22"/>
        <v>5967</v>
      </c>
      <c r="DN34" s="58"/>
      <c r="DO34" s="58">
        <f>4895+1072</f>
        <v>5967</v>
      </c>
      <c r="DP34" s="68">
        <f t="shared" si="23"/>
        <v>4051</v>
      </c>
      <c r="DQ34" s="65">
        <v>3692</v>
      </c>
      <c r="DR34" s="65">
        <v>359</v>
      </c>
      <c r="DS34" s="68">
        <f t="shared" si="24"/>
        <v>0</v>
      </c>
      <c r="DT34" s="65"/>
      <c r="DU34" s="65"/>
      <c r="DV34" s="65"/>
      <c r="DW34" s="68">
        <f>SUM(Tableau1[[#This Row],[Comission et courtage sur achats]:[Autres ou honoraires
 non précisé ]])</f>
        <v>4994</v>
      </c>
      <c r="DX34" s="57"/>
      <c r="DY34" s="57"/>
      <c r="DZ34" s="65">
        <v>4300</v>
      </c>
      <c r="EA34" s="65"/>
      <c r="EB34" s="65">
        <v>694</v>
      </c>
      <c r="EC34" s="68">
        <f t="shared" si="25"/>
        <v>2652</v>
      </c>
      <c r="ED34" s="69">
        <v>940</v>
      </c>
      <c r="EE34" s="69">
        <v>1712</v>
      </c>
      <c r="EF34" s="69"/>
      <c r="EG34" s="69"/>
      <c r="EH34" s="69"/>
      <c r="EI34" s="84">
        <f>SUM(Tableau1[[#This Row],[Transports sur films]:[autres ]])</f>
        <v>687</v>
      </c>
      <c r="EJ34" s="132">
        <v>687</v>
      </c>
      <c r="EK34" s="132"/>
      <c r="EL34" s="68">
        <f t="shared" si="26"/>
        <v>2373</v>
      </c>
      <c r="EM34" s="65">
        <v>733</v>
      </c>
      <c r="EN34" s="65">
        <v>1640</v>
      </c>
      <c r="EO34" s="65"/>
      <c r="EP34" s="65"/>
      <c r="EQ34" s="65"/>
      <c r="ER34" s="65"/>
      <c r="ES34" s="65"/>
      <c r="ET34" s="68">
        <f t="shared" si="27"/>
        <v>1378</v>
      </c>
      <c r="EU34" s="65">
        <v>845</v>
      </c>
      <c r="EV34" s="65"/>
      <c r="EW34" s="65"/>
      <c r="EX34" s="65">
        <v>533</v>
      </c>
      <c r="EY34" s="65"/>
      <c r="EZ34" s="68">
        <f>SUM(Tableau1[[#This Row],[Frais sur CB]:[Services bancaires]])</f>
        <v>594</v>
      </c>
      <c r="FA34" s="65">
        <v>594</v>
      </c>
      <c r="FB34" s="65"/>
      <c r="FC34" s="70">
        <f t="shared" si="28"/>
        <v>4523</v>
      </c>
      <c r="FD34" s="65">
        <f>669+3854</f>
        <v>4523</v>
      </c>
      <c r="FE34" s="71">
        <f t="shared" si="29"/>
        <v>1992</v>
      </c>
      <c r="FF34" s="72">
        <f t="shared" si="30"/>
        <v>185</v>
      </c>
      <c r="FG34" s="65">
        <v>172</v>
      </c>
      <c r="FH34" s="65">
        <v>13</v>
      </c>
      <c r="FI34" s="65"/>
      <c r="FJ34" s="56">
        <f t="shared" si="31"/>
        <v>1807</v>
      </c>
      <c r="FK34" s="65">
        <v>595</v>
      </c>
      <c r="FL34" s="55">
        <v>949</v>
      </c>
      <c r="FM34" s="65">
        <v>263</v>
      </c>
      <c r="FN34" s="65"/>
      <c r="FO34" s="67">
        <f t="shared" si="32"/>
        <v>25449</v>
      </c>
      <c r="FP34" s="57">
        <v>22171</v>
      </c>
      <c r="FQ34" s="73">
        <v>3278</v>
      </c>
      <c r="FR34" s="73"/>
      <c r="FS34" s="71">
        <f t="shared" si="33"/>
        <v>38347</v>
      </c>
      <c r="FT34" s="91">
        <v>38347</v>
      </c>
      <c r="FU34" s="91"/>
      <c r="FV34" s="67">
        <f>SUM(Tableau1[[#This Row],[Droits d''auteurs SACEM + cotisations SACEM]:[Autres ou non préciés]])</f>
        <v>2193</v>
      </c>
      <c r="FW34" s="75">
        <f t="shared" si="34"/>
        <v>2189</v>
      </c>
      <c r="FX34" s="74">
        <v>2189</v>
      </c>
      <c r="FY34" s="74"/>
      <c r="FZ34" s="74"/>
      <c r="GA34" s="74">
        <v>4</v>
      </c>
      <c r="GB34" s="71">
        <f t="shared" si="35"/>
        <v>276</v>
      </c>
      <c r="GC34" s="92">
        <v>276</v>
      </c>
      <c r="GD34" s="92"/>
      <c r="GE34" s="67">
        <f t="shared" si="36"/>
        <v>14772</v>
      </c>
      <c r="GF34" s="66"/>
      <c r="GG34" s="66"/>
      <c r="GH34" s="66"/>
      <c r="GI34" s="66">
        <v>14772</v>
      </c>
      <c r="GJ34" s="77">
        <v>5164</v>
      </c>
    </row>
    <row r="35" spans="1:192" ht="18.600000000000001" customHeight="1" x14ac:dyDescent="0.25">
      <c r="A35" s="89"/>
      <c r="B35" s="17"/>
      <c r="C35" s="50"/>
      <c r="D35" s="140"/>
      <c r="E35" s="51"/>
      <c r="F35" s="139"/>
      <c r="G35" s="49"/>
      <c r="H35" s="50"/>
      <c r="I35" s="122"/>
      <c r="J35" s="49"/>
      <c r="K35" s="50">
        <v>2</v>
      </c>
      <c r="L35" s="50"/>
      <c r="M35" s="90">
        <v>53</v>
      </c>
      <c r="N35" s="50"/>
      <c r="O35" s="50"/>
      <c r="P35" s="90"/>
      <c r="Q35" s="52">
        <f t="shared" si="0"/>
        <v>528740</v>
      </c>
      <c r="R35" s="52">
        <f t="shared" si="1"/>
        <v>506154</v>
      </c>
      <c r="S35" s="53">
        <f t="shared" si="2"/>
        <v>467872</v>
      </c>
      <c r="T35" s="54">
        <f t="shared" si="3"/>
        <v>45770</v>
      </c>
      <c r="U35" s="115">
        <f>SUM(Tableau1[[#This Row],[Vente confiserie]:[Vente boisson]])</f>
        <v>45770</v>
      </c>
      <c r="V35" s="55">
        <v>45770</v>
      </c>
      <c r="W35" s="55"/>
      <c r="X35" s="135">
        <f>SUM(Tableau1[[#This Row],[Vente lunette]:[Location lunette]])</f>
        <v>0</v>
      </c>
      <c r="Y35" s="55"/>
      <c r="Z35" s="55"/>
      <c r="AA35" s="55"/>
      <c r="AB35" s="55"/>
      <c r="AC35" s="56">
        <f t="shared" si="38"/>
        <v>396191</v>
      </c>
      <c r="AD35" s="57">
        <v>396191</v>
      </c>
      <c r="AE35" s="57"/>
      <c r="AF35" s="57"/>
      <c r="AG35" s="57"/>
      <c r="AH35" s="57"/>
      <c r="AI35" s="57"/>
      <c r="AJ35" s="118">
        <f>(Tableau1[[#This Row],[Recette guichet ]]*1.1275177)-Tableau1[[#This Row],[Recette guichet ]]</f>
        <v>50521.365080700023</v>
      </c>
      <c r="AK35" s="57"/>
      <c r="AL35" s="56">
        <f t="shared" si="39"/>
        <v>25911</v>
      </c>
      <c r="AM35" s="58">
        <v>5945</v>
      </c>
      <c r="AN35" s="58"/>
      <c r="AO35" s="58">
        <f>1092+1049</f>
        <v>2141</v>
      </c>
      <c r="AP35" s="115">
        <f t="shared" si="6"/>
        <v>17825</v>
      </c>
      <c r="AQ35" s="69"/>
      <c r="AR35" s="69"/>
      <c r="AS35" s="69">
        <v>17825</v>
      </c>
      <c r="AT35" s="69"/>
      <c r="AU35" s="59">
        <f t="shared" si="7"/>
        <v>38282</v>
      </c>
      <c r="AV35" s="60">
        <f t="shared" si="8"/>
        <v>5000</v>
      </c>
      <c r="AW35" s="58">
        <v>5000</v>
      </c>
      <c r="AX35" s="58"/>
      <c r="AY35" s="58"/>
      <c r="AZ35" s="60">
        <f t="shared" si="9"/>
        <v>4150</v>
      </c>
      <c r="BA35" s="58"/>
      <c r="BB35" s="58">
        <v>2626</v>
      </c>
      <c r="BC35" s="58">
        <v>1524</v>
      </c>
      <c r="BD35" s="60">
        <f>SUM(Tableau1[[#This Row],[ticket/carte/abonnement périmé]:[Autres ou non précisé 5]])</f>
        <v>29132</v>
      </c>
      <c r="BE35" s="15"/>
      <c r="BF35" s="58">
        <f>3166+25957</f>
        <v>29123</v>
      </c>
      <c r="BG35" s="58">
        <v>9</v>
      </c>
      <c r="BH35" s="61">
        <f t="shared" si="10"/>
        <v>621</v>
      </c>
      <c r="BI35" s="120">
        <v>609</v>
      </c>
      <c r="BJ35" s="120">
        <v>12</v>
      </c>
      <c r="BK35" s="62">
        <f t="shared" si="11"/>
        <v>21965</v>
      </c>
      <c r="BL35" s="120"/>
      <c r="BM35" s="120"/>
      <c r="BN35" s="120"/>
      <c r="BO35" s="120">
        <v>7863</v>
      </c>
      <c r="BP35" s="120">
        <v>14102</v>
      </c>
      <c r="BQ35" s="63"/>
      <c r="BR35" s="52">
        <f t="shared" si="12"/>
        <v>506575</v>
      </c>
      <c r="BS35" s="52">
        <f t="shared" si="13"/>
        <v>499046</v>
      </c>
      <c r="BT35" s="61">
        <f t="shared" si="14"/>
        <v>15211</v>
      </c>
      <c r="BU35" s="64">
        <f t="shared" si="15"/>
        <v>14543</v>
      </c>
      <c r="BV35" s="119">
        <f>SUM(Tableau1[[#This Row],[Achats confiserie]:[Achats boisson]])</f>
        <v>14270</v>
      </c>
      <c r="BW35" s="58">
        <f>8059+3946</f>
        <v>12005</v>
      </c>
      <c r="BX35" s="69">
        <v>2265</v>
      </c>
      <c r="BY35" s="58">
        <v>273</v>
      </c>
      <c r="BZ35" s="56">
        <f t="shared" si="16"/>
        <v>0</v>
      </c>
      <c r="CA35" s="66"/>
      <c r="CB35" s="66"/>
      <c r="CC35" s="56">
        <f t="shared" si="17"/>
        <v>668</v>
      </c>
      <c r="CD35" s="55"/>
      <c r="CE35" s="65"/>
      <c r="CF35" s="55"/>
      <c r="CG35" s="55">
        <v>668</v>
      </c>
      <c r="CH35" s="67">
        <f t="shared" si="18"/>
        <v>314436</v>
      </c>
      <c r="CI35" s="68">
        <f t="shared" si="37"/>
        <v>189336</v>
      </c>
      <c r="CJ35" s="55">
        <v>11484</v>
      </c>
      <c r="CK35" s="55">
        <v>175152</v>
      </c>
      <c r="CL35" s="55">
        <v>2700</v>
      </c>
      <c r="CM35" s="55"/>
      <c r="CN35" s="55"/>
      <c r="CO35" s="68">
        <f t="shared" si="20"/>
        <v>13875</v>
      </c>
      <c r="CP35" s="75">
        <f>SUM(Tableau1[[#This Row],[Fourniture eau]:[Energie (non précisé)]])</f>
        <v>8326</v>
      </c>
      <c r="CQ35" s="55">
        <v>298</v>
      </c>
      <c r="CR35" s="55">
        <v>8028</v>
      </c>
      <c r="CS35" s="55"/>
      <c r="CT35" s="55"/>
      <c r="CU35" s="55">
        <f>360+1330+204</f>
        <v>1894</v>
      </c>
      <c r="CV35" s="55">
        <f>2350+1305</f>
        <v>3655</v>
      </c>
      <c r="CW35" s="55"/>
      <c r="CX35" s="68">
        <f>SUM(Tableau1[[#This Row],[Sous-traitance]:[Autres ou non précisé 12]])</f>
        <v>33573</v>
      </c>
      <c r="CY35" s="65"/>
      <c r="CZ35" s="65">
        <v>24776</v>
      </c>
      <c r="DA35" s="65">
        <f>1200+1308</f>
        <v>2508</v>
      </c>
      <c r="DB35" s="65">
        <v>239</v>
      </c>
      <c r="DC35" s="55">
        <v>6050</v>
      </c>
      <c r="DD35" s="68">
        <f t="shared" si="21"/>
        <v>1232</v>
      </c>
      <c r="DE35" s="55">
        <v>1232</v>
      </c>
      <c r="DF35" s="65"/>
      <c r="DG35" s="65"/>
      <c r="DH35" s="65"/>
      <c r="DI35" s="68">
        <f>SUM(Tableau1[[#This Row],[Entretien et réparation matériel de projection]:[Autres ou non précisé 14]])</f>
        <v>8995</v>
      </c>
      <c r="DJ35" s="104"/>
      <c r="DK35" s="58"/>
      <c r="DL35" s="58">
        <v>8995</v>
      </c>
      <c r="DM35" s="68">
        <f t="shared" si="22"/>
        <v>3828</v>
      </c>
      <c r="DN35" s="58">
        <v>3589</v>
      </c>
      <c r="DO35" s="58">
        <v>239</v>
      </c>
      <c r="DP35" s="68">
        <f t="shared" si="23"/>
        <v>7007</v>
      </c>
      <c r="DQ35" s="65">
        <v>4214</v>
      </c>
      <c r="DR35" s="65">
        <f>1769+95+929</f>
        <v>2793</v>
      </c>
      <c r="DS35" s="68">
        <f t="shared" si="24"/>
        <v>7020</v>
      </c>
      <c r="DT35" s="65">
        <v>7020</v>
      </c>
      <c r="DU35" s="65"/>
      <c r="DV35" s="65"/>
      <c r="DW35" s="68">
        <f>SUM(Tableau1[[#This Row],[Comission et courtage sur achats]:[Autres ou honoraires
 non précisé ]])</f>
        <v>17414</v>
      </c>
      <c r="DX35" s="57"/>
      <c r="DY35" s="57"/>
      <c r="DZ35" s="65">
        <v>5852</v>
      </c>
      <c r="EA35" s="65"/>
      <c r="EB35" s="65">
        <f>11500+62</f>
        <v>11562</v>
      </c>
      <c r="EC35" s="68">
        <f t="shared" si="25"/>
        <v>2612</v>
      </c>
      <c r="ED35" s="69"/>
      <c r="EE35" s="69">
        <v>799</v>
      </c>
      <c r="EF35" s="69"/>
      <c r="EG35" s="69"/>
      <c r="EH35" s="69">
        <f>1721+92</f>
        <v>1813</v>
      </c>
      <c r="EI35" s="84">
        <f>SUM(Tableau1[[#This Row],[Transports sur films]:[autres ]])</f>
        <v>678</v>
      </c>
      <c r="EJ35" s="132">
        <v>678</v>
      </c>
      <c r="EK35" s="132"/>
      <c r="EL35" s="68">
        <f t="shared" si="26"/>
        <v>22658</v>
      </c>
      <c r="EM35" s="55">
        <f>899+8343+5402</f>
        <v>14644</v>
      </c>
      <c r="EN35" s="65">
        <v>2138</v>
      </c>
      <c r="EO35" s="65"/>
      <c r="EP35" s="65">
        <v>271</v>
      </c>
      <c r="EQ35" s="65">
        <v>1046</v>
      </c>
      <c r="ER35" s="65">
        <v>1153</v>
      </c>
      <c r="ES35" s="65">
        <f>209+4+2927+266</f>
        <v>3406</v>
      </c>
      <c r="ET35" s="68">
        <f t="shared" si="27"/>
        <v>2858</v>
      </c>
      <c r="EU35" s="55">
        <f>2579+34</f>
        <v>2613</v>
      </c>
      <c r="EV35" s="65"/>
      <c r="EW35" s="65"/>
      <c r="EX35" s="65">
        <v>245</v>
      </c>
      <c r="EY35" s="65"/>
      <c r="EZ35" s="68">
        <f>SUM(FA35:FB35)</f>
        <v>2318</v>
      </c>
      <c r="FA35" s="65">
        <v>1248</v>
      </c>
      <c r="FB35" s="65">
        <v>1070</v>
      </c>
      <c r="FC35" s="70">
        <f t="shared" si="28"/>
        <v>1032</v>
      </c>
      <c r="FD35" s="65">
        <v>1032</v>
      </c>
      <c r="FE35" s="71">
        <f t="shared" si="29"/>
        <v>2327</v>
      </c>
      <c r="FF35" s="72">
        <f t="shared" si="30"/>
        <v>1026</v>
      </c>
      <c r="FG35" s="65">
        <v>642</v>
      </c>
      <c r="FH35" s="65">
        <v>374</v>
      </c>
      <c r="FI35" s="65">
        <v>10</v>
      </c>
      <c r="FJ35" s="56">
        <f t="shared" si="31"/>
        <v>1301</v>
      </c>
      <c r="FK35" s="65">
        <v>105</v>
      </c>
      <c r="FL35" s="93"/>
      <c r="FM35" s="65">
        <v>924</v>
      </c>
      <c r="FN35" s="65">
        <v>272</v>
      </c>
      <c r="FO35" s="67">
        <f t="shared" si="32"/>
        <v>125900</v>
      </c>
      <c r="FP35" s="57">
        <v>91566</v>
      </c>
      <c r="FQ35" s="73">
        <v>34334</v>
      </c>
      <c r="FR35" s="73"/>
      <c r="FS35" s="71">
        <f t="shared" si="33"/>
        <v>33083</v>
      </c>
      <c r="FT35" s="91">
        <v>33083</v>
      </c>
      <c r="FU35" s="91"/>
      <c r="FV35" s="67">
        <f>SUM(Tableau1[[#This Row],[Droits d''auteurs SACEM + cotisations SACEM]:[Autres ou non préciés]])</f>
        <v>8089</v>
      </c>
      <c r="FW35" s="75">
        <f t="shared" si="34"/>
        <v>8056</v>
      </c>
      <c r="FX35" s="74">
        <v>0</v>
      </c>
      <c r="FY35" s="74"/>
      <c r="FZ35" s="74">
        <v>8056</v>
      </c>
      <c r="GA35" s="74">
        <v>33</v>
      </c>
      <c r="GB35" s="71">
        <f t="shared" si="35"/>
        <v>4156</v>
      </c>
      <c r="GC35" s="92">
        <v>4156</v>
      </c>
      <c r="GD35" s="92"/>
      <c r="GE35" s="67">
        <f t="shared" si="36"/>
        <v>0</v>
      </c>
      <c r="GF35" s="66"/>
      <c r="GG35" s="66"/>
      <c r="GH35" s="66"/>
      <c r="GI35" s="66"/>
      <c r="GJ35" s="77">
        <v>3373</v>
      </c>
    </row>
    <row r="36" spans="1:192" ht="18.600000000000001" customHeight="1" x14ac:dyDescent="0.25">
      <c r="A36" s="89"/>
      <c r="B36" s="17"/>
      <c r="C36" s="50"/>
      <c r="D36" s="140"/>
      <c r="E36" s="51"/>
      <c r="F36" s="139"/>
      <c r="G36" s="49"/>
      <c r="H36" s="50"/>
      <c r="I36" s="122"/>
      <c r="J36" s="49"/>
      <c r="K36" s="50">
        <v>2</v>
      </c>
      <c r="L36" s="50"/>
      <c r="M36" s="90">
        <v>53</v>
      </c>
      <c r="N36" s="50"/>
      <c r="O36" s="50"/>
      <c r="P36" s="90"/>
      <c r="Q36" s="52">
        <f t="shared" si="0"/>
        <v>567881</v>
      </c>
      <c r="R36" s="52">
        <f t="shared" si="1"/>
        <v>537553</v>
      </c>
      <c r="S36" s="53">
        <f t="shared" si="2"/>
        <v>500298</v>
      </c>
      <c r="T36" s="54">
        <f t="shared" si="3"/>
        <v>54824</v>
      </c>
      <c r="U36" s="115">
        <f>SUM(Tableau1[[#This Row],[Vente confiserie]:[Vente boisson]])</f>
        <v>54824</v>
      </c>
      <c r="V36" s="55">
        <v>54824</v>
      </c>
      <c r="W36" s="55"/>
      <c r="X36" s="135">
        <f>SUM(Tableau1[[#This Row],[Vente lunette]:[Location lunette]])</f>
        <v>0</v>
      </c>
      <c r="Y36" s="55"/>
      <c r="Z36" s="55"/>
      <c r="AA36" s="55"/>
      <c r="AB36" s="55"/>
      <c r="AC36" s="56">
        <f t="shared" si="38"/>
        <v>414620</v>
      </c>
      <c r="AD36" s="57">
        <f>411623+2997</f>
        <v>414620</v>
      </c>
      <c r="AE36" s="57"/>
      <c r="AF36" s="57"/>
      <c r="AG36" s="57"/>
      <c r="AH36" s="57"/>
      <c r="AI36" s="57"/>
      <c r="AJ36" s="118">
        <f>(Tableau1[[#This Row],[Recette guichet ]]*1.1275177)-Tableau1[[#This Row],[Recette guichet ]]</f>
        <v>52871.38877400005</v>
      </c>
      <c r="AK36" s="57"/>
      <c r="AL36" s="56">
        <f t="shared" si="39"/>
        <v>30854</v>
      </c>
      <c r="AM36" s="69">
        <f>6045+409</f>
        <v>6454</v>
      </c>
      <c r="AN36" s="58"/>
      <c r="AO36" s="58">
        <v>802</v>
      </c>
      <c r="AP36" s="115">
        <f t="shared" si="6"/>
        <v>23598</v>
      </c>
      <c r="AQ36" s="69"/>
      <c r="AR36" s="69"/>
      <c r="AS36" s="69">
        <f>21848+1750</f>
        <v>23598</v>
      </c>
      <c r="AT36" s="105"/>
      <c r="AU36" s="59">
        <f t="shared" si="7"/>
        <v>37255</v>
      </c>
      <c r="AV36" s="60">
        <f t="shared" si="8"/>
        <v>38772</v>
      </c>
      <c r="AW36" s="58">
        <v>38772</v>
      </c>
      <c r="AX36" s="58"/>
      <c r="AY36" s="58"/>
      <c r="AZ36" s="60">
        <f t="shared" si="9"/>
        <v>426</v>
      </c>
      <c r="BA36" s="58"/>
      <c r="BB36" s="58"/>
      <c r="BC36" s="58">
        <v>426</v>
      </c>
      <c r="BD36" s="60">
        <f>SUM(Tableau1[[#This Row],[ticket/carte/abonnement périmé]:[Autres ou non précisé 5]])</f>
        <v>-1943</v>
      </c>
      <c r="BE36" s="58"/>
      <c r="BF36" s="58">
        <v>-1943</v>
      </c>
      <c r="BG36" s="58"/>
      <c r="BH36" s="61">
        <f t="shared" si="10"/>
        <v>446</v>
      </c>
      <c r="BI36" s="120">
        <v>446</v>
      </c>
      <c r="BJ36" s="120"/>
      <c r="BK36" s="62">
        <f t="shared" si="11"/>
        <v>29882</v>
      </c>
      <c r="BL36" s="120"/>
      <c r="BM36" s="120"/>
      <c r="BN36" s="120"/>
      <c r="BO36" s="120">
        <v>12966</v>
      </c>
      <c r="BP36" s="120">
        <v>16916</v>
      </c>
      <c r="BQ36" s="63"/>
      <c r="BR36" s="52">
        <f t="shared" si="12"/>
        <v>542334</v>
      </c>
      <c r="BS36" s="52">
        <f t="shared" si="13"/>
        <v>530032</v>
      </c>
      <c r="BT36" s="61">
        <f t="shared" si="14"/>
        <v>17227</v>
      </c>
      <c r="BU36" s="64">
        <f t="shared" si="15"/>
        <v>17052</v>
      </c>
      <c r="BV36" s="119">
        <f>SUM(Tableau1[[#This Row],[Achats confiserie]:[Achats boisson]])</f>
        <v>17052</v>
      </c>
      <c r="BW36" s="58">
        <f>8855+5019</f>
        <v>13874</v>
      </c>
      <c r="BX36" s="69">
        <v>3178</v>
      </c>
      <c r="BY36" s="58"/>
      <c r="BZ36" s="56">
        <f t="shared" si="16"/>
        <v>0</v>
      </c>
      <c r="CA36" s="66"/>
      <c r="CB36" s="66"/>
      <c r="CC36" s="56">
        <f t="shared" si="17"/>
        <v>175</v>
      </c>
      <c r="CD36" s="55"/>
      <c r="CE36" s="65"/>
      <c r="CF36" s="55"/>
      <c r="CG36" s="55">
        <v>175</v>
      </c>
      <c r="CH36" s="67">
        <f t="shared" si="18"/>
        <v>336492</v>
      </c>
      <c r="CI36" s="68">
        <f t="shared" si="37"/>
        <v>201200</v>
      </c>
      <c r="CJ36" s="55">
        <v>12015</v>
      </c>
      <c r="CK36" s="55">
        <f>755+186831</f>
        <v>187586</v>
      </c>
      <c r="CL36" s="55">
        <v>1599</v>
      </c>
      <c r="CM36" s="55"/>
      <c r="CN36" s="55"/>
      <c r="CO36" s="68">
        <f t="shared" si="20"/>
        <v>16148</v>
      </c>
      <c r="CP36" s="75">
        <f>SUM(Tableau1[[#This Row],[Fourniture eau]:[Energie (non précisé)]])</f>
        <v>8318</v>
      </c>
      <c r="CQ36" s="55">
        <v>290</v>
      </c>
      <c r="CR36" s="55">
        <f>7380+648</f>
        <v>8028</v>
      </c>
      <c r="CS36" s="55"/>
      <c r="CT36" s="55"/>
      <c r="CU36" s="55">
        <f>756+2023+283</f>
        <v>3062</v>
      </c>
      <c r="CV36" s="55">
        <f>3236+1532</f>
        <v>4768</v>
      </c>
      <c r="CW36" s="55"/>
      <c r="CX36" s="68">
        <f>SUM(Tableau1[[#This Row],[Sous-traitance]:[Autres ou non précisé 12]])</f>
        <v>32953</v>
      </c>
      <c r="CY36" s="65"/>
      <c r="CZ36" s="65">
        <v>24859</v>
      </c>
      <c r="DA36" s="65">
        <f>1200+1308</f>
        <v>2508</v>
      </c>
      <c r="DB36" s="65">
        <v>238</v>
      </c>
      <c r="DC36" s="55">
        <v>5348</v>
      </c>
      <c r="DD36" s="68">
        <f t="shared" si="21"/>
        <v>182</v>
      </c>
      <c r="DE36" s="55">
        <v>182</v>
      </c>
      <c r="DF36" s="65"/>
      <c r="DG36" s="65"/>
      <c r="DH36" s="65"/>
      <c r="DI36" s="68">
        <f>SUM(Tableau1[[#This Row],[Entretien et réparation matériel de projection]:[Autres ou non précisé 14]])</f>
        <v>5250</v>
      </c>
      <c r="DJ36" s="58"/>
      <c r="DK36" s="58"/>
      <c r="DL36" s="69">
        <f>4501+749</f>
        <v>5250</v>
      </c>
      <c r="DM36" s="68">
        <f t="shared" si="22"/>
        <v>4347</v>
      </c>
      <c r="DN36" s="58">
        <v>3622</v>
      </c>
      <c r="DO36" s="58">
        <v>725</v>
      </c>
      <c r="DP36" s="68">
        <f t="shared" si="23"/>
        <v>7404</v>
      </c>
      <c r="DQ36" s="65">
        <v>4333</v>
      </c>
      <c r="DR36" s="65">
        <f>1796+90+156+1029</f>
        <v>3071</v>
      </c>
      <c r="DS36" s="68">
        <f t="shared" si="24"/>
        <v>11576</v>
      </c>
      <c r="DT36" s="65">
        <v>11576</v>
      </c>
      <c r="DU36" s="65"/>
      <c r="DV36" s="65"/>
      <c r="DW36" s="68">
        <f>SUM(Tableau1[[#This Row],[Comission et courtage sur achats]:[Autres ou honoraires
 non précisé ]])</f>
        <v>22058</v>
      </c>
      <c r="DX36" s="57"/>
      <c r="DY36" s="57"/>
      <c r="DZ36" s="65">
        <v>6367</v>
      </c>
      <c r="EA36" s="65"/>
      <c r="EB36" s="65">
        <f>15645+46</f>
        <v>15691</v>
      </c>
      <c r="EC36" s="68">
        <f t="shared" si="25"/>
        <v>2643</v>
      </c>
      <c r="ED36" s="69"/>
      <c r="EE36" s="69">
        <v>720</v>
      </c>
      <c r="EF36" s="69"/>
      <c r="EG36" s="69"/>
      <c r="EH36" s="69">
        <f>1723+200</f>
        <v>1923</v>
      </c>
      <c r="EI36" s="84">
        <f>SUM(Tableau1[[#This Row],[Transports sur films]:[autres ]])</f>
        <v>1048</v>
      </c>
      <c r="EJ36" s="132">
        <v>1048</v>
      </c>
      <c r="EK36" s="132"/>
      <c r="EL36" s="68">
        <f t="shared" si="26"/>
        <v>25490</v>
      </c>
      <c r="EM36" s="65">
        <f>1196+9932+6800</f>
        <v>17928</v>
      </c>
      <c r="EN36" s="65">
        <v>535</v>
      </c>
      <c r="EO36" s="65"/>
      <c r="EP36" s="65">
        <v>180</v>
      </c>
      <c r="EQ36" s="65">
        <v>1059</v>
      </c>
      <c r="ER36" s="65">
        <v>997</v>
      </c>
      <c r="ES36" s="65">
        <f>138+293+1086+2987+287</f>
        <v>4791</v>
      </c>
      <c r="ET36" s="68">
        <f t="shared" si="27"/>
        <v>2868</v>
      </c>
      <c r="EU36" s="65">
        <f>2490+151</f>
        <v>2641</v>
      </c>
      <c r="EV36" s="65"/>
      <c r="EW36" s="65"/>
      <c r="EX36" s="65">
        <v>227</v>
      </c>
      <c r="EY36" s="65"/>
      <c r="EZ36" s="68">
        <f>SUM(FA36:FB36)</f>
        <v>2335</v>
      </c>
      <c r="FA36" s="65">
        <v>1478</v>
      </c>
      <c r="FB36" s="65">
        <v>857</v>
      </c>
      <c r="FC36" s="70">
        <f t="shared" si="28"/>
        <v>990</v>
      </c>
      <c r="FD36" s="65">
        <v>990</v>
      </c>
      <c r="FE36" s="71">
        <f t="shared" si="29"/>
        <v>2140</v>
      </c>
      <c r="FF36" s="72">
        <f t="shared" si="30"/>
        <v>696</v>
      </c>
      <c r="FG36" s="65">
        <v>362</v>
      </c>
      <c r="FH36" s="65">
        <v>334</v>
      </c>
      <c r="FI36" s="65"/>
      <c r="FJ36" s="56">
        <f t="shared" si="31"/>
        <v>1444</v>
      </c>
      <c r="FK36" s="65">
        <v>105</v>
      </c>
      <c r="FL36" s="65"/>
      <c r="FM36" s="65">
        <v>932</v>
      </c>
      <c r="FN36" s="65">
        <v>407</v>
      </c>
      <c r="FO36" s="67">
        <f t="shared" si="32"/>
        <v>133485</v>
      </c>
      <c r="FP36" s="57">
        <v>97199</v>
      </c>
      <c r="FQ36" s="73">
        <v>36286</v>
      </c>
      <c r="FR36" s="73"/>
      <c r="FS36" s="71">
        <f t="shared" si="33"/>
        <v>32540</v>
      </c>
      <c r="FT36" s="91">
        <v>32540</v>
      </c>
      <c r="FU36" s="91"/>
      <c r="FV36" s="67">
        <f>SUM(Tableau1[[#This Row],[Droits d''auteurs SACEM + cotisations SACEM]:[Autres ou non préciés]])</f>
        <v>8148</v>
      </c>
      <c r="FW36" s="75">
        <f t="shared" si="34"/>
        <v>7191</v>
      </c>
      <c r="FX36" s="74">
        <v>0</v>
      </c>
      <c r="FY36" s="74"/>
      <c r="FZ36" s="74">
        <v>7191</v>
      </c>
      <c r="GA36" s="74">
        <v>957</v>
      </c>
      <c r="GB36" s="71">
        <f t="shared" si="35"/>
        <v>3213</v>
      </c>
      <c r="GC36" s="92">
        <v>3213</v>
      </c>
      <c r="GD36" s="92"/>
      <c r="GE36" s="67">
        <f t="shared" si="36"/>
        <v>5103</v>
      </c>
      <c r="GF36" s="66"/>
      <c r="GG36" s="66"/>
      <c r="GH36" s="66"/>
      <c r="GI36" s="66">
        <v>5103</v>
      </c>
      <c r="GJ36" s="77">
        <v>3986</v>
      </c>
    </row>
    <row r="37" spans="1:192" ht="18.600000000000001" customHeight="1" x14ac:dyDescent="0.25">
      <c r="A37" s="89"/>
      <c r="B37" s="17"/>
      <c r="C37" s="50"/>
      <c r="D37" s="140"/>
      <c r="E37" s="51"/>
      <c r="F37" s="139"/>
      <c r="G37" s="49"/>
      <c r="H37" s="50"/>
      <c r="I37" s="122"/>
      <c r="J37" s="49"/>
      <c r="K37" s="50">
        <v>2</v>
      </c>
      <c r="L37" s="50"/>
      <c r="M37" s="90">
        <v>53</v>
      </c>
      <c r="N37" s="50"/>
      <c r="O37" s="50"/>
      <c r="P37" s="90"/>
      <c r="Q37" s="52">
        <f t="shared" si="0"/>
        <v>573162</v>
      </c>
      <c r="R37" s="52">
        <f t="shared" si="1"/>
        <v>554925</v>
      </c>
      <c r="S37" s="53">
        <f t="shared" si="2"/>
        <v>512628</v>
      </c>
      <c r="T37" s="54">
        <f t="shared" si="3"/>
        <v>54086</v>
      </c>
      <c r="U37" s="115">
        <f>SUM(Tableau1[[#This Row],[Vente confiserie]:[Vente boisson]])</f>
        <v>54086</v>
      </c>
      <c r="V37" s="55">
        <f>61+54025</f>
        <v>54086</v>
      </c>
      <c r="W37" s="55"/>
      <c r="X37" s="135">
        <f>SUM(Tableau1[[#This Row],[Vente lunette]:[Location lunette]])</f>
        <v>0</v>
      </c>
      <c r="Y37" s="55"/>
      <c r="Z37" s="55"/>
      <c r="AA37" s="55"/>
      <c r="AB37" s="55"/>
      <c r="AC37" s="56">
        <f t="shared" si="38"/>
        <v>423687</v>
      </c>
      <c r="AD37" s="57">
        <v>418611</v>
      </c>
      <c r="AE37" s="57">
        <f>281+4229</f>
        <v>4510</v>
      </c>
      <c r="AF37" s="57"/>
      <c r="AG37" s="57"/>
      <c r="AH37" s="57"/>
      <c r="AI37" s="57"/>
      <c r="AJ37" s="118">
        <f>(Tableau1[[#This Row],[Recette guichet ]]*1.1275177)-Tableau1[[#This Row],[Recette guichet ]]</f>
        <v>53380.311914700025</v>
      </c>
      <c r="AK37" s="57">
        <v>566</v>
      </c>
      <c r="AL37" s="56">
        <f t="shared" si="39"/>
        <v>34855</v>
      </c>
      <c r="AM37" s="58">
        <f>6170+302</f>
        <v>6472</v>
      </c>
      <c r="AN37" s="58"/>
      <c r="AO37" s="58">
        <v>961</v>
      </c>
      <c r="AP37" s="115">
        <f t="shared" si="6"/>
        <v>27334</v>
      </c>
      <c r="AQ37" s="69"/>
      <c r="AR37" s="69"/>
      <c r="AS37" s="69">
        <f>3538+7568+9323+2028+994+2083+1800</f>
        <v>27334</v>
      </c>
      <c r="AT37" s="69">
        <v>88</v>
      </c>
      <c r="AU37" s="59">
        <f t="shared" si="7"/>
        <v>42297</v>
      </c>
      <c r="AV37" s="60">
        <f t="shared" si="8"/>
        <v>30891</v>
      </c>
      <c r="AW37" s="58">
        <v>30891</v>
      </c>
      <c r="AX37" s="58"/>
      <c r="AY37" s="58"/>
      <c r="AZ37" s="60">
        <f t="shared" si="9"/>
        <v>3777</v>
      </c>
      <c r="BA37" s="58"/>
      <c r="BB37" s="58"/>
      <c r="BC37" s="58">
        <v>3777</v>
      </c>
      <c r="BD37" s="60">
        <f>SUM(Tableau1[[#This Row],[ticket/carte/abonnement périmé]:[Autres ou non précisé 5]])</f>
        <v>7629</v>
      </c>
      <c r="BE37" s="58"/>
      <c r="BF37" s="58">
        <v>7629</v>
      </c>
      <c r="BG37" s="58"/>
      <c r="BH37" s="61">
        <f t="shared" si="10"/>
        <v>137</v>
      </c>
      <c r="BI37" s="120">
        <v>137</v>
      </c>
      <c r="BJ37" s="120"/>
      <c r="BK37" s="62">
        <f t="shared" si="11"/>
        <v>18100</v>
      </c>
      <c r="BL37" s="120">
        <v>381</v>
      </c>
      <c r="BM37" s="120"/>
      <c r="BN37" s="120"/>
      <c r="BO37" s="120">
        <v>10193</v>
      </c>
      <c r="BP37" s="120">
        <v>7526</v>
      </c>
      <c r="BQ37" s="63"/>
      <c r="BR37" s="52">
        <f t="shared" si="12"/>
        <v>561212</v>
      </c>
      <c r="BS37" s="52">
        <f t="shared" si="13"/>
        <v>553100</v>
      </c>
      <c r="BT37" s="61">
        <f t="shared" si="14"/>
        <v>17349</v>
      </c>
      <c r="BU37" s="64">
        <f t="shared" si="15"/>
        <v>17491</v>
      </c>
      <c r="BV37" s="119">
        <f>SUM(Tableau1[[#This Row],[Achats confiserie]:[Achats boisson]])</f>
        <v>17491</v>
      </c>
      <c r="BW37" s="58">
        <f>9753+4909</f>
        <v>14662</v>
      </c>
      <c r="BX37" s="69">
        <v>2829</v>
      </c>
      <c r="BY37" s="58"/>
      <c r="BZ37" s="56">
        <f t="shared" si="16"/>
        <v>273</v>
      </c>
      <c r="CA37" s="66">
        <v>273</v>
      </c>
      <c r="CB37" s="66"/>
      <c r="CC37" s="56">
        <f t="shared" si="17"/>
        <v>-415</v>
      </c>
      <c r="CD37" s="55"/>
      <c r="CE37" s="65"/>
      <c r="CF37" s="55"/>
      <c r="CG37" s="55">
        <v>-415</v>
      </c>
      <c r="CH37" s="67">
        <f t="shared" si="18"/>
        <v>355815</v>
      </c>
      <c r="CI37" s="68">
        <f t="shared" si="37"/>
        <v>208965</v>
      </c>
      <c r="CJ37" s="55">
        <v>12398</v>
      </c>
      <c r="CK37" s="55">
        <v>194439</v>
      </c>
      <c r="CL37" s="55">
        <v>2128</v>
      </c>
      <c r="CM37" s="55"/>
      <c r="CN37" s="55"/>
      <c r="CO37" s="68">
        <f t="shared" si="20"/>
        <v>13548</v>
      </c>
      <c r="CP37" s="75">
        <f>SUM(Tableau1[[#This Row],[Fourniture eau]:[Energie (non précisé)]])</f>
        <v>7902</v>
      </c>
      <c r="CQ37" s="55">
        <v>372</v>
      </c>
      <c r="CR37" s="55">
        <f>6795+735</f>
        <v>7530</v>
      </c>
      <c r="CS37" s="55"/>
      <c r="CT37" s="55"/>
      <c r="CU37" s="55">
        <f>457+1071+312+59</f>
        <v>1899</v>
      </c>
      <c r="CV37" s="55">
        <f>1932+1815</f>
        <v>3747</v>
      </c>
      <c r="CW37" s="55"/>
      <c r="CX37" s="68">
        <f>SUM(Tableau1[[#This Row],[Sous-traitance]:[Autres ou non précisé 12]])</f>
        <v>31852</v>
      </c>
      <c r="CY37" s="65"/>
      <c r="CZ37" s="65">
        <v>24859</v>
      </c>
      <c r="DA37" s="65">
        <f>1200+241+1308</f>
        <v>2749</v>
      </c>
      <c r="DB37" s="65"/>
      <c r="DC37" s="55">
        <v>4244</v>
      </c>
      <c r="DD37" s="68">
        <f t="shared" si="21"/>
        <v>1950</v>
      </c>
      <c r="DE37" s="55">
        <v>1950</v>
      </c>
      <c r="DF37" s="65"/>
      <c r="DG37" s="65"/>
      <c r="DH37" s="65"/>
      <c r="DI37" s="68">
        <f>SUM(Tableau1[[#This Row],[Entretien et réparation matériel de projection]:[Autres ou non précisé 14]])</f>
        <v>6528</v>
      </c>
      <c r="DJ37" s="58"/>
      <c r="DK37" s="58"/>
      <c r="DL37" s="69">
        <v>6528</v>
      </c>
      <c r="DM37" s="68">
        <f t="shared" si="22"/>
        <v>3943</v>
      </c>
      <c r="DN37" s="58">
        <v>3124</v>
      </c>
      <c r="DO37" s="58">
        <v>819</v>
      </c>
      <c r="DP37" s="68">
        <f t="shared" si="23"/>
        <v>7963</v>
      </c>
      <c r="DQ37" s="65">
        <v>4402</v>
      </c>
      <c r="DR37" s="65">
        <f>2763+196+452+150</f>
        <v>3561</v>
      </c>
      <c r="DS37" s="68">
        <f t="shared" si="24"/>
        <v>13715</v>
      </c>
      <c r="DT37" s="65">
        <v>13715</v>
      </c>
      <c r="DU37" s="65"/>
      <c r="DV37" s="65"/>
      <c r="DW37" s="68">
        <f>SUM(Tableau1[[#This Row],[Comission et courtage sur achats]:[Autres ou honoraires
 non précisé ]])</f>
        <v>28548</v>
      </c>
      <c r="DX37" s="57"/>
      <c r="DY37" s="57"/>
      <c r="DZ37" s="65">
        <v>7117</v>
      </c>
      <c r="EA37" s="65"/>
      <c r="EB37" s="65">
        <f>21140+291</f>
        <v>21431</v>
      </c>
      <c r="EC37" s="68">
        <f t="shared" si="25"/>
        <v>4455</v>
      </c>
      <c r="ED37" s="69"/>
      <c r="EE37" s="69">
        <v>1443</v>
      </c>
      <c r="EF37" s="69"/>
      <c r="EG37" s="69"/>
      <c r="EH37" s="69">
        <f>2482+530</f>
        <v>3012</v>
      </c>
      <c r="EI37" s="84">
        <f>SUM(Tableau1[[#This Row],[Transports sur films]:[autres ]])</f>
        <v>921</v>
      </c>
      <c r="EJ37" s="132">
        <v>921</v>
      </c>
      <c r="EK37" s="132"/>
      <c r="EL37" s="68">
        <f t="shared" si="26"/>
        <v>27213</v>
      </c>
      <c r="EM37" s="65">
        <f>1297+11106+6535</f>
        <v>18938</v>
      </c>
      <c r="EN37" s="65">
        <v>453</v>
      </c>
      <c r="EO37" s="65">
        <v>1379</v>
      </c>
      <c r="EP37" s="65"/>
      <c r="EQ37" s="65">
        <v>898</v>
      </c>
      <c r="ER37" s="65">
        <v>1211</v>
      </c>
      <c r="ES37" s="65">
        <f>244+411+3310+369</f>
        <v>4334</v>
      </c>
      <c r="ET37" s="68">
        <f t="shared" si="27"/>
        <v>3076</v>
      </c>
      <c r="EU37" s="65">
        <f>2519+202</f>
        <v>2721</v>
      </c>
      <c r="EV37" s="65"/>
      <c r="EW37" s="65"/>
      <c r="EX37" s="65">
        <v>355</v>
      </c>
      <c r="EY37" s="65"/>
      <c r="EZ37" s="68">
        <f>SUM(FA37:FB37)</f>
        <v>2286</v>
      </c>
      <c r="FA37" s="65">
        <v>1585</v>
      </c>
      <c r="FB37" s="65">
        <v>701</v>
      </c>
      <c r="FC37" s="70">
        <f t="shared" si="28"/>
        <v>852</v>
      </c>
      <c r="FD37" s="65">
        <v>852</v>
      </c>
      <c r="FE37" s="71">
        <f t="shared" si="29"/>
        <v>1947</v>
      </c>
      <c r="FF37" s="72">
        <f t="shared" si="30"/>
        <v>818</v>
      </c>
      <c r="FG37" s="65">
        <v>415</v>
      </c>
      <c r="FH37" s="65">
        <v>403</v>
      </c>
      <c r="FI37" s="65"/>
      <c r="FJ37" s="56">
        <f t="shared" si="31"/>
        <v>1129</v>
      </c>
      <c r="FK37" s="65">
        <v>107</v>
      </c>
      <c r="FL37" s="93"/>
      <c r="FM37" s="65">
        <v>953</v>
      </c>
      <c r="FN37" s="65">
        <v>69</v>
      </c>
      <c r="FO37" s="67">
        <f t="shared" si="32"/>
        <v>144039</v>
      </c>
      <c r="FP37" s="57">
        <v>103333</v>
      </c>
      <c r="FQ37" s="73">
        <v>40706</v>
      </c>
      <c r="FR37" s="73"/>
      <c r="FS37" s="71">
        <f t="shared" si="33"/>
        <v>25707</v>
      </c>
      <c r="FT37" s="66">
        <v>25707</v>
      </c>
      <c r="FU37" s="91"/>
      <c r="FV37" s="67">
        <f>SUM(Tableau1[[#This Row],[Droits d''auteurs SACEM + cotisations SACEM]:[Autres ou non préciés]])</f>
        <v>8243</v>
      </c>
      <c r="FW37" s="75">
        <f t="shared" si="34"/>
        <v>8243</v>
      </c>
      <c r="FX37" s="74">
        <v>0</v>
      </c>
      <c r="FY37" s="74"/>
      <c r="FZ37" s="74">
        <v>8243</v>
      </c>
      <c r="GA37" s="74"/>
      <c r="GB37" s="71">
        <f t="shared" si="35"/>
        <v>2261</v>
      </c>
      <c r="GC37" s="92">
        <f>2235+26</f>
        <v>2261</v>
      </c>
      <c r="GD37" s="92"/>
      <c r="GE37" s="67">
        <f t="shared" si="36"/>
        <v>4387</v>
      </c>
      <c r="GF37" s="66">
        <v>2057</v>
      </c>
      <c r="GG37" s="66"/>
      <c r="GH37" s="66"/>
      <c r="GI37" s="66">
        <v>2330</v>
      </c>
      <c r="GJ37" s="77">
        <v>1464</v>
      </c>
    </row>
    <row r="38" spans="1:192" ht="18.600000000000001" customHeight="1" x14ac:dyDescent="0.25">
      <c r="A38" s="89"/>
      <c r="B38" s="17"/>
      <c r="C38" s="50"/>
      <c r="D38" s="140"/>
      <c r="E38" s="51"/>
      <c r="F38" s="139"/>
      <c r="G38" s="49"/>
      <c r="H38" s="50"/>
      <c r="I38" s="122"/>
      <c r="J38" s="49"/>
      <c r="K38" s="50">
        <v>4</v>
      </c>
      <c r="L38" s="50"/>
      <c r="M38" s="90">
        <v>53</v>
      </c>
      <c r="N38" s="50"/>
      <c r="O38" s="50"/>
      <c r="P38" s="90"/>
      <c r="Q38" s="52">
        <f t="shared" si="0"/>
        <v>1406402</v>
      </c>
      <c r="R38" s="52">
        <f t="shared" si="1"/>
        <v>1291026</v>
      </c>
      <c r="S38" s="53">
        <f t="shared" si="2"/>
        <v>1168317</v>
      </c>
      <c r="T38" s="54">
        <f t="shared" si="3"/>
        <v>131261</v>
      </c>
      <c r="U38" s="115">
        <f>SUM(Tableau1[[#This Row],[Vente confiserie]:[Vente boisson]])</f>
        <v>131261</v>
      </c>
      <c r="V38" s="55">
        <f>21276+80149+29836</f>
        <v>131261</v>
      </c>
      <c r="W38" s="55"/>
      <c r="X38" s="135">
        <f>SUM(Tableau1[[#This Row],[Vente lunette]:[Location lunette]])</f>
        <v>0</v>
      </c>
      <c r="Y38" s="55"/>
      <c r="Z38" s="55"/>
      <c r="AA38" s="55"/>
      <c r="AB38" s="55"/>
      <c r="AC38" s="56">
        <f t="shared" si="38"/>
        <v>1034680</v>
      </c>
      <c r="AD38" s="57">
        <v>979837</v>
      </c>
      <c r="AE38" s="57"/>
      <c r="AF38" s="57"/>
      <c r="AG38" s="57"/>
      <c r="AH38" s="57"/>
      <c r="AI38" s="57"/>
      <c r="AJ38" s="118">
        <f>(Tableau1[[#This Row],[Recette guichet ]]*1.1275177)-Tableau1[[#This Row],[Recette guichet ]]</f>
        <v>124946.56061489997</v>
      </c>
      <c r="AK38" s="57">
        <f>34977+19866</f>
        <v>54843</v>
      </c>
      <c r="AL38" s="56">
        <f t="shared" si="39"/>
        <v>2376</v>
      </c>
      <c r="AM38" s="58"/>
      <c r="AN38" s="58"/>
      <c r="AO38" s="58">
        <v>2376</v>
      </c>
      <c r="AP38" s="115">
        <f t="shared" si="6"/>
        <v>0</v>
      </c>
      <c r="AQ38" s="69"/>
      <c r="AR38" s="69"/>
      <c r="AS38" s="69"/>
      <c r="AT38" s="69"/>
      <c r="AU38" s="59">
        <f t="shared" si="7"/>
        <v>122709</v>
      </c>
      <c r="AV38" s="60">
        <f t="shared" si="8"/>
        <v>103717</v>
      </c>
      <c r="AW38" s="58">
        <v>103717</v>
      </c>
      <c r="AX38" s="58"/>
      <c r="AY38" s="58"/>
      <c r="AZ38" s="60">
        <f t="shared" ref="AZ38:AZ54" si="40">SUM(BA38:BC38)</f>
        <v>116</v>
      </c>
      <c r="BA38" s="58"/>
      <c r="BB38" s="58">
        <v>116</v>
      </c>
      <c r="BC38" s="58"/>
      <c r="BD38" s="60">
        <f>SUM(Tableau1[[#This Row],[ticket/carte/abonnement périmé]:[Autres ou non précisé 5]])</f>
        <v>18876</v>
      </c>
      <c r="BE38" s="58">
        <v>18876</v>
      </c>
      <c r="BF38" s="58"/>
      <c r="BG38" s="58"/>
      <c r="BH38" s="61">
        <f t="shared" si="10"/>
        <v>3606</v>
      </c>
      <c r="BI38" s="120">
        <v>0</v>
      </c>
      <c r="BJ38" s="120">
        <v>3606</v>
      </c>
      <c r="BK38" s="62">
        <f t="shared" si="11"/>
        <v>111770</v>
      </c>
      <c r="BL38" s="120"/>
      <c r="BM38" s="120"/>
      <c r="BN38" s="120"/>
      <c r="BO38" s="120">
        <v>45582</v>
      </c>
      <c r="BP38" s="120">
        <v>66188</v>
      </c>
      <c r="BQ38" s="63"/>
      <c r="BR38" s="52">
        <f t="shared" si="12"/>
        <v>1393209</v>
      </c>
      <c r="BS38" s="52">
        <f t="shared" si="13"/>
        <v>1348948</v>
      </c>
      <c r="BT38" s="61">
        <f t="shared" si="14"/>
        <v>54951</v>
      </c>
      <c r="BU38" s="64">
        <f t="shared" si="15"/>
        <v>55664</v>
      </c>
      <c r="BV38" s="119">
        <f>SUM(Tableau1[[#This Row],[Achats confiserie]:[Achats boisson]])</f>
        <v>55664</v>
      </c>
      <c r="BW38" s="58">
        <v>55664</v>
      </c>
      <c r="BX38" s="69"/>
      <c r="BY38" s="58"/>
      <c r="BZ38" s="56">
        <f t="shared" si="16"/>
        <v>0</v>
      </c>
      <c r="CA38" s="66"/>
      <c r="CB38" s="66"/>
      <c r="CC38" s="56">
        <f t="shared" si="17"/>
        <v>-713</v>
      </c>
      <c r="CD38" s="55">
        <v>-713</v>
      </c>
      <c r="CE38" s="65"/>
      <c r="CF38" s="55"/>
      <c r="CG38" s="55"/>
      <c r="CH38" s="67">
        <f t="shared" si="18"/>
        <v>863537</v>
      </c>
      <c r="CI38" s="68">
        <f t="shared" si="37"/>
        <v>481691</v>
      </c>
      <c r="CJ38" s="55">
        <v>19309</v>
      </c>
      <c r="CK38" s="55">
        <v>461882</v>
      </c>
      <c r="CL38" s="55"/>
      <c r="CM38" s="55"/>
      <c r="CN38" s="55">
        <v>500</v>
      </c>
      <c r="CO38" s="68">
        <f t="shared" si="20"/>
        <v>84001</v>
      </c>
      <c r="CP38" s="75">
        <f>SUM(Tableau1[[#This Row],[Fourniture eau]:[Energie (non précisé)]])</f>
        <v>41629</v>
      </c>
      <c r="CQ38" s="55">
        <v>1686</v>
      </c>
      <c r="CR38" s="55">
        <v>37914</v>
      </c>
      <c r="CS38" s="55">
        <v>2029</v>
      </c>
      <c r="CT38" s="55"/>
      <c r="CU38" s="55">
        <v>30910</v>
      </c>
      <c r="CV38" s="55">
        <v>10081</v>
      </c>
      <c r="CW38" s="55">
        <v>1381</v>
      </c>
      <c r="CX38" s="68">
        <f>SUM(Tableau1[[#This Row],[Sous-traitance]:[Autres ou non précisé 12]])</f>
        <v>45012</v>
      </c>
      <c r="CY38" s="65">
        <v>18000</v>
      </c>
      <c r="CZ38" s="65">
        <f>5763+18335</f>
        <v>24098</v>
      </c>
      <c r="DA38" s="65">
        <f>1748</f>
        <v>1748</v>
      </c>
      <c r="DB38" s="65">
        <v>792</v>
      </c>
      <c r="DC38" s="55">
        <v>374</v>
      </c>
      <c r="DD38" s="68">
        <f t="shared" ref="DD38:DD54" si="41">SUM(DE38:DH38)</f>
        <v>73867</v>
      </c>
      <c r="DE38" s="55"/>
      <c r="DF38" s="65">
        <v>10456</v>
      </c>
      <c r="DG38" s="65"/>
      <c r="DH38" s="65">
        <v>63411</v>
      </c>
      <c r="DI38" s="68">
        <f>SUM(Tableau1[[#This Row],[Entretien et réparation matériel de projection]:[Autres ou non précisé 14]])</f>
        <v>0</v>
      </c>
      <c r="DJ38" s="58"/>
      <c r="DK38" s="58"/>
      <c r="DL38" s="58"/>
      <c r="DM38" s="68">
        <f t="shared" si="22"/>
        <v>14742</v>
      </c>
      <c r="DN38" s="58"/>
      <c r="DO38" s="58">
        <v>14742</v>
      </c>
      <c r="DP38" s="68">
        <f t="shared" si="23"/>
        <v>15859</v>
      </c>
      <c r="DQ38" s="65">
        <v>14805</v>
      </c>
      <c r="DR38" s="65">
        <v>1054</v>
      </c>
      <c r="DS38" s="68">
        <f t="shared" si="24"/>
        <v>46723</v>
      </c>
      <c r="DT38" s="65">
        <v>46723</v>
      </c>
      <c r="DU38" s="65"/>
      <c r="DV38" s="65"/>
      <c r="DW38" s="68">
        <f>SUM(Tableau1[[#This Row],[Comission et courtage sur achats]:[Autres ou honoraires
 non précisé ]])</f>
        <v>33092</v>
      </c>
      <c r="DX38" s="57"/>
      <c r="DY38" s="57"/>
      <c r="DZ38" s="65">
        <v>5275</v>
      </c>
      <c r="EA38" s="65">
        <f>3212+89</f>
        <v>3301</v>
      </c>
      <c r="EB38" s="65">
        <v>24516</v>
      </c>
      <c r="EC38" s="68">
        <f t="shared" si="25"/>
        <v>1910</v>
      </c>
      <c r="ED38" s="69">
        <v>1149</v>
      </c>
      <c r="EE38" s="69"/>
      <c r="EF38" s="69">
        <v>113</v>
      </c>
      <c r="EG38" s="69">
        <v>498</v>
      </c>
      <c r="EH38" s="69">
        <v>150</v>
      </c>
      <c r="EI38" s="84">
        <f>SUM(Tableau1[[#This Row],[Transports sur films]:[autres ]])</f>
        <v>3800</v>
      </c>
      <c r="EJ38" s="132">
        <v>3800</v>
      </c>
      <c r="EK38" s="132"/>
      <c r="EL38" s="68">
        <f t="shared" si="26"/>
        <v>29930</v>
      </c>
      <c r="EM38" s="65">
        <f>4608+8604</f>
        <v>13212</v>
      </c>
      <c r="EN38" s="65">
        <v>16718</v>
      </c>
      <c r="EO38" s="65"/>
      <c r="EP38" s="65"/>
      <c r="EQ38" s="65"/>
      <c r="ER38" s="65"/>
      <c r="ES38" s="65">
        <v>0</v>
      </c>
      <c r="ET38" s="68">
        <f t="shared" si="27"/>
        <v>6166</v>
      </c>
      <c r="EU38" s="65">
        <v>0</v>
      </c>
      <c r="EV38" s="65">
        <v>1138</v>
      </c>
      <c r="EW38" s="65">
        <v>4140</v>
      </c>
      <c r="EX38" s="65">
        <v>888</v>
      </c>
      <c r="EY38" s="65"/>
      <c r="EZ38" s="68">
        <f>SUM(Tableau1[[#This Row],[Frais sur CB]:[Services bancaires]])</f>
        <v>5505</v>
      </c>
      <c r="FA38" s="65">
        <v>5505</v>
      </c>
      <c r="FB38" s="65"/>
      <c r="FC38" s="70">
        <f t="shared" si="28"/>
        <v>21239</v>
      </c>
      <c r="FD38" s="65">
        <f>3239+18000</f>
        <v>21239</v>
      </c>
      <c r="FE38" s="71">
        <f t="shared" si="29"/>
        <v>12477</v>
      </c>
      <c r="FF38" s="72">
        <f t="shared" si="30"/>
        <v>1855</v>
      </c>
      <c r="FG38" s="65">
        <v>941</v>
      </c>
      <c r="FH38" s="65">
        <v>914</v>
      </c>
      <c r="FI38" s="65"/>
      <c r="FJ38" s="56">
        <f t="shared" si="31"/>
        <v>10622</v>
      </c>
      <c r="FK38" s="65">
        <v>644</v>
      </c>
      <c r="FL38" s="65">
        <v>9706</v>
      </c>
      <c r="FM38" s="65"/>
      <c r="FN38" s="65">
        <v>272</v>
      </c>
      <c r="FO38" s="67">
        <f t="shared" si="32"/>
        <v>189633</v>
      </c>
      <c r="FP38" s="57">
        <v>147175</v>
      </c>
      <c r="FQ38" s="73">
        <v>42458</v>
      </c>
      <c r="FR38" s="73"/>
      <c r="FS38" s="71">
        <f t="shared" si="33"/>
        <v>209022</v>
      </c>
      <c r="FT38" s="91">
        <v>208676</v>
      </c>
      <c r="FU38" s="91">
        <v>346</v>
      </c>
      <c r="FV38" s="67">
        <f>SUM(Tableau1[[#This Row],[Droits d''auteurs SACEM + cotisations SACEM]:[Autres ou non préciés]])</f>
        <v>19328</v>
      </c>
      <c r="FW38" s="75">
        <f t="shared" si="34"/>
        <v>18992</v>
      </c>
      <c r="FX38" s="74">
        <v>0</v>
      </c>
      <c r="FY38" s="74"/>
      <c r="FZ38" s="74">
        <v>18992</v>
      </c>
      <c r="GA38" s="74">
        <v>336</v>
      </c>
      <c r="GB38" s="71">
        <f t="shared" si="35"/>
        <v>29458</v>
      </c>
      <c r="GC38" s="92">
        <v>29458</v>
      </c>
      <c r="GD38" s="92"/>
      <c r="GE38" s="67">
        <f t="shared" si="36"/>
        <v>10495</v>
      </c>
      <c r="GF38" s="66">
        <f>407+4841+5247</f>
        <v>10495</v>
      </c>
      <c r="GG38" s="66"/>
      <c r="GH38" s="66"/>
      <c r="GI38" s="66"/>
      <c r="GJ38" s="77">
        <v>4308</v>
      </c>
    </row>
    <row r="39" spans="1:192" ht="18.600000000000001" customHeight="1" x14ac:dyDescent="0.25">
      <c r="A39" s="89"/>
      <c r="B39" s="17"/>
      <c r="C39" s="50"/>
      <c r="D39" s="140"/>
      <c r="E39" s="51"/>
      <c r="F39" s="139"/>
      <c r="G39" s="49"/>
      <c r="H39" s="50"/>
      <c r="I39" s="122"/>
      <c r="J39" s="49"/>
      <c r="K39" s="50">
        <v>4</v>
      </c>
      <c r="L39" s="50"/>
      <c r="M39" s="90">
        <v>53</v>
      </c>
      <c r="N39" s="50"/>
      <c r="O39" s="50"/>
      <c r="P39" s="90"/>
      <c r="Q39" s="52">
        <f t="shared" si="0"/>
        <v>1394897</v>
      </c>
      <c r="R39" s="52">
        <f t="shared" si="1"/>
        <v>1289409</v>
      </c>
      <c r="S39" s="53">
        <f t="shared" si="2"/>
        <v>1174595</v>
      </c>
      <c r="T39" s="54">
        <f t="shared" si="3"/>
        <v>138018</v>
      </c>
      <c r="U39" s="115">
        <f>SUM(Tableau1[[#This Row],[Vente confiserie]:[Vente boisson]])</f>
        <v>138018</v>
      </c>
      <c r="V39" s="55">
        <f>18900+87519+31599</f>
        <v>138018</v>
      </c>
      <c r="W39" s="55"/>
      <c r="X39" s="135">
        <f>SUM(Tableau1[[#This Row],[Vente lunette]:[Location lunette]])</f>
        <v>0</v>
      </c>
      <c r="Y39" s="55"/>
      <c r="Z39" s="55"/>
      <c r="AA39" s="55"/>
      <c r="AB39" s="55"/>
      <c r="AC39" s="56">
        <f t="shared" si="38"/>
        <v>1035524</v>
      </c>
      <c r="AD39" s="57">
        <v>986895</v>
      </c>
      <c r="AE39" s="57"/>
      <c r="AF39" s="57"/>
      <c r="AG39" s="57"/>
      <c r="AH39" s="57"/>
      <c r="AI39" s="57"/>
      <c r="AJ39" s="118">
        <f>(Tableau1[[#This Row],[Recette guichet ]]*1.1275177)-Tableau1[[#This Row],[Recette guichet ]]</f>
        <v>125846.58054150012</v>
      </c>
      <c r="AK39" s="57">
        <f>28585+20044</f>
        <v>48629</v>
      </c>
      <c r="AL39" s="56">
        <f t="shared" si="39"/>
        <v>1053</v>
      </c>
      <c r="AM39" s="58"/>
      <c r="AN39" s="58"/>
      <c r="AO39" s="58">
        <v>1053</v>
      </c>
      <c r="AP39" s="115">
        <f t="shared" si="6"/>
        <v>0</v>
      </c>
      <c r="AQ39" s="69"/>
      <c r="AR39" s="69"/>
      <c r="AS39" s="69"/>
      <c r="AT39" s="69"/>
      <c r="AU39" s="59">
        <f t="shared" si="7"/>
        <v>114814</v>
      </c>
      <c r="AV39" s="60">
        <f t="shared" si="8"/>
        <v>98378</v>
      </c>
      <c r="AW39" s="58">
        <v>98378</v>
      </c>
      <c r="AX39" s="58"/>
      <c r="AY39" s="58"/>
      <c r="AZ39" s="60">
        <f t="shared" si="40"/>
        <v>5072</v>
      </c>
      <c r="BA39" s="58">
        <f>3304+346</f>
        <v>3650</v>
      </c>
      <c r="BB39" s="58">
        <f>740+682</f>
        <v>1422</v>
      </c>
      <c r="BC39" s="58"/>
      <c r="BD39" s="60">
        <f>SUM(Tableau1[[#This Row],[ticket/carte/abonnement périmé]:[Autres ou non précisé 5]])</f>
        <v>11364</v>
      </c>
      <c r="BE39" s="58">
        <v>11364</v>
      </c>
      <c r="BF39" s="58"/>
      <c r="BG39" s="58"/>
      <c r="BH39" s="61">
        <f t="shared" si="10"/>
        <v>4169</v>
      </c>
      <c r="BI39" s="120">
        <v>0</v>
      </c>
      <c r="BJ39" s="120">
        <v>4169</v>
      </c>
      <c r="BK39" s="62">
        <f t="shared" si="11"/>
        <v>101319</v>
      </c>
      <c r="BL39" s="120"/>
      <c r="BM39" s="120"/>
      <c r="BN39" s="120"/>
      <c r="BO39" s="120">
        <v>45582</v>
      </c>
      <c r="BP39" s="120">
        <v>55737</v>
      </c>
      <c r="BQ39" s="63"/>
      <c r="BR39" s="52">
        <f t="shared" si="12"/>
        <v>1377574</v>
      </c>
      <c r="BS39" s="52">
        <f t="shared" si="13"/>
        <v>1339659</v>
      </c>
      <c r="BT39" s="61">
        <f t="shared" si="14"/>
        <v>50337</v>
      </c>
      <c r="BU39" s="64">
        <f t="shared" si="15"/>
        <v>51406</v>
      </c>
      <c r="BV39" s="119">
        <f>SUM(Tableau1[[#This Row],[Achats confiserie]:[Achats boisson]])</f>
        <v>51406</v>
      </c>
      <c r="BW39" s="58">
        <v>51406</v>
      </c>
      <c r="BX39" s="69"/>
      <c r="BY39" s="58"/>
      <c r="BZ39" s="56">
        <f t="shared" si="16"/>
        <v>0</v>
      </c>
      <c r="CA39" s="66"/>
      <c r="CB39" s="66"/>
      <c r="CC39" s="56">
        <f t="shared" si="17"/>
        <v>-1069</v>
      </c>
      <c r="CD39" s="55">
        <v>-1069</v>
      </c>
      <c r="CE39" s="65"/>
      <c r="CF39" s="55"/>
      <c r="CG39" s="55"/>
      <c r="CH39" s="67">
        <f t="shared" si="18"/>
        <v>906281</v>
      </c>
      <c r="CI39" s="68">
        <f t="shared" si="37"/>
        <v>497246</v>
      </c>
      <c r="CJ39" s="55">
        <v>19642</v>
      </c>
      <c r="CK39" s="55">
        <v>477604</v>
      </c>
      <c r="CL39" s="55"/>
      <c r="CM39" s="55"/>
      <c r="CN39" s="55"/>
      <c r="CO39" s="68">
        <f t="shared" si="20"/>
        <v>100418</v>
      </c>
      <c r="CP39" s="75">
        <f>SUM(Tableau1[[#This Row],[Fourniture eau]:[Energie (non précisé)]])</f>
        <v>34873</v>
      </c>
      <c r="CQ39" s="55">
        <v>1464</v>
      </c>
      <c r="CR39" s="55">
        <v>32527</v>
      </c>
      <c r="CS39" s="55">
        <v>882</v>
      </c>
      <c r="CT39" s="55"/>
      <c r="CU39" s="55">
        <v>58468</v>
      </c>
      <c r="CV39" s="55">
        <v>4835</v>
      </c>
      <c r="CW39" s="55">
        <v>2242</v>
      </c>
      <c r="CX39" s="68">
        <f>SUM(Tableau1[[#This Row],[Sous-traitance]:[Autres ou non précisé 12]])</f>
        <v>48945</v>
      </c>
      <c r="CY39" s="65">
        <v>19800</v>
      </c>
      <c r="CZ39" s="65">
        <f>21217</f>
        <v>21217</v>
      </c>
      <c r="DA39" s="65">
        <v>6262</v>
      </c>
      <c r="DB39" s="65">
        <v>792</v>
      </c>
      <c r="DC39" s="55">
        <v>874</v>
      </c>
      <c r="DD39" s="68">
        <f t="shared" si="41"/>
        <v>56736</v>
      </c>
      <c r="DE39" s="55"/>
      <c r="DF39" s="65">
        <v>2904</v>
      </c>
      <c r="DG39" s="65"/>
      <c r="DH39" s="65">
        <v>53832</v>
      </c>
      <c r="DI39" s="68">
        <f>SUM(Tableau1[[#This Row],[Entretien et réparation matériel de projection]:[Autres ou non précisé 14]])</f>
        <v>0</v>
      </c>
      <c r="DJ39" s="58"/>
      <c r="DK39" s="58"/>
      <c r="DL39" s="58"/>
      <c r="DM39" s="68">
        <f t="shared" si="22"/>
        <v>13476</v>
      </c>
      <c r="DN39" s="58"/>
      <c r="DO39" s="58">
        <v>13476</v>
      </c>
      <c r="DP39" s="68">
        <f t="shared" si="23"/>
        <v>18980</v>
      </c>
      <c r="DQ39" s="65">
        <v>17664</v>
      </c>
      <c r="DR39" s="65">
        <v>1316</v>
      </c>
      <c r="DS39" s="68">
        <f t="shared" si="24"/>
        <v>57580</v>
      </c>
      <c r="DT39" s="65">
        <v>57580</v>
      </c>
      <c r="DU39" s="65"/>
      <c r="DV39" s="65"/>
      <c r="DW39" s="68">
        <f>SUM(Tableau1[[#This Row],[Comission et courtage sur achats]:[Autres ou honoraires
 non précisé ]])</f>
        <v>44912</v>
      </c>
      <c r="DX39" s="57"/>
      <c r="DY39" s="57"/>
      <c r="DZ39" s="65">
        <v>5200</v>
      </c>
      <c r="EA39" s="65">
        <f>2860+230</f>
        <v>3090</v>
      </c>
      <c r="EB39" s="65">
        <v>36622</v>
      </c>
      <c r="EC39" s="68">
        <f t="shared" si="25"/>
        <v>4472</v>
      </c>
      <c r="ED39" s="69">
        <v>1412</v>
      </c>
      <c r="EE39" s="69"/>
      <c r="EF39" s="69">
        <v>173</v>
      </c>
      <c r="EG39" s="69">
        <v>297</v>
      </c>
      <c r="EH39" s="69">
        <f>2193+126+271</f>
        <v>2590</v>
      </c>
      <c r="EI39" s="84">
        <f>SUM(Tableau1[[#This Row],[Transports sur films]:[autres ]])</f>
        <v>2435</v>
      </c>
      <c r="EJ39" s="132">
        <v>2435</v>
      </c>
      <c r="EK39" s="132"/>
      <c r="EL39" s="68">
        <f t="shared" si="26"/>
        <v>28770</v>
      </c>
      <c r="EM39" s="65">
        <f>3156+8189</f>
        <v>11345</v>
      </c>
      <c r="EN39" s="65">
        <v>17425</v>
      </c>
      <c r="EO39" s="65"/>
      <c r="EP39" s="65"/>
      <c r="EQ39" s="65"/>
      <c r="ER39" s="65"/>
      <c r="ES39" s="65">
        <v>0</v>
      </c>
      <c r="ET39" s="68">
        <f t="shared" si="27"/>
        <v>6087</v>
      </c>
      <c r="EU39" s="65">
        <v>0</v>
      </c>
      <c r="EV39" s="65">
        <v>1542</v>
      </c>
      <c r="EW39" s="65">
        <v>3229</v>
      </c>
      <c r="EX39" s="65">
        <v>1316</v>
      </c>
      <c r="EY39" s="65"/>
      <c r="EZ39" s="68">
        <f>SUM(Tableau1[[#This Row],[Frais sur CB]:[Services bancaires]])</f>
        <v>3904</v>
      </c>
      <c r="FA39" s="65">
        <v>3904</v>
      </c>
      <c r="FB39" s="65"/>
      <c r="FC39" s="70">
        <f t="shared" si="28"/>
        <v>22320</v>
      </c>
      <c r="FD39" s="65">
        <f>3120+19200</f>
        <v>22320</v>
      </c>
      <c r="FE39" s="71">
        <f t="shared" si="29"/>
        <v>11556</v>
      </c>
      <c r="FF39" s="72">
        <f t="shared" si="30"/>
        <v>1811</v>
      </c>
      <c r="FG39" s="65">
        <v>919</v>
      </c>
      <c r="FH39" s="65">
        <v>892</v>
      </c>
      <c r="FI39" s="65"/>
      <c r="FJ39" s="56">
        <f t="shared" si="31"/>
        <v>9745</v>
      </c>
      <c r="FK39" s="65">
        <v>380</v>
      </c>
      <c r="FL39" s="65">
        <v>9091</v>
      </c>
      <c r="FM39" s="65"/>
      <c r="FN39" s="65">
        <v>274</v>
      </c>
      <c r="FO39" s="67">
        <f t="shared" si="32"/>
        <v>172620</v>
      </c>
      <c r="FP39" s="57">
        <v>134474</v>
      </c>
      <c r="FQ39" s="73">
        <v>38146</v>
      </c>
      <c r="FR39" s="73"/>
      <c r="FS39" s="71">
        <f t="shared" si="33"/>
        <v>178577</v>
      </c>
      <c r="FT39" s="91">
        <f>1392+177185</f>
        <v>178577</v>
      </c>
      <c r="FU39" s="91"/>
      <c r="FV39" s="67">
        <f>SUM(Tableau1[[#This Row],[Droits d''auteurs SACEM + cotisations SACEM]:[Autres ou non préciés]])</f>
        <v>20288</v>
      </c>
      <c r="FW39" s="75">
        <f t="shared" si="34"/>
        <v>19813</v>
      </c>
      <c r="FX39" s="74">
        <v>0</v>
      </c>
      <c r="FY39" s="74"/>
      <c r="FZ39" s="74">
        <v>19813</v>
      </c>
      <c r="GA39" s="74">
        <v>475</v>
      </c>
      <c r="GB39" s="71">
        <f t="shared" si="35"/>
        <v>26773</v>
      </c>
      <c r="GC39" s="92">
        <v>26773</v>
      </c>
      <c r="GD39" s="92"/>
      <c r="GE39" s="67">
        <f t="shared" si="36"/>
        <v>7106</v>
      </c>
      <c r="GF39" s="66">
        <v>4841</v>
      </c>
      <c r="GG39" s="66">
        <f>2216+49</f>
        <v>2265</v>
      </c>
      <c r="GH39" s="66"/>
      <c r="GI39" s="66"/>
      <c r="GJ39" s="77">
        <v>4036</v>
      </c>
    </row>
    <row r="40" spans="1:192" ht="18.600000000000001" customHeight="1" x14ac:dyDescent="0.25">
      <c r="A40" s="89"/>
      <c r="B40" s="17"/>
      <c r="C40" s="50"/>
      <c r="D40" s="140"/>
      <c r="E40" s="51"/>
      <c r="F40" s="139"/>
      <c r="G40" s="49"/>
      <c r="H40" s="50"/>
      <c r="I40" s="122"/>
      <c r="J40" s="49"/>
      <c r="K40" s="50">
        <v>6</v>
      </c>
      <c r="L40" s="50"/>
      <c r="M40" s="90">
        <v>53</v>
      </c>
      <c r="N40" s="50"/>
      <c r="O40" s="50"/>
      <c r="P40" s="90"/>
      <c r="Q40" s="52">
        <f t="shared" si="0"/>
        <v>1556737</v>
      </c>
      <c r="R40" s="52">
        <f t="shared" si="1"/>
        <v>1246388</v>
      </c>
      <c r="S40" s="53">
        <f t="shared" si="2"/>
        <v>1198643</v>
      </c>
      <c r="T40" s="54">
        <f t="shared" si="3"/>
        <v>172338</v>
      </c>
      <c r="U40" s="115">
        <f>SUM(Tableau1[[#This Row],[Vente confiserie]:[Vente boisson]])</f>
        <v>168689</v>
      </c>
      <c r="V40" s="55">
        <f>102482+35899+30308</f>
        <v>168689</v>
      </c>
      <c r="W40" s="55"/>
      <c r="X40" s="135">
        <f>SUM(Tableau1[[#This Row],[Vente lunette]:[Location lunette]])</f>
        <v>3649</v>
      </c>
      <c r="Y40" s="55"/>
      <c r="Z40" s="55">
        <v>3649</v>
      </c>
      <c r="AA40" s="55"/>
      <c r="AB40" s="55"/>
      <c r="AC40" s="56">
        <f t="shared" si="38"/>
        <v>968406</v>
      </c>
      <c r="AD40" s="57">
        <v>968406</v>
      </c>
      <c r="AE40" s="57"/>
      <c r="AF40" s="57"/>
      <c r="AG40" s="57"/>
      <c r="AH40" s="57"/>
      <c r="AI40" s="57"/>
      <c r="AJ40" s="118">
        <f>(Tableau1[[#This Row],[Recette guichet ]]*1.1275177)-Tableau1[[#This Row],[Recette guichet ]]</f>
        <v>123488.90578619996</v>
      </c>
      <c r="AK40" s="57"/>
      <c r="AL40" s="56">
        <f t="shared" si="39"/>
        <v>57899</v>
      </c>
      <c r="AM40" s="58"/>
      <c r="AN40" s="58"/>
      <c r="AO40" s="58">
        <f>1513+26405</f>
        <v>27918</v>
      </c>
      <c r="AP40" s="115">
        <f t="shared" si="6"/>
        <v>27202</v>
      </c>
      <c r="AQ40" s="69"/>
      <c r="AR40" s="69"/>
      <c r="AS40" s="69">
        <v>27202</v>
      </c>
      <c r="AT40" s="69">
        <v>2779</v>
      </c>
      <c r="AU40" s="59">
        <f t="shared" si="7"/>
        <v>47745</v>
      </c>
      <c r="AV40" s="60">
        <f t="shared" si="8"/>
        <v>12819</v>
      </c>
      <c r="AW40" s="58"/>
      <c r="AX40" s="58">
        <v>6300</v>
      </c>
      <c r="AY40" s="58">
        <v>6519</v>
      </c>
      <c r="AZ40" s="60">
        <f t="shared" si="40"/>
        <v>3026</v>
      </c>
      <c r="BA40" s="58"/>
      <c r="BB40" s="58"/>
      <c r="BC40" s="58">
        <v>3026</v>
      </c>
      <c r="BD40" s="60">
        <f>SUM(Tableau1[[#This Row],[ticket/carte/abonnement périmé]:[Autres ou non précisé 5]])</f>
        <v>31900</v>
      </c>
      <c r="BE40" s="58"/>
      <c r="BF40" s="58">
        <v>31779</v>
      </c>
      <c r="BG40" s="58">
        <v>121</v>
      </c>
      <c r="BH40" s="61">
        <f t="shared" si="10"/>
        <v>0</v>
      </c>
      <c r="BI40" s="120"/>
      <c r="BJ40" s="120"/>
      <c r="BK40" s="62">
        <f t="shared" si="11"/>
        <v>310349</v>
      </c>
      <c r="BL40" s="120">
        <v>42231</v>
      </c>
      <c r="BM40" s="120"/>
      <c r="BN40" s="120"/>
      <c r="BO40" s="120">
        <v>33202</v>
      </c>
      <c r="BP40" s="120">
        <f>234916</f>
        <v>234916</v>
      </c>
      <c r="BQ40" s="63"/>
      <c r="BR40" s="52">
        <f t="shared" si="12"/>
        <v>1630409</v>
      </c>
      <c r="BS40" s="52">
        <f t="shared" si="13"/>
        <v>1481834</v>
      </c>
      <c r="BT40" s="61">
        <f t="shared" si="14"/>
        <v>63906</v>
      </c>
      <c r="BU40" s="64">
        <f t="shared" si="15"/>
        <v>64299</v>
      </c>
      <c r="BV40" s="119">
        <f>SUM(Tableau1[[#This Row],[Achats confiserie]:[Achats boisson]])</f>
        <v>64299</v>
      </c>
      <c r="BW40" s="58">
        <v>47437</v>
      </c>
      <c r="BX40" s="69">
        <v>16862</v>
      </c>
      <c r="BY40" s="58"/>
      <c r="BZ40" s="56">
        <f t="shared" si="16"/>
        <v>0</v>
      </c>
      <c r="CA40" s="66"/>
      <c r="CB40" s="66"/>
      <c r="CC40" s="56">
        <f t="shared" si="17"/>
        <v>-393</v>
      </c>
      <c r="CD40" s="93"/>
      <c r="CE40" s="65"/>
      <c r="CF40" s="55"/>
      <c r="CG40" s="55">
        <v>-393</v>
      </c>
      <c r="CH40" s="67">
        <f t="shared" si="18"/>
        <v>760056</v>
      </c>
      <c r="CI40" s="68">
        <f t="shared" si="37"/>
        <v>477428</v>
      </c>
      <c r="CJ40" s="55">
        <v>18752</v>
      </c>
      <c r="CK40" s="55">
        <v>446615</v>
      </c>
      <c r="CL40" s="55"/>
      <c r="CM40" s="55"/>
      <c r="CN40" s="55">
        <f>3461+8600</f>
        <v>12061</v>
      </c>
      <c r="CO40" s="68">
        <f t="shared" si="20"/>
        <v>70893</v>
      </c>
      <c r="CP40" s="75">
        <f>SUM(Tableau1[[#This Row],[Fourniture eau]:[Energie (non précisé)]])</f>
        <v>48903</v>
      </c>
      <c r="CQ40" s="55">
        <v>2069</v>
      </c>
      <c r="CR40" s="55"/>
      <c r="CS40" s="55"/>
      <c r="CT40" s="55">
        <v>46834</v>
      </c>
      <c r="CU40" s="55">
        <v>15385</v>
      </c>
      <c r="CV40" s="55">
        <v>1304</v>
      </c>
      <c r="CW40" s="55">
        <f>570+1341+1039+2351</f>
        <v>5301</v>
      </c>
      <c r="CX40" s="68">
        <f>SUM(Tableau1[[#This Row],[Sous-traitance]:[Autres ou non précisé 12]])</f>
        <v>82316</v>
      </c>
      <c r="CY40" s="65">
        <f>5400+21320</f>
        <v>26720</v>
      </c>
      <c r="CZ40" s="65">
        <v>41606</v>
      </c>
      <c r="DA40" s="65">
        <f>4357+556+3573</f>
        <v>8486</v>
      </c>
      <c r="DB40" s="65">
        <v>716</v>
      </c>
      <c r="DC40" s="55">
        <v>4788</v>
      </c>
      <c r="DD40" s="68">
        <f t="shared" si="41"/>
        <v>40152</v>
      </c>
      <c r="DE40" s="55">
        <v>33460</v>
      </c>
      <c r="DF40" s="65"/>
      <c r="DG40" s="65"/>
      <c r="DH40" s="65">
        <v>6692</v>
      </c>
      <c r="DI40" s="68">
        <f>SUM(Tableau1[[#This Row],[Entretien et réparation matériel de projection]:[Autres ou non précisé 14]])</f>
        <v>0</v>
      </c>
      <c r="DJ40" s="58"/>
      <c r="DK40" s="58"/>
      <c r="DL40" s="69"/>
      <c r="DM40" s="68">
        <f t="shared" si="22"/>
        <v>32965</v>
      </c>
      <c r="DN40" s="58"/>
      <c r="DO40" s="58">
        <v>32965</v>
      </c>
      <c r="DP40" s="68">
        <f t="shared" si="23"/>
        <v>6960</v>
      </c>
      <c r="DQ40" s="65">
        <v>6668</v>
      </c>
      <c r="DR40" s="65">
        <f>192+100</f>
        <v>292</v>
      </c>
      <c r="DS40" s="68">
        <f t="shared" si="24"/>
        <v>787</v>
      </c>
      <c r="DT40" s="65">
        <v>787</v>
      </c>
      <c r="DU40" s="65"/>
      <c r="DV40" s="65"/>
      <c r="DW40" s="68">
        <f>SUM(Tableau1[[#This Row],[Comission et courtage sur achats]:[Autres ou honoraires
 non précisé ]])</f>
        <v>11576</v>
      </c>
      <c r="DX40" s="121"/>
      <c r="DY40" s="57">
        <v>194</v>
      </c>
      <c r="DZ40" s="65">
        <v>5440</v>
      </c>
      <c r="EA40" s="65">
        <v>142</v>
      </c>
      <c r="EB40" s="65">
        <f>5800</f>
        <v>5800</v>
      </c>
      <c r="EC40" s="68">
        <f t="shared" si="25"/>
        <v>9874</v>
      </c>
      <c r="ED40" s="69">
        <v>680</v>
      </c>
      <c r="EE40" s="69">
        <v>7320</v>
      </c>
      <c r="EF40" s="105"/>
      <c r="EG40" s="69"/>
      <c r="EH40" s="69">
        <f>22+20+32+1800</f>
        <v>1874</v>
      </c>
      <c r="EI40" s="84">
        <f>SUM(Tableau1[[#This Row],[Transports sur films]:[autres ]])</f>
        <v>2126</v>
      </c>
      <c r="EJ40" s="132">
        <v>2126</v>
      </c>
      <c r="EK40" s="132"/>
      <c r="EL40" s="68">
        <f t="shared" si="26"/>
        <v>2674</v>
      </c>
      <c r="EM40" s="65">
        <v>1887</v>
      </c>
      <c r="EN40" s="65">
        <v>0</v>
      </c>
      <c r="EO40" s="65"/>
      <c r="EP40" s="65"/>
      <c r="EQ40" s="65"/>
      <c r="ER40" s="65"/>
      <c r="ES40" s="65">
        <v>787</v>
      </c>
      <c r="ET40" s="68">
        <f t="shared" si="27"/>
        <v>8073</v>
      </c>
      <c r="EU40" s="65">
        <v>5670</v>
      </c>
      <c r="EV40" s="65"/>
      <c r="EW40" s="65"/>
      <c r="EX40" s="65">
        <v>1787</v>
      </c>
      <c r="EY40" s="65">
        <f>400+216</f>
        <v>616</v>
      </c>
      <c r="EZ40" s="68">
        <f>SUM(Tableau1[[#This Row],[Frais sur CB]:[Services bancaires]])</f>
        <v>13442</v>
      </c>
      <c r="FA40" s="65">
        <v>8881</v>
      </c>
      <c r="FB40" s="65">
        <f>141+4420</f>
        <v>4561</v>
      </c>
      <c r="FC40" s="70">
        <f t="shared" si="28"/>
        <v>790</v>
      </c>
      <c r="FD40" s="65">
        <v>790</v>
      </c>
      <c r="FE40" s="71">
        <f t="shared" si="29"/>
        <v>27477</v>
      </c>
      <c r="FF40" s="72">
        <f t="shared" si="30"/>
        <v>3388</v>
      </c>
      <c r="FG40" s="65">
        <v>2063</v>
      </c>
      <c r="FH40" s="65">
        <v>1325</v>
      </c>
      <c r="FI40" s="65"/>
      <c r="FJ40" s="56">
        <f t="shared" si="31"/>
        <v>24089</v>
      </c>
      <c r="FK40" s="65">
        <v>12294</v>
      </c>
      <c r="FL40" s="65">
        <v>9078</v>
      </c>
      <c r="FM40" s="65">
        <v>2251</v>
      </c>
      <c r="FN40" s="65">
        <v>466</v>
      </c>
      <c r="FO40" s="67">
        <f t="shared" si="32"/>
        <v>274914</v>
      </c>
      <c r="FP40" s="57">
        <v>198714</v>
      </c>
      <c r="FQ40" s="73">
        <v>76200</v>
      </c>
      <c r="FR40" s="73"/>
      <c r="FS40" s="71">
        <f t="shared" si="33"/>
        <v>335983</v>
      </c>
      <c r="FT40" s="91">
        <v>335983</v>
      </c>
      <c r="FU40" s="91"/>
      <c r="FV40" s="67">
        <f>SUM(Tableau1[[#This Row],[Droits d''auteurs SACEM + cotisations SACEM]:[Autres ou non préciés]])</f>
        <v>19498</v>
      </c>
      <c r="FW40" s="75">
        <f t="shared" si="34"/>
        <v>19108</v>
      </c>
      <c r="FX40" s="74">
        <v>19108</v>
      </c>
      <c r="FY40" s="74"/>
      <c r="FZ40" s="74"/>
      <c r="GA40" s="74">
        <f>145+245</f>
        <v>390</v>
      </c>
      <c r="GB40" s="71">
        <f t="shared" si="35"/>
        <v>117603</v>
      </c>
      <c r="GC40" s="92">
        <v>117603</v>
      </c>
      <c r="GD40" s="92"/>
      <c r="GE40" s="67">
        <f t="shared" si="36"/>
        <v>30972</v>
      </c>
      <c r="GF40" s="66">
        <v>859</v>
      </c>
      <c r="GG40" s="66">
        <f>3113</f>
        <v>3113</v>
      </c>
      <c r="GH40" s="66"/>
      <c r="GI40" s="66">
        <v>27000</v>
      </c>
      <c r="GJ40" s="77"/>
    </row>
    <row r="41" spans="1:192" ht="18.600000000000001" customHeight="1" x14ac:dyDescent="0.25">
      <c r="A41" s="89"/>
      <c r="B41" s="17"/>
      <c r="C41" s="50"/>
      <c r="D41" s="140"/>
      <c r="E41" s="51"/>
      <c r="F41" s="139"/>
      <c r="G41" s="49"/>
      <c r="H41" s="50"/>
      <c r="I41" s="122"/>
      <c r="J41" s="49"/>
      <c r="K41" s="50">
        <v>6</v>
      </c>
      <c r="L41" s="50"/>
      <c r="M41" s="90">
        <v>53</v>
      </c>
      <c r="N41" s="50"/>
      <c r="O41" s="50"/>
      <c r="P41" s="90"/>
      <c r="Q41" s="52">
        <f t="shared" si="0"/>
        <v>1633571</v>
      </c>
      <c r="R41" s="52">
        <f t="shared" si="1"/>
        <v>1369588</v>
      </c>
      <c r="S41" s="53">
        <f t="shared" si="2"/>
        <v>1334787</v>
      </c>
      <c r="T41" s="54">
        <f t="shared" si="3"/>
        <v>192649</v>
      </c>
      <c r="U41" s="115">
        <f>SUM(Tableau1[[#This Row],[Vente confiserie]:[Vente boisson]])</f>
        <v>192646</v>
      </c>
      <c r="V41" s="55">
        <f>88124+64426+40096</f>
        <v>192646</v>
      </c>
      <c r="W41" s="55"/>
      <c r="X41" s="135">
        <f>SUM(Tableau1[[#This Row],[Vente lunette]:[Location lunette]])</f>
        <v>3</v>
      </c>
      <c r="Y41" s="55"/>
      <c r="Z41" s="55">
        <v>3</v>
      </c>
      <c r="AA41" s="55"/>
      <c r="AB41" s="55"/>
      <c r="AC41" s="56">
        <f t="shared" si="38"/>
        <v>1074742</v>
      </c>
      <c r="AD41" s="57">
        <v>1074742</v>
      </c>
      <c r="AE41" s="57"/>
      <c r="AF41" s="57"/>
      <c r="AG41" s="57"/>
      <c r="AH41" s="57"/>
      <c r="AI41" s="57"/>
      <c r="AJ41" s="118">
        <f>(Tableau1[[#This Row],[Recette guichet ]]*1.1275177)-Tableau1[[#This Row],[Recette guichet ]]</f>
        <v>137048.62793339998</v>
      </c>
      <c r="AK41" s="57"/>
      <c r="AL41" s="56">
        <f t="shared" si="39"/>
        <v>67396</v>
      </c>
      <c r="AM41" s="58"/>
      <c r="AN41" s="58"/>
      <c r="AO41" s="58">
        <f>3110+26178</f>
        <v>29288</v>
      </c>
      <c r="AP41" s="115">
        <f t="shared" si="6"/>
        <v>33925</v>
      </c>
      <c r="AQ41" s="69"/>
      <c r="AR41" s="69"/>
      <c r="AS41" s="69">
        <v>33925</v>
      </c>
      <c r="AT41" s="69">
        <v>4183</v>
      </c>
      <c r="AU41" s="59">
        <f t="shared" si="7"/>
        <v>34801</v>
      </c>
      <c r="AV41" s="60">
        <f t="shared" si="8"/>
        <v>0</v>
      </c>
      <c r="AW41" s="58"/>
      <c r="AX41" s="58"/>
      <c r="AY41" s="58"/>
      <c r="AZ41" s="60">
        <f t="shared" si="40"/>
        <v>2996</v>
      </c>
      <c r="BA41" s="58"/>
      <c r="BB41" s="58"/>
      <c r="BC41" s="58">
        <v>2996</v>
      </c>
      <c r="BD41" s="60">
        <f>SUM(Tableau1[[#This Row],[ticket/carte/abonnement périmé]:[Autres ou non précisé 5]])</f>
        <v>31805</v>
      </c>
      <c r="BE41" s="58"/>
      <c r="BF41" s="58">
        <v>31779</v>
      </c>
      <c r="BG41" s="58">
        <v>26</v>
      </c>
      <c r="BH41" s="61">
        <f t="shared" si="10"/>
        <v>0</v>
      </c>
      <c r="BI41" s="120"/>
      <c r="BJ41" s="120"/>
      <c r="BK41" s="62">
        <f t="shared" si="11"/>
        <v>263983</v>
      </c>
      <c r="BL41" s="120">
        <v>8126</v>
      </c>
      <c r="BM41" s="120"/>
      <c r="BN41" s="120"/>
      <c r="BO41" s="120">
        <v>31576</v>
      </c>
      <c r="BP41" s="120">
        <f>224281</f>
        <v>224281</v>
      </c>
      <c r="BQ41" s="63"/>
      <c r="BR41" s="52">
        <f t="shared" si="12"/>
        <v>1623541</v>
      </c>
      <c r="BS41" s="52">
        <f t="shared" si="13"/>
        <v>1512880</v>
      </c>
      <c r="BT41" s="61">
        <f t="shared" si="14"/>
        <v>69455</v>
      </c>
      <c r="BU41" s="64">
        <f t="shared" si="15"/>
        <v>68561</v>
      </c>
      <c r="BV41" s="119">
        <f>SUM(Tableau1[[#This Row],[Achats confiserie]:[Achats boisson]])</f>
        <v>68561</v>
      </c>
      <c r="BW41" s="58">
        <v>50873</v>
      </c>
      <c r="BX41" s="69">
        <v>17688</v>
      </c>
      <c r="BY41" s="58"/>
      <c r="BZ41" s="56">
        <f t="shared" si="16"/>
        <v>0</v>
      </c>
      <c r="CA41" s="66"/>
      <c r="CB41" s="66"/>
      <c r="CC41" s="56">
        <f t="shared" si="17"/>
        <v>894</v>
      </c>
      <c r="CD41" s="93"/>
      <c r="CE41" s="65"/>
      <c r="CF41" s="55"/>
      <c r="CG41" s="55">
        <v>894</v>
      </c>
      <c r="CH41" s="67">
        <f t="shared" si="18"/>
        <v>808005</v>
      </c>
      <c r="CI41" s="68">
        <f t="shared" si="37"/>
        <v>528700</v>
      </c>
      <c r="CJ41" s="55">
        <v>21074</v>
      </c>
      <c r="CK41" s="55">
        <v>501630</v>
      </c>
      <c r="CL41" s="55"/>
      <c r="CM41" s="55">
        <v>1651</v>
      </c>
      <c r="CN41" s="55">
        <v>4345</v>
      </c>
      <c r="CO41" s="68">
        <f t="shared" si="20"/>
        <v>77990</v>
      </c>
      <c r="CP41" s="75">
        <f>SUM(Tableau1[[#This Row],[Fourniture eau]:[Energie (non précisé)]])</f>
        <v>50491</v>
      </c>
      <c r="CQ41" s="55">
        <v>2258</v>
      </c>
      <c r="CR41" s="55"/>
      <c r="CS41" s="55"/>
      <c r="CT41" s="55">
        <v>48233</v>
      </c>
      <c r="CU41" s="55">
        <v>21719</v>
      </c>
      <c r="CV41" s="55">
        <v>1953</v>
      </c>
      <c r="CW41" s="93">
        <f>633+961+2233</f>
        <v>3827</v>
      </c>
      <c r="CX41" s="68">
        <f>SUM(Tableau1[[#This Row],[Sous-traitance]:[Autres ou non précisé 12]])</f>
        <v>69954</v>
      </c>
      <c r="CY41" s="93">
        <v>16000</v>
      </c>
      <c r="CZ41" s="65">
        <v>41192</v>
      </c>
      <c r="DA41" s="65">
        <f>300+2592+521+3573</f>
        <v>6986</v>
      </c>
      <c r="DB41" s="65">
        <v>853</v>
      </c>
      <c r="DC41" s="55">
        <v>4923</v>
      </c>
      <c r="DD41" s="68">
        <f t="shared" si="41"/>
        <v>42221</v>
      </c>
      <c r="DE41" s="55">
        <v>34224</v>
      </c>
      <c r="DF41" s="65"/>
      <c r="DG41" s="65"/>
      <c r="DH41" s="65">
        <v>7997</v>
      </c>
      <c r="DI41" s="68">
        <f>SUM(Tableau1[[#This Row],[Entretien et réparation matériel de projection]:[Autres ou non précisé 14]])</f>
        <v>0</v>
      </c>
      <c r="DJ41" s="58"/>
      <c r="DK41" s="58"/>
      <c r="DL41" s="69"/>
      <c r="DM41" s="68">
        <f t="shared" si="22"/>
        <v>30566</v>
      </c>
      <c r="DN41" s="58"/>
      <c r="DO41" s="58">
        <v>30566</v>
      </c>
      <c r="DP41" s="68">
        <f t="shared" si="23"/>
        <v>7391</v>
      </c>
      <c r="DQ41" s="65">
        <v>6854</v>
      </c>
      <c r="DR41" s="65">
        <f>57+480</f>
        <v>537</v>
      </c>
      <c r="DS41" s="68">
        <f t="shared" si="24"/>
        <v>0</v>
      </c>
      <c r="DT41" s="65"/>
      <c r="DU41" s="65"/>
      <c r="DV41" s="65"/>
      <c r="DW41" s="68">
        <f>SUM(Tableau1[[#This Row],[Comission et courtage sur achats]:[Autres ou honoraires
 non précisé ]])</f>
        <v>13136</v>
      </c>
      <c r="DX41" s="121"/>
      <c r="DY41" s="57">
        <v>565</v>
      </c>
      <c r="DZ41" s="65">
        <v>5520</v>
      </c>
      <c r="EA41" s="65">
        <v>51</v>
      </c>
      <c r="EB41" s="65">
        <f>7000</f>
        <v>7000</v>
      </c>
      <c r="EC41" s="68">
        <f t="shared" si="25"/>
        <v>12419</v>
      </c>
      <c r="ED41" s="69">
        <v>333</v>
      </c>
      <c r="EE41" s="69">
        <v>10235</v>
      </c>
      <c r="EF41" s="105"/>
      <c r="EG41" s="69"/>
      <c r="EH41" s="69">
        <f>30+21+1800</f>
        <v>1851</v>
      </c>
      <c r="EI41" s="84">
        <f>SUM(Tableau1[[#This Row],[Transports sur films]:[autres ]])</f>
        <v>1911</v>
      </c>
      <c r="EJ41" s="132">
        <v>1911</v>
      </c>
      <c r="EK41" s="132"/>
      <c r="EL41" s="68">
        <f t="shared" si="26"/>
        <v>3740</v>
      </c>
      <c r="EM41" s="65">
        <v>2939</v>
      </c>
      <c r="EN41" s="65">
        <v>0</v>
      </c>
      <c r="EO41" s="65"/>
      <c r="EP41" s="65"/>
      <c r="EQ41" s="65"/>
      <c r="ER41" s="65"/>
      <c r="ES41" s="65">
        <v>801</v>
      </c>
      <c r="ET41" s="68">
        <f t="shared" si="27"/>
        <v>5710</v>
      </c>
      <c r="EU41" s="65">
        <v>5080</v>
      </c>
      <c r="EV41" s="65"/>
      <c r="EW41" s="65"/>
      <c r="EX41" s="65">
        <v>630</v>
      </c>
      <c r="EY41" s="65"/>
      <c r="EZ41" s="68">
        <f>SUM(Tableau1[[#This Row],[Frais sur CB]:[Services bancaires]])</f>
        <v>13903</v>
      </c>
      <c r="FA41" s="65">
        <v>11577</v>
      </c>
      <c r="FB41" s="65">
        <f>111+2215</f>
        <v>2326</v>
      </c>
      <c r="FC41" s="70">
        <f t="shared" si="28"/>
        <v>364</v>
      </c>
      <c r="FD41" s="65">
        <v>364</v>
      </c>
      <c r="FE41" s="71">
        <f t="shared" si="29"/>
        <v>29184</v>
      </c>
      <c r="FF41" s="72">
        <f t="shared" si="30"/>
        <v>3834</v>
      </c>
      <c r="FG41" s="65">
        <v>2485</v>
      </c>
      <c r="FH41" s="65">
        <v>1349</v>
      </c>
      <c r="FI41" s="65"/>
      <c r="FJ41" s="56">
        <f t="shared" si="31"/>
        <v>25350</v>
      </c>
      <c r="FK41" s="65">
        <v>13874</v>
      </c>
      <c r="FL41" s="65">
        <v>8985</v>
      </c>
      <c r="FM41" s="65">
        <v>2491</v>
      </c>
      <c r="FN41" s="65"/>
      <c r="FO41" s="67">
        <f t="shared" si="32"/>
        <v>248243</v>
      </c>
      <c r="FP41" s="57">
        <v>194770</v>
      </c>
      <c r="FQ41" s="73">
        <v>53473</v>
      </c>
      <c r="FR41" s="73"/>
      <c r="FS41" s="71">
        <f t="shared" si="33"/>
        <v>336973</v>
      </c>
      <c r="FT41" s="91">
        <v>336123</v>
      </c>
      <c r="FU41" s="91">
        <v>850</v>
      </c>
      <c r="FV41" s="67">
        <f>SUM(Tableau1[[#This Row],[Droits d''auteurs SACEM + cotisations SACEM]:[Autres ou non préciés]])</f>
        <v>21020</v>
      </c>
      <c r="FW41" s="75">
        <f t="shared" si="34"/>
        <v>20802</v>
      </c>
      <c r="FX41" s="74">
        <v>20802</v>
      </c>
      <c r="FY41" s="74"/>
      <c r="FZ41" s="74"/>
      <c r="GA41" s="74">
        <f>156+62</f>
        <v>218</v>
      </c>
      <c r="GB41" s="71">
        <f t="shared" si="35"/>
        <v>109196</v>
      </c>
      <c r="GC41" s="92">
        <v>109196</v>
      </c>
      <c r="GD41" s="92"/>
      <c r="GE41" s="67">
        <f t="shared" si="36"/>
        <v>1465</v>
      </c>
      <c r="GF41" s="66">
        <v>1465</v>
      </c>
      <c r="GG41" s="66"/>
      <c r="GH41" s="66"/>
      <c r="GI41" s="66"/>
      <c r="GJ41" s="77"/>
    </row>
    <row r="42" spans="1:192" ht="18.600000000000001" customHeight="1" x14ac:dyDescent="0.25">
      <c r="A42" s="89"/>
      <c r="B42" s="17"/>
      <c r="C42" s="50"/>
      <c r="D42" s="140"/>
      <c r="E42" s="51"/>
      <c r="F42" s="139"/>
      <c r="G42" s="49"/>
      <c r="H42" s="50"/>
      <c r="I42" s="122"/>
      <c r="J42" s="49"/>
      <c r="K42" s="50">
        <v>8</v>
      </c>
      <c r="L42" s="50"/>
      <c r="M42" s="90">
        <v>53</v>
      </c>
      <c r="N42" s="50"/>
      <c r="O42" s="50"/>
      <c r="P42" s="90"/>
      <c r="Q42" s="52">
        <f t="shared" si="0"/>
        <v>1398135.1700000002</v>
      </c>
      <c r="R42" s="52">
        <f t="shared" si="1"/>
        <v>1393028.77</v>
      </c>
      <c r="S42" s="53">
        <f t="shared" si="2"/>
        <v>1335296.77</v>
      </c>
      <c r="T42" s="54">
        <f t="shared" si="3"/>
        <v>145246.66999999998</v>
      </c>
      <c r="U42" s="115">
        <f>SUM(Tableau1[[#This Row],[Vente confiserie]:[Vente boisson]])</f>
        <v>144880.07</v>
      </c>
      <c r="V42" s="55">
        <f>112101.35+32778.72</f>
        <v>144880.07</v>
      </c>
      <c r="W42" s="55"/>
      <c r="X42" s="135">
        <f>SUM(Tableau1[[#This Row],[Vente lunette]:[Location lunette]])</f>
        <v>0</v>
      </c>
      <c r="Y42" s="55"/>
      <c r="Z42" s="55"/>
      <c r="AA42" s="55">
        <v>320.8</v>
      </c>
      <c r="AB42" s="55">
        <v>45.8</v>
      </c>
      <c r="AC42" s="56">
        <f t="shared" si="38"/>
        <v>1166007.3</v>
      </c>
      <c r="AD42" s="57">
        <f>859867+17883</f>
        <v>877750</v>
      </c>
      <c r="AE42" s="57"/>
      <c r="AF42" s="57"/>
      <c r="AG42" s="57">
        <v>136</v>
      </c>
      <c r="AH42" s="57">
        <v>120032.3</v>
      </c>
      <c r="AI42" s="57">
        <v>168089</v>
      </c>
      <c r="AJ42" s="118">
        <f>(Tableau1[[#This Row],[Recette guichet ]]*1.1275177)-Tableau1[[#This Row],[Recette guichet ]]</f>
        <v>111928.66117500002</v>
      </c>
      <c r="AK42" s="57"/>
      <c r="AL42" s="56">
        <f t="shared" si="39"/>
        <v>24042.800000000003</v>
      </c>
      <c r="AM42" s="58"/>
      <c r="AN42" s="58"/>
      <c r="AO42" s="58">
        <v>160</v>
      </c>
      <c r="AP42" s="115">
        <f t="shared" si="6"/>
        <v>23188.9</v>
      </c>
      <c r="AQ42" s="69"/>
      <c r="AR42" s="69"/>
      <c r="AS42" s="69">
        <v>23188.9</v>
      </c>
      <c r="AT42" s="69">
        <v>693.9</v>
      </c>
      <c r="AU42" s="59">
        <f t="shared" si="7"/>
        <v>57732</v>
      </c>
      <c r="AV42" s="60">
        <f t="shared" si="8"/>
        <v>34874</v>
      </c>
      <c r="AW42" s="58">
        <v>34874</v>
      </c>
      <c r="AX42" s="58"/>
      <c r="AY42" s="58"/>
      <c r="AZ42" s="60">
        <f t="shared" si="40"/>
        <v>21133</v>
      </c>
      <c r="BA42" s="58"/>
      <c r="BB42" s="58">
        <f>4332+16801</f>
        <v>21133</v>
      </c>
      <c r="BC42" s="58"/>
      <c r="BD42" s="60">
        <f>SUM(Tableau1[[#This Row],[ticket/carte/abonnement périmé]:[Autres ou non précisé 5]])</f>
        <v>1725</v>
      </c>
      <c r="BE42" s="58"/>
      <c r="BF42" s="58"/>
      <c r="BG42" s="58">
        <v>1725</v>
      </c>
      <c r="BH42" s="61">
        <f t="shared" si="10"/>
        <v>600.6</v>
      </c>
      <c r="BI42" s="120">
        <v>600.6</v>
      </c>
      <c r="BJ42" s="120"/>
      <c r="BK42" s="62">
        <f t="shared" si="11"/>
        <v>4505.8</v>
      </c>
      <c r="BL42" s="120">
        <v>2477.8000000000002</v>
      </c>
      <c r="BM42" s="120"/>
      <c r="BN42" s="120"/>
      <c r="BO42" s="120"/>
      <c r="BP42" s="120">
        <v>2028</v>
      </c>
      <c r="BQ42" s="63"/>
      <c r="BR42" s="52">
        <f t="shared" si="12"/>
        <v>1361815.31</v>
      </c>
      <c r="BS42" s="52">
        <f t="shared" si="13"/>
        <v>1287966.6100000001</v>
      </c>
      <c r="BT42" s="61">
        <f t="shared" si="14"/>
        <v>48160.6</v>
      </c>
      <c r="BU42" s="64">
        <f t="shared" si="15"/>
        <v>48163.6</v>
      </c>
      <c r="BV42" s="119">
        <f>SUM(Tableau1[[#This Row],[Achats confiserie]:[Achats boisson]])</f>
        <v>0</v>
      </c>
      <c r="BW42" s="58"/>
      <c r="BX42" s="69"/>
      <c r="BY42" s="58">
        <v>48163.6</v>
      </c>
      <c r="BZ42" s="56">
        <f t="shared" si="16"/>
        <v>0</v>
      </c>
      <c r="CA42" s="66"/>
      <c r="CB42" s="66"/>
      <c r="CC42" s="56">
        <f t="shared" si="17"/>
        <v>-3</v>
      </c>
      <c r="CD42" s="55"/>
      <c r="CE42" s="65"/>
      <c r="CF42" s="55"/>
      <c r="CG42" s="55">
        <f>-222+219</f>
        <v>-3</v>
      </c>
      <c r="CH42" s="67">
        <f t="shared" si="18"/>
        <v>819844.42</v>
      </c>
      <c r="CI42" s="68">
        <f t="shared" si="37"/>
        <v>511642.8</v>
      </c>
      <c r="CJ42" s="55"/>
      <c r="CK42" s="55">
        <v>509991</v>
      </c>
      <c r="CL42" s="55">
        <v>880</v>
      </c>
      <c r="CM42" s="55"/>
      <c r="CN42" s="55">
        <f>771.8</f>
        <v>771.8</v>
      </c>
      <c r="CO42" s="68">
        <f t="shared" si="20"/>
        <v>51655.9</v>
      </c>
      <c r="CP42" s="75">
        <f>SUM(Tableau1[[#This Row],[Fourniture eau]:[Energie (non précisé)]])</f>
        <v>39490</v>
      </c>
      <c r="CQ42" s="55">
        <v>1827</v>
      </c>
      <c r="CR42" s="55"/>
      <c r="CS42" s="55"/>
      <c r="CT42" s="55">
        <f>37663</f>
        <v>37663</v>
      </c>
      <c r="CU42" s="55">
        <v>4451</v>
      </c>
      <c r="CV42" s="55">
        <v>7714.9</v>
      </c>
      <c r="CW42" s="55"/>
      <c r="CX42" s="68">
        <f>SUM(Tableau1[[#This Row],[Sous-traitance]:[Autres ou non précisé 12]])</f>
        <v>60113</v>
      </c>
      <c r="CY42" s="65"/>
      <c r="CZ42" s="65">
        <f>25182+24856</f>
        <v>50038</v>
      </c>
      <c r="DA42" s="65">
        <v>1266</v>
      </c>
      <c r="DB42" s="65"/>
      <c r="DC42" s="55">
        <v>8809</v>
      </c>
      <c r="DD42" s="68">
        <f t="shared" si="41"/>
        <v>44616.6</v>
      </c>
      <c r="DE42" s="55">
        <v>36439.599999999999</v>
      </c>
      <c r="DF42" s="65"/>
      <c r="DG42" s="58">
        <v>8177</v>
      </c>
      <c r="DH42" s="65"/>
      <c r="DI42" s="68">
        <f>SUM(Tableau1[[#This Row],[Entretien et réparation matériel de projection]:[Autres ou non précisé 14]])</f>
        <v>28103</v>
      </c>
      <c r="DJ42" s="104">
        <v>28103</v>
      </c>
      <c r="DK42" s="58"/>
      <c r="DL42" s="69"/>
      <c r="DM42" s="68">
        <f t="shared" si="22"/>
        <v>0</v>
      </c>
      <c r="DN42" s="58"/>
      <c r="DO42" s="58"/>
      <c r="DP42" s="68">
        <f t="shared" si="23"/>
        <v>27868</v>
      </c>
      <c r="DQ42" s="65">
        <f>26673+500</f>
        <v>27173</v>
      </c>
      <c r="DR42" s="65">
        <v>695</v>
      </c>
      <c r="DS42" s="68">
        <f t="shared" si="24"/>
        <v>11877.55</v>
      </c>
      <c r="DT42" s="65"/>
      <c r="DU42" s="65">
        <v>11877.55</v>
      </c>
      <c r="DV42" s="65"/>
      <c r="DW42" s="68">
        <f>SUM(Tableau1[[#This Row],[Comission et courtage sur achats]:[Autres ou honoraires
 non précisé ]])</f>
        <v>22887.3</v>
      </c>
      <c r="DX42" s="57"/>
      <c r="DY42" s="57"/>
      <c r="DZ42" s="65">
        <v>20786.599999999999</v>
      </c>
      <c r="EA42" s="65">
        <v>349.7</v>
      </c>
      <c r="EB42" s="65">
        <v>1751</v>
      </c>
      <c r="EC42" s="68">
        <f t="shared" si="25"/>
        <v>23637</v>
      </c>
      <c r="ED42" s="69"/>
      <c r="EE42" s="69">
        <v>6321</v>
      </c>
      <c r="EF42" s="69"/>
      <c r="EG42" s="69"/>
      <c r="EH42" s="69">
        <f>17070+246</f>
        <v>17316</v>
      </c>
      <c r="EI42" s="84">
        <f>SUM(Tableau1[[#This Row],[Transports sur films]:[autres ]])</f>
        <v>1167.5999999999999</v>
      </c>
      <c r="EJ42" s="132">
        <v>1167.5999999999999</v>
      </c>
      <c r="EK42" s="132"/>
      <c r="EL42" s="68">
        <f t="shared" si="26"/>
        <v>20193.900000000001</v>
      </c>
      <c r="EM42" s="65">
        <v>1038</v>
      </c>
      <c r="EN42" s="65">
        <v>0</v>
      </c>
      <c r="EO42" s="65"/>
      <c r="EP42" s="65">
        <v>9429.9</v>
      </c>
      <c r="EQ42" s="65">
        <v>1652</v>
      </c>
      <c r="ER42" s="65">
        <v>2020</v>
      </c>
      <c r="ES42" s="65">
        <v>6054</v>
      </c>
      <c r="ET42" s="68">
        <f t="shared" si="27"/>
        <v>8447.9</v>
      </c>
      <c r="EU42" s="65">
        <v>3594</v>
      </c>
      <c r="EV42" s="65">
        <v>2228</v>
      </c>
      <c r="EW42" s="65"/>
      <c r="EX42" s="65">
        <v>2625.9</v>
      </c>
      <c r="EY42" s="65"/>
      <c r="EZ42" s="68">
        <f>SUM(Tableau1[[#This Row],[Frais sur CB]:[Services bancaires]])</f>
        <v>1925</v>
      </c>
      <c r="FA42" s="65">
        <v>1925</v>
      </c>
      <c r="FB42" s="65"/>
      <c r="FC42" s="70">
        <f t="shared" si="28"/>
        <v>5708.87</v>
      </c>
      <c r="FD42" s="65">
        <v>5708.87</v>
      </c>
      <c r="FE42" s="71">
        <f t="shared" si="29"/>
        <v>14892</v>
      </c>
      <c r="FF42" s="72">
        <f t="shared" si="30"/>
        <v>3753</v>
      </c>
      <c r="FG42" s="65">
        <v>1857</v>
      </c>
      <c r="FH42" s="65">
        <v>1896</v>
      </c>
      <c r="FI42" s="65"/>
      <c r="FJ42" s="56">
        <f t="shared" si="31"/>
        <v>11139</v>
      </c>
      <c r="FK42" s="65">
        <v>4086</v>
      </c>
      <c r="FL42" s="65">
        <v>5134</v>
      </c>
      <c r="FM42" s="65"/>
      <c r="FN42" s="65">
        <f>1800+119</f>
        <v>1919</v>
      </c>
      <c r="FO42" s="67">
        <f t="shared" si="32"/>
        <v>364377.59999999998</v>
      </c>
      <c r="FP42" s="57">
        <v>274981.7</v>
      </c>
      <c r="FQ42" s="73">
        <v>89395.9</v>
      </c>
      <c r="FR42" s="73"/>
      <c r="FS42" s="71">
        <f t="shared" si="33"/>
        <v>23534.6</v>
      </c>
      <c r="FT42" s="91">
        <v>23534.6</v>
      </c>
      <c r="FU42" s="91"/>
      <c r="FV42" s="67">
        <f>SUM(Tableau1[[#This Row],[Droits d''auteurs SACEM + cotisations SACEM]:[Autres ou non préciés]])</f>
        <v>17157.39</v>
      </c>
      <c r="FW42" s="75">
        <f t="shared" si="34"/>
        <v>17060</v>
      </c>
      <c r="FX42" s="74">
        <v>17060</v>
      </c>
      <c r="FY42" s="74"/>
      <c r="FZ42" s="74"/>
      <c r="GA42" s="74">
        <v>97.39</v>
      </c>
      <c r="GB42" s="71">
        <f t="shared" si="35"/>
        <v>65663.7</v>
      </c>
      <c r="GC42" s="92">
        <v>65663.7</v>
      </c>
      <c r="GD42" s="92"/>
      <c r="GE42" s="67">
        <f t="shared" si="36"/>
        <v>1570</v>
      </c>
      <c r="GF42" s="66">
        <v>1570</v>
      </c>
      <c r="GG42" s="66"/>
      <c r="GH42" s="66"/>
      <c r="GI42" s="66"/>
      <c r="GJ42" s="77">
        <v>6615</v>
      </c>
    </row>
    <row r="43" spans="1:192" ht="18.600000000000001" customHeight="1" x14ac:dyDescent="0.25">
      <c r="A43" s="89"/>
      <c r="B43" s="17"/>
      <c r="C43" s="50"/>
      <c r="D43" s="140"/>
      <c r="E43" s="51"/>
      <c r="F43" s="139"/>
      <c r="G43" s="49"/>
      <c r="H43" s="50"/>
      <c r="I43" s="122"/>
      <c r="J43" s="49"/>
      <c r="K43" s="50">
        <v>8</v>
      </c>
      <c r="L43" s="50"/>
      <c r="M43" s="90">
        <v>53</v>
      </c>
      <c r="N43" s="50"/>
      <c r="O43" s="50"/>
      <c r="P43" s="90"/>
      <c r="Q43" s="52">
        <f t="shared" si="0"/>
        <v>1479900.09</v>
      </c>
      <c r="R43" s="52">
        <f t="shared" si="1"/>
        <v>1478203.79</v>
      </c>
      <c r="S43" s="53">
        <f t="shared" si="2"/>
        <v>1435747.29</v>
      </c>
      <c r="T43" s="54">
        <f t="shared" si="3"/>
        <v>172983.17</v>
      </c>
      <c r="U43" s="115">
        <f>SUM(Tableau1[[#This Row],[Vente confiserie]:[Vente boisson]])</f>
        <v>172589</v>
      </c>
      <c r="V43" s="55">
        <f>135108+37481</f>
        <v>172589</v>
      </c>
      <c r="W43" s="55"/>
      <c r="X43" s="135">
        <f>SUM(Tableau1[[#This Row],[Vente lunette]:[Location lunette]])</f>
        <v>0</v>
      </c>
      <c r="Y43" s="55"/>
      <c r="Z43" s="55"/>
      <c r="AA43" s="55">
        <v>394.17</v>
      </c>
      <c r="AB43" s="55"/>
      <c r="AC43" s="56">
        <f t="shared" si="38"/>
        <v>1235116.1200000001</v>
      </c>
      <c r="AD43" s="57">
        <f>924597.8+16859.29</f>
        <v>941457.09000000008</v>
      </c>
      <c r="AE43" s="57"/>
      <c r="AF43" s="57"/>
      <c r="AG43" s="57">
        <v>58.33</v>
      </c>
      <c r="AH43" s="57">
        <v>108719.2</v>
      </c>
      <c r="AI43" s="57">
        <v>184881.5</v>
      </c>
      <c r="AJ43" s="118">
        <f>(Tableau1[[#This Row],[Recette guichet ]]*1.1275177)-Tableau1[[#This Row],[Recette guichet ]]</f>
        <v>120052.44276549318</v>
      </c>
      <c r="AK43" s="57"/>
      <c r="AL43" s="56">
        <f t="shared" si="39"/>
        <v>27648</v>
      </c>
      <c r="AM43" s="58"/>
      <c r="AN43" s="58"/>
      <c r="AO43" s="58">
        <v>250</v>
      </c>
      <c r="AP43" s="115">
        <f t="shared" si="6"/>
        <v>27398</v>
      </c>
      <c r="AQ43" s="69"/>
      <c r="AR43" s="69"/>
      <c r="AS43" s="69">
        <v>27398</v>
      </c>
      <c r="AT43" s="69"/>
      <c r="AU43" s="59">
        <f t="shared" si="7"/>
        <v>42456.5</v>
      </c>
      <c r="AV43" s="60">
        <f t="shared" si="8"/>
        <v>32859.800000000003</v>
      </c>
      <c r="AW43" s="58">
        <v>32859.800000000003</v>
      </c>
      <c r="AX43" s="58"/>
      <c r="AY43" s="58"/>
      <c r="AZ43" s="60">
        <f t="shared" si="40"/>
        <v>9004.7000000000007</v>
      </c>
      <c r="BA43" s="58">
        <v>900</v>
      </c>
      <c r="BB43" s="58">
        <v>8104.7</v>
      </c>
      <c r="BC43" s="58"/>
      <c r="BD43" s="60">
        <f>SUM(Tableau1[[#This Row],[ticket/carte/abonnement périmé]:[Autres ou non précisé 5]])</f>
        <v>592</v>
      </c>
      <c r="BE43" s="58"/>
      <c r="BF43" s="58"/>
      <c r="BG43" s="58">
        <v>592</v>
      </c>
      <c r="BH43" s="61">
        <f t="shared" si="10"/>
        <v>1066.3</v>
      </c>
      <c r="BI43" s="120">
        <v>1066.3</v>
      </c>
      <c r="BJ43" s="120"/>
      <c r="BK43" s="62">
        <f t="shared" si="11"/>
        <v>630</v>
      </c>
      <c r="BL43" s="120">
        <v>630</v>
      </c>
      <c r="BM43" s="120"/>
      <c r="BN43" s="120"/>
      <c r="BO43" s="120"/>
      <c r="BP43" s="120"/>
      <c r="BQ43" s="63"/>
      <c r="BR43" s="52">
        <f t="shared" si="12"/>
        <v>1489305.9</v>
      </c>
      <c r="BS43" s="52">
        <f t="shared" si="13"/>
        <v>1413863.2999999998</v>
      </c>
      <c r="BT43" s="61">
        <f t="shared" si="14"/>
        <v>52486.200000000004</v>
      </c>
      <c r="BU43" s="64">
        <f t="shared" si="15"/>
        <v>53540.800000000003</v>
      </c>
      <c r="BV43" s="119">
        <f>SUM(Tableau1[[#This Row],[Achats confiserie]:[Achats boisson]])</f>
        <v>0</v>
      </c>
      <c r="BW43" s="58"/>
      <c r="BX43" s="69"/>
      <c r="BY43" s="58">
        <f>53540.8</f>
        <v>53540.800000000003</v>
      </c>
      <c r="BZ43" s="56">
        <f t="shared" si="16"/>
        <v>0</v>
      </c>
      <c r="CA43" s="66"/>
      <c r="CB43" s="66"/>
      <c r="CC43" s="56">
        <f t="shared" si="17"/>
        <v>-1054.5999999999999</v>
      </c>
      <c r="CD43" s="55"/>
      <c r="CE43" s="65"/>
      <c r="CF43" s="55"/>
      <c r="CG43" s="55">
        <f>-444.6-610</f>
        <v>-1054.5999999999999</v>
      </c>
      <c r="CH43" s="67">
        <f t="shared" si="18"/>
        <v>868249.57</v>
      </c>
      <c r="CI43" s="68">
        <f t="shared" si="37"/>
        <v>568180.29999999993</v>
      </c>
      <c r="CJ43" s="55"/>
      <c r="CK43" s="55">
        <v>566605</v>
      </c>
      <c r="CL43" s="55">
        <v>764.6</v>
      </c>
      <c r="CM43" s="55"/>
      <c r="CN43" s="55">
        <f>165+645.7</f>
        <v>810.7</v>
      </c>
      <c r="CO43" s="68">
        <f t="shared" si="20"/>
        <v>68010.66</v>
      </c>
      <c r="CP43" s="75">
        <f>SUM(Tableau1[[#This Row],[Fourniture eau]:[Energie (non précisé)]])</f>
        <v>53780.7</v>
      </c>
      <c r="CQ43" s="55">
        <v>4038</v>
      </c>
      <c r="CR43" s="55"/>
      <c r="CS43" s="55"/>
      <c r="CT43" s="55">
        <f>49742.7</f>
        <v>49742.7</v>
      </c>
      <c r="CU43" s="55">
        <f>2608.6</f>
        <v>2608.6</v>
      </c>
      <c r="CV43" s="55">
        <v>11621.36</v>
      </c>
      <c r="CW43" s="55"/>
      <c r="CX43" s="68">
        <f>SUM(Tableau1[[#This Row],[Sous-traitance]:[Autres ou non précisé 12]])</f>
        <v>58098.9</v>
      </c>
      <c r="CY43" s="65"/>
      <c r="CZ43" s="65">
        <f>25202.9+25200</f>
        <v>50402.9</v>
      </c>
      <c r="DA43" s="93">
        <v>1080</v>
      </c>
      <c r="DB43" s="65"/>
      <c r="DC43" s="55">
        <v>6616</v>
      </c>
      <c r="DD43" s="68">
        <f t="shared" si="41"/>
        <v>51073</v>
      </c>
      <c r="DE43" s="55">
        <v>39187</v>
      </c>
      <c r="DF43" s="65"/>
      <c r="DG43" s="58">
        <v>11886</v>
      </c>
      <c r="DH43" s="65"/>
      <c r="DI43" s="68">
        <f>SUM(Tableau1[[#This Row],[Entretien et réparation matériel de projection]:[Autres ou non précisé 14]])</f>
        <v>36441</v>
      </c>
      <c r="DJ43" s="104">
        <v>36441</v>
      </c>
      <c r="DK43" s="58"/>
      <c r="DL43" s="69"/>
      <c r="DM43" s="68">
        <f t="shared" si="22"/>
        <v>0</v>
      </c>
      <c r="DN43" s="58"/>
      <c r="DO43" s="58"/>
      <c r="DP43" s="68">
        <f t="shared" si="23"/>
        <v>18361.57</v>
      </c>
      <c r="DQ43" s="65">
        <v>17882.57</v>
      </c>
      <c r="DR43" s="65">
        <v>479</v>
      </c>
      <c r="DS43" s="68">
        <f t="shared" si="24"/>
        <v>0</v>
      </c>
      <c r="DT43" s="65"/>
      <c r="DU43" s="65"/>
      <c r="DV43" s="65"/>
      <c r="DW43" s="68">
        <f>SUM(Tableau1[[#This Row],[Comission et courtage sur achats]:[Autres ou honoraires
 non précisé ]])</f>
        <v>22985.179999999997</v>
      </c>
      <c r="DX43" s="57"/>
      <c r="DY43" s="57"/>
      <c r="DZ43" s="65">
        <v>20766.599999999999</v>
      </c>
      <c r="EA43" s="65">
        <v>42.8</v>
      </c>
      <c r="EB43" s="65">
        <v>2175.7800000000002</v>
      </c>
      <c r="EC43" s="68">
        <f t="shared" si="25"/>
        <v>15498.7</v>
      </c>
      <c r="ED43" s="69"/>
      <c r="EE43" s="69">
        <v>3506</v>
      </c>
      <c r="EF43" s="69"/>
      <c r="EG43" s="69"/>
      <c r="EH43" s="69">
        <v>11992.7</v>
      </c>
      <c r="EI43" s="84">
        <f>SUM(Tableau1[[#This Row],[Transports sur films]:[autres ]])</f>
        <v>764.6</v>
      </c>
      <c r="EJ43" s="132">
        <v>764.6</v>
      </c>
      <c r="EK43" s="132"/>
      <c r="EL43" s="68">
        <f t="shared" si="26"/>
        <v>15152.32</v>
      </c>
      <c r="EM43" s="65">
        <v>1748</v>
      </c>
      <c r="EN43" s="65">
        <v>0</v>
      </c>
      <c r="EO43" s="65"/>
      <c r="EP43" s="65">
        <v>4841.72</v>
      </c>
      <c r="EQ43" s="65">
        <v>2156.6</v>
      </c>
      <c r="ER43" s="65">
        <v>2174</v>
      </c>
      <c r="ES43" s="65">
        <v>4232</v>
      </c>
      <c r="ET43" s="68">
        <f t="shared" si="27"/>
        <v>6752.8</v>
      </c>
      <c r="EU43" s="65">
        <v>3261</v>
      </c>
      <c r="EV43" s="65">
        <v>848.8</v>
      </c>
      <c r="EW43" s="65"/>
      <c r="EX43" s="65">
        <v>2643</v>
      </c>
      <c r="EY43" s="65"/>
      <c r="EZ43" s="68">
        <f>SUM(Tableau1[[#This Row],[Frais sur CB]:[Services bancaires]])</f>
        <v>1313</v>
      </c>
      <c r="FA43" s="65">
        <v>1313</v>
      </c>
      <c r="FB43" s="65"/>
      <c r="FC43" s="70">
        <f t="shared" si="28"/>
        <v>5617.54</v>
      </c>
      <c r="FD43" s="65">
        <v>5617.54</v>
      </c>
      <c r="FE43" s="71">
        <f t="shared" si="29"/>
        <v>15918.7</v>
      </c>
      <c r="FF43" s="72">
        <f t="shared" si="30"/>
        <v>4114</v>
      </c>
      <c r="FG43" s="65">
        <v>2065</v>
      </c>
      <c r="FH43" s="65">
        <v>2049</v>
      </c>
      <c r="FI43" s="65"/>
      <c r="FJ43" s="56">
        <f t="shared" si="31"/>
        <v>11804.7</v>
      </c>
      <c r="FK43" s="65">
        <v>4048</v>
      </c>
      <c r="FL43" s="65">
        <v>5444</v>
      </c>
      <c r="FM43" s="65"/>
      <c r="FN43" s="65">
        <f>1800+436.7+76</f>
        <v>2312.6999999999998</v>
      </c>
      <c r="FO43" s="67">
        <f t="shared" si="32"/>
        <v>395309.7</v>
      </c>
      <c r="FP43" s="57">
        <v>293585.7</v>
      </c>
      <c r="FQ43" s="73">
        <v>101724</v>
      </c>
      <c r="FR43" s="73"/>
      <c r="FS43" s="71">
        <f t="shared" si="33"/>
        <v>55287.74</v>
      </c>
      <c r="FT43" s="91">
        <v>55287.74</v>
      </c>
      <c r="FU43" s="91"/>
      <c r="FV43" s="67">
        <f>SUM(Tableau1[[#This Row],[Droits d''auteurs SACEM + cotisations SACEM]:[Autres ou non préciés]])</f>
        <v>26611.390000000003</v>
      </c>
      <c r="FW43" s="75">
        <f t="shared" si="34"/>
        <v>26310.9</v>
      </c>
      <c r="FX43" s="74">
        <v>26310.9</v>
      </c>
      <c r="FY43" s="74"/>
      <c r="FZ43" s="74"/>
      <c r="GA43" s="74">
        <v>300.49</v>
      </c>
      <c r="GB43" s="71">
        <f t="shared" si="35"/>
        <v>62389.599999999999</v>
      </c>
      <c r="GC43" s="92">
        <v>62389.599999999999</v>
      </c>
      <c r="GD43" s="92"/>
      <c r="GE43" s="67">
        <f t="shared" si="36"/>
        <v>13053</v>
      </c>
      <c r="GF43" s="66">
        <v>13003</v>
      </c>
      <c r="GG43" s="66">
        <v>50</v>
      </c>
      <c r="GH43" s="66"/>
      <c r="GI43" s="66"/>
      <c r="GJ43" s="77"/>
    </row>
    <row r="44" spans="1:192" ht="18.600000000000001" customHeight="1" x14ac:dyDescent="0.25">
      <c r="A44" s="89"/>
      <c r="B44" s="17"/>
      <c r="C44" s="50"/>
      <c r="D44" s="140"/>
      <c r="E44" s="51"/>
      <c r="F44" s="139"/>
      <c r="G44" s="49"/>
      <c r="H44" s="50"/>
      <c r="I44" s="122"/>
      <c r="J44" s="49"/>
      <c r="K44" s="50">
        <v>2</v>
      </c>
      <c r="L44" s="50"/>
      <c r="M44" s="90">
        <v>53</v>
      </c>
      <c r="N44" s="50"/>
      <c r="O44" s="50"/>
      <c r="P44" s="90"/>
      <c r="Q44" s="52">
        <f t="shared" si="0"/>
        <v>265759</v>
      </c>
      <c r="R44" s="52">
        <f t="shared" si="1"/>
        <v>265759</v>
      </c>
      <c r="S44" s="53">
        <f t="shared" si="2"/>
        <v>265759</v>
      </c>
      <c r="T44" s="54">
        <f t="shared" si="3"/>
        <v>17459</v>
      </c>
      <c r="U44" s="115">
        <f>SUM(Tableau1[[#This Row],[Vente confiserie]:[Vente boisson]])</f>
        <v>17459</v>
      </c>
      <c r="V44" s="55">
        <f>9499+7960</f>
        <v>17459</v>
      </c>
      <c r="W44" s="55"/>
      <c r="X44" s="135">
        <f>SUM(Tableau1[[#This Row],[Vente lunette]:[Location lunette]])</f>
        <v>0</v>
      </c>
      <c r="Y44" s="55"/>
      <c r="Z44" s="55"/>
      <c r="AA44" s="55"/>
      <c r="AB44" s="55"/>
      <c r="AC44" s="56">
        <f t="shared" si="38"/>
        <v>243967</v>
      </c>
      <c r="AD44" s="57">
        <v>231764</v>
      </c>
      <c r="AE44" s="57"/>
      <c r="AF44" s="57"/>
      <c r="AG44" s="57"/>
      <c r="AH44" s="57"/>
      <c r="AI44" s="57"/>
      <c r="AJ44" s="118">
        <f>(Tableau1[[#This Row],[Recette guichet ]]*1.1275177)-Tableau1[[#This Row],[Recette guichet ]]</f>
        <v>29554.012222800025</v>
      </c>
      <c r="AK44" s="57">
        <v>12203</v>
      </c>
      <c r="AL44" s="56">
        <f t="shared" si="39"/>
        <v>4333</v>
      </c>
      <c r="AM44" s="58"/>
      <c r="AN44" s="58"/>
      <c r="AO44" s="58"/>
      <c r="AP44" s="115">
        <f t="shared" si="6"/>
        <v>4333</v>
      </c>
      <c r="AQ44" s="69"/>
      <c r="AR44" s="69"/>
      <c r="AS44" s="69">
        <v>4333</v>
      </c>
      <c r="AT44" s="69"/>
      <c r="AU44" s="59">
        <f t="shared" si="7"/>
        <v>0</v>
      </c>
      <c r="AV44" s="60">
        <f t="shared" si="8"/>
        <v>0</v>
      </c>
      <c r="AW44" s="58"/>
      <c r="AX44" s="58"/>
      <c r="AY44" s="58"/>
      <c r="AZ44" s="60">
        <f t="shared" si="40"/>
        <v>0</v>
      </c>
      <c r="BA44" s="58"/>
      <c r="BB44" s="58"/>
      <c r="BC44" s="58"/>
      <c r="BD44" s="60">
        <f>SUM(Tableau1[[#This Row],[ticket/carte/abonnement périmé]:[Autres ou non précisé 5]])</f>
        <v>0</v>
      </c>
      <c r="BE44" s="58"/>
      <c r="BF44" s="58"/>
      <c r="BG44" s="58"/>
      <c r="BH44" s="61">
        <f t="shared" si="10"/>
        <v>0</v>
      </c>
      <c r="BI44" s="120"/>
      <c r="BJ44" s="120"/>
      <c r="BK44" s="62">
        <f t="shared" si="11"/>
        <v>0</v>
      </c>
      <c r="BL44" s="120"/>
      <c r="BM44" s="120"/>
      <c r="BN44" s="120"/>
      <c r="BO44" s="120"/>
      <c r="BP44" s="120"/>
      <c r="BQ44" s="63"/>
      <c r="BR44" s="52">
        <f t="shared" si="12"/>
        <v>201565.4</v>
      </c>
      <c r="BS44" s="52">
        <f t="shared" si="13"/>
        <v>201565.4</v>
      </c>
      <c r="BT44" s="61">
        <f t="shared" si="14"/>
        <v>11751</v>
      </c>
      <c r="BU44" s="64">
        <f t="shared" si="15"/>
        <v>11751</v>
      </c>
      <c r="BV44" s="119">
        <f>SUM(Tableau1[[#This Row],[Achats confiserie]:[Achats boisson]])</f>
        <v>11751</v>
      </c>
      <c r="BW44" s="58">
        <f>6172+5579</f>
        <v>11751</v>
      </c>
      <c r="BX44" s="69"/>
      <c r="BY44" s="58"/>
      <c r="BZ44" s="56">
        <f t="shared" si="16"/>
        <v>0</v>
      </c>
      <c r="CA44" s="66"/>
      <c r="CB44" s="66"/>
      <c r="CC44" s="56">
        <f t="shared" si="17"/>
        <v>0</v>
      </c>
      <c r="CD44" s="55"/>
      <c r="CE44" s="65"/>
      <c r="CF44" s="55"/>
      <c r="CG44" s="55"/>
      <c r="CH44" s="67">
        <f t="shared" si="18"/>
        <v>163143.4</v>
      </c>
      <c r="CI44" s="68">
        <f t="shared" si="37"/>
        <v>103618</v>
      </c>
      <c r="CJ44" s="55">
        <v>7119</v>
      </c>
      <c r="CK44" s="55">
        <v>96499</v>
      </c>
      <c r="CL44" s="55"/>
      <c r="CM44" s="55"/>
      <c r="CN44" s="55"/>
      <c r="CO44" s="68">
        <f t="shared" si="20"/>
        <v>18112</v>
      </c>
      <c r="CP44" s="75">
        <f>SUM(Tableau1[[#This Row],[Fourniture eau]:[Energie (non précisé)]])</f>
        <v>10445</v>
      </c>
      <c r="CQ44" s="55">
        <v>616</v>
      </c>
      <c r="CR44" s="55"/>
      <c r="CS44" s="55"/>
      <c r="CT44" s="55">
        <v>9829</v>
      </c>
      <c r="CU44" s="55">
        <f>2413+1038+807</f>
        <v>4258</v>
      </c>
      <c r="CV44" s="55">
        <v>3409</v>
      </c>
      <c r="CW44" s="55"/>
      <c r="CX44" s="68">
        <f>SUM(Tableau1[[#This Row],[Sous-traitance]:[Autres ou non précisé 12]])</f>
        <v>3869.4</v>
      </c>
      <c r="CY44" s="65"/>
      <c r="CZ44" s="65"/>
      <c r="DA44" s="65">
        <v>3705</v>
      </c>
      <c r="DB44" s="65">
        <v>164.4</v>
      </c>
      <c r="DC44" s="55"/>
      <c r="DD44" s="68">
        <f t="shared" si="41"/>
        <v>8802</v>
      </c>
      <c r="DE44" s="55">
        <v>8802</v>
      </c>
      <c r="DF44" s="65"/>
      <c r="DG44" s="65"/>
      <c r="DH44" s="65"/>
      <c r="DI44" s="68">
        <f>SUM(Tableau1[[#This Row],[Entretien et réparation matériel de projection]:[Autres ou non précisé 14]])</f>
        <v>12602</v>
      </c>
      <c r="DJ44" s="58"/>
      <c r="DK44" s="58"/>
      <c r="DL44" s="69">
        <v>12602</v>
      </c>
      <c r="DM44" s="68">
        <f t="shared" si="22"/>
        <v>4737</v>
      </c>
      <c r="DN44" s="58"/>
      <c r="DO44" s="58">
        <v>4737</v>
      </c>
      <c r="DP44" s="68">
        <f t="shared" si="23"/>
        <v>3289</v>
      </c>
      <c r="DQ44" s="65">
        <v>3289</v>
      </c>
      <c r="DR44" s="65"/>
      <c r="DS44" s="68">
        <f t="shared" si="24"/>
        <v>0</v>
      </c>
      <c r="DT44" s="65"/>
      <c r="DU44" s="65"/>
      <c r="DV44" s="65"/>
      <c r="DW44" s="68">
        <f>SUM(Tableau1[[#This Row],[Comission et courtage sur achats]:[Autres ou honoraires
 non précisé ]])</f>
        <v>0</v>
      </c>
      <c r="DX44" s="57"/>
      <c r="DY44" s="57"/>
      <c r="DZ44" s="65"/>
      <c r="EA44" s="65"/>
      <c r="EB44" s="65"/>
      <c r="EC44" s="68">
        <f t="shared" si="25"/>
        <v>1603</v>
      </c>
      <c r="ED44" s="69"/>
      <c r="EE44" s="69"/>
      <c r="EF44" s="69">
        <v>1103</v>
      </c>
      <c r="EG44" s="69"/>
      <c r="EH44" s="69">
        <v>500</v>
      </c>
      <c r="EI44" s="84">
        <f>SUM(Tableau1[[#This Row],[Transports sur films]:[autres ]])</f>
        <v>1861</v>
      </c>
      <c r="EJ44" s="132">
        <v>1861</v>
      </c>
      <c r="EK44" s="132"/>
      <c r="EL44" s="68">
        <f t="shared" si="26"/>
        <v>2889</v>
      </c>
      <c r="EM44" s="65">
        <v>342</v>
      </c>
      <c r="EN44" s="65">
        <v>1532</v>
      </c>
      <c r="EO44" s="65">
        <v>1015</v>
      </c>
      <c r="EP44" s="65"/>
      <c r="EQ44" s="65"/>
      <c r="ER44" s="65"/>
      <c r="ES44" s="65"/>
      <c r="ET44" s="68">
        <f t="shared" si="27"/>
        <v>1616</v>
      </c>
      <c r="EU44" s="65"/>
      <c r="EV44" s="65"/>
      <c r="EW44" s="65">
        <v>1284</v>
      </c>
      <c r="EX44" s="65"/>
      <c r="EY44" s="65">
        <v>332</v>
      </c>
      <c r="EZ44" s="68">
        <f>SUM(Tableau1[[#This Row],[Frais sur CB]:[Services bancaires]])</f>
        <v>60</v>
      </c>
      <c r="FA44" s="65"/>
      <c r="FB44" s="65">
        <v>60</v>
      </c>
      <c r="FC44" s="70">
        <f t="shared" si="28"/>
        <v>85</v>
      </c>
      <c r="FD44" s="65">
        <v>85</v>
      </c>
      <c r="FE44" s="71">
        <f t="shared" si="29"/>
        <v>26671</v>
      </c>
      <c r="FF44" s="72">
        <f t="shared" si="30"/>
        <v>0</v>
      </c>
      <c r="FG44" s="65"/>
      <c r="FH44" s="65"/>
      <c r="FI44" s="65"/>
      <c r="FJ44" s="56">
        <f t="shared" si="31"/>
        <v>26671</v>
      </c>
      <c r="FK44" s="65"/>
      <c r="FL44" s="65"/>
      <c r="FM44" s="65">
        <v>26671</v>
      </c>
      <c r="FN44" s="65"/>
      <c r="FO44" s="67">
        <f t="shared" si="32"/>
        <v>0</v>
      </c>
      <c r="FP44" s="57"/>
      <c r="FQ44" s="73"/>
      <c r="FR44" s="73"/>
      <c r="FS44" s="71">
        <f t="shared" si="33"/>
        <v>0</v>
      </c>
      <c r="FT44" s="91"/>
      <c r="FU44" s="91"/>
      <c r="FV44" s="67">
        <f>SUM(Tableau1[[#This Row],[Droits d''auteurs SACEM + cotisations SACEM]:[Autres ou non préciés]])</f>
        <v>0</v>
      </c>
      <c r="FW44" s="75">
        <f t="shared" si="34"/>
        <v>0</v>
      </c>
      <c r="FX44" s="74">
        <v>0</v>
      </c>
      <c r="FY44" s="74"/>
      <c r="FZ44" s="74"/>
      <c r="GA44" s="74"/>
      <c r="GB44" s="71">
        <f t="shared" si="35"/>
        <v>0</v>
      </c>
      <c r="GC44" s="92"/>
      <c r="GD44" s="92"/>
      <c r="GE44" s="67">
        <f t="shared" si="36"/>
        <v>0</v>
      </c>
      <c r="GF44" s="66"/>
      <c r="GG44" s="66"/>
      <c r="GH44" s="66"/>
      <c r="GI44" s="66"/>
      <c r="GJ44" s="77"/>
    </row>
    <row r="45" spans="1:192" ht="18.600000000000001" customHeight="1" x14ac:dyDescent="0.25">
      <c r="A45" s="89"/>
      <c r="B45" s="17"/>
      <c r="C45" s="50"/>
      <c r="D45" s="140"/>
      <c r="E45" s="51"/>
      <c r="F45" s="139"/>
      <c r="G45" s="49"/>
      <c r="H45" s="50"/>
      <c r="I45" s="122"/>
      <c r="J45" s="49"/>
      <c r="K45" s="50">
        <v>9</v>
      </c>
      <c r="L45" s="50"/>
      <c r="M45" s="90">
        <v>53</v>
      </c>
      <c r="N45" s="50"/>
      <c r="O45" s="50"/>
      <c r="P45" s="90"/>
      <c r="Q45" s="52">
        <f t="shared" si="0"/>
        <v>3154481.6181818182</v>
      </c>
      <c r="R45" s="52">
        <f t="shared" si="1"/>
        <v>2924696.6181818182</v>
      </c>
      <c r="S45" s="53">
        <f t="shared" si="2"/>
        <v>2731419.8181818184</v>
      </c>
      <c r="T45" s="54">
        <f t="shared" si="3"/>
        <v>453037.81818181818</v>
      </c>
      <c r="U45" s="115">
        <f>SUM(Tableau1[[#This Row],[Vente confiserie]:[Vente boisson]])</f>
        <v>453037.81818181818</v>
      </c>
      <c r="V45" s="55">
        <f>(433884-22620)+(27766/1.1)+10199+6333</f>
        <v>453037.81818181818</v>
      </c>
      <c r="W45" s="55"/>
      <c r="X45" s="135">
        <f>SUM(Tableau1[[#This Row],[Vente lunette]:[Location lunette]])</f>
        <v>0</v>
      </c>
      <c r="Y45" s="55"/>
      <c r="Z45" s="55"/>
      <c r="AA45" s="55"/>
      <c r="AB45" s="95"/>
      <c r="AC45" s="56">
        <f t="shared" si="38"/>
        <v>2100489</v>
      </c>
      <c r="AD45" s="57">
        <f>2099889</f>
        <v>2099889</v>
      </c>
      <c r="AE45" s="57"/>
      <c r="AF45" s="57"/>
      <c r="AG45" s="57"/>
      <c r="AH45" s="57"/>
      <c r="AI45" s="57"/>
      <c r="AJ45" s="118">
        <f>(Tableau1[[#This Row],[Recette guichet ]]*1.1275177)-Tableau1[[#This Row],[Recette guichet ]]</f>
        <v>267773.01553530013</v>
      </c>
      <c r="AK45" s="55">
        <v>600</v>
      </c>
      <c r="AL45" s="56">
        <f t="shared" si="39"/>
        <v>177893</v>
      </c>
      <c r="AM45" s="58"/>
      <c r="AN45" s="58"/>
      <c r="AO45" s="58">
        <f>11215+2400+3735+6391+500+1550+747</f>
        <v>26538</v>
      </c>
      <c r="AP45" s="115">
        <f t="shared" si="6"/>
        <v>62866</v>
      </c>
      <c r="AQ45" s="69">
        <v>45214</v>
      </c>
      <c r="AR45" s="69">
        <v>13558</v>
      </c>
      <c r="AS45" s="69">
        <f>4094</f>
        <v>4094</v>
      </c>
      <c r="AT45" s="69">
        <f>88989-500</f>
        <v>88489</v>
      </c>
      <c r="AU45" s="59">
        <f t="shared" si="7"/>
        <v>193276.79999999999</v>
      </c>
      <c r="AV45" s="60">
        <f t="shared" si="8"/>
        <v>185695</v>
      </c>
      <c r="AW45" s="58">
        <v>172398</v>
      </c>
      <c r="AX45" s="58"/>
      <c r="AY45" s="58">
        <f>1980+11317</f>
        <v>13297</v>
      </c>
      <c r="AZ45" s="60">
        <f t="shared" si="40"/>
        <v>4543</v>
      </c>
      <c r="BA45" s="58"/>
      <c r="BB45" s="58">
        <v>4543</v>
      </c>
      <c r="BC45" s="58"/>
      <c r="BD45" s="60">
        <f>SUM(Tableau1[[#This Row],[ticket/carte/abonnement périmé]:[Autres ou non précisé 5]])</f>
        <v>3038.8</v>
      </c>
      <c r="BE45" s="58"/>
      <c r="BF45" s="58">
        <v>2730.8</v>
      </c>
      <c r="BG45" s="58">
        <v>308</v>
      </c>
      <c r="BH45" s="61">
        <f t="shared" si="10"/>
        <v>0</v>
      </c>
      <c r="BI45" s="120"/>
      <c r="BJ45" s="120"/>
      <c r="BK45" s="62">
        <f t="shared" si="11"/>
        <v>229785</v>
      </c>
      <c r="BL45" s="120">
        <v>5096</v>
      </c>
      <c r="BM45" s="120"/>
      <c r="BN45" s="120"/>
      <c r="BO45" s="120"/>
      <c r="BP45" s="120">
        <v>224689</v>
      </c>
      <c r="BQ45" s="63"/>
      <c r="BR45" s="52">
        <f t="shared" si="12"/>
        <v>2847985</v>
      </c>
      <c r="BS45" s="52">
        <f t="shared" si="13"/>
        <v>2840200</v>
      </c>
      <c r="BT45" s="61">
        <f t="shared" si="14"/>
        <v>157285</v>
      </c>
      <c r="BU45" s="64">
        <f t="shared" si="15"/>
        <v>153595</v>
      </c>
      <c r="BV45" s="119">
        <f>SUM(Tableau1[[#This Row],[Achats confiserie]:[Achats boisson]])</f>
        <v>136379</v>
      </c>
      <c r="BW45" s="58">
        <v>136379</v>
      </c>
      <c r="BX45" s="69"/>
      <c r="BY45" s="58">
        <v>17216</v>
      </c>
      <c r="BZ45" s="56">
        <f t="shared" si="16"/>
        <v>1220</v>
      </c>
      <c r="CA45" s="66">
        <v>1220</v>
      </c>
      <c r="CB45" s="66"/>
      <c r="CC45" s="56">
        <f t="shared" si="17"/>
        <v>2470</v>
      </c>
      <c r="CD45" s="55"/>
      <c r="CE45" s="65"/>
      <c r="CF45" s="55"/>
      <c r="CG45" s="55">
        <f>2331+139</f>
        <v>2470</v>
      </c>
      <c r="CH45" s="67">
        <f t="shared" si="18"/>
        <v>1727185</v>
      </c>
      <c r="CI45" s="68">
        <f t="shared" si="37"/>
        <v>923744</v>
      </c>
      <c r="CJ45" s="93"/>
      <c r="CK45" s="55">
        <v>923744</v>
      </c>
      <c r="CL45" s="55"/>
      <c r="CM45" s="55"/>
      <c r="CN45" s="55"/>
      <c r="CO45" s="68">
        <f t="shared" si="20"/>
        <v>150717</v>
      </c>
      <c r="CP45" s="75">
        <f>SUM(Tableau1[[#This Row],[Fourniture eau]:[Energie (non précisé)]])</f>
        <v>78575</v>
      </c>
      <c r="CQ45" s="55">
        <v>4160</v>
      </c>
      <c r="CR45" s="55">
        <v>74415</v>
      </c>
      <c r="CS45" s="55"/>
      <c r="CT45" s="55"/>
      <c r="CU45" s="55">
        <f>10683+37255+4690+5564+3198</f>
        <v>61390</v>
      </c>
      <c r="CV45" s="55">
        <v>10752</v>
      </c>
      <c r="CW45" s="55"/>
      <c r="CX45" s="68">
        <f>SUM(Tableau1[[#This Row],[Sous-traitance]:[Autres ou non précisé 12]])</f>
        <v>350992</v>
      </c>
      <c r="CY45" s="65">
        <f>1272+9428+5656+1831</f>
        <v>18187</v>
      </c>
      <c r="CZ45" s="65">
        <v>330966</v>
      </c>
      <c r="DA45" s="65"/>
      <c r="DB45" s="65">
        <v>1839</v>
      </c>
      <c r="DC45" s="55"/>
      <c r="DD45" s="68">
        <f t="shared" si="41"/>
        <v>51073</v>
      </c>
      <c r="DE45" s="55">
        <v>47302</v>
      </c>
      <c r="DF45" s="65"/>
      <c r="DG45" s="65">
        <f>1844+1927</f>
        <v>3771</v>
      </c>
      <c r="DH45" s="65"/>
      <c r="DI45" s="68">
        <f>SUM(Tableau1[[#This Row],[Entretien et réparation matériel de projection]:[Autres ou non précisé 14]])</f>
        <v>40592</v>
      </c>
      <c r="DJ45" s="58"/>
      <c r="DK45" s="58">
        <v>6379</v>
      </c>
      <c r="DL45" s="69">
        <v>34213</v>
      </c>
      <c r="DM45" s="68">
        <f t="shared" si="22"/>
        <v>27206</v>
      </c>
      <c r="DN45" s="58"/>
      <c r="DO45" s="58">
        <v>27206</v>
      </c>
      <c r="DP45" s="68">
        <f t="shared" si="23"/>
        <v>16987</v>
      </c>
      <c r="DQ45" s="93">
        <v>13459</v>
      </c>
      <c r="DR45" s="55">
        <f>652+176+2700</f>
        <v>3528</v>
      </c>
      <c r="DS45" s="68">
        <f t="shared" si="24"/>
        <v>33132</v>
      </c>
      <c r="DT45" s="65"/>
      <c r="DU45" s="65">
        <v>33132</v>
      </c>
      <c r="DV45" s="65"/>
      <c r="DW45" s="68">
        <f>SUM(Tableau1[[#This Row],[Comission et courtage sur achats]:[Autres ou honoraires
 non précisé ]])</f>
        <v>39315</v>
      </c>
      <c r="DX45" s="57"/>
      <c r="DY45" s="57"/>
      <c r="DZ45" s="65"/>
      <c r="EA45" s="65">
        <v>50</v>
      </c>
      <c r="EB45" s="65">
        <v>39265</v>
      </c>
      <c r="EC45" s="68">
        <f t="shared" si="25"/>
        <v>42947</v>
      </c>
      <c r="ED45" s="69"/>
      <c r="EE45" s="69">
        <f>6104+434</f>
        <v>6538</v>
      </c>
      <c r="EF45" s="69">
        <v>26432</v>
      </c>
      <c r="EG45" s="69">
        <v>1771</v>
      </c>
      <c r="EH45" s="69">
        <f>153+6741+1312</f>
        <v>8206</v>
      </c>
      <c r="EI45" s="84">
        <f>SUM(Tableau1[[#This Row],[Transports sur films]:[autres ]])</f>
        <v>5026</v>
      </c>
      <c r="EJ45" s="132">
        <v>5026</v>
      </c>
      <c r="EK45" s="132"/>
      <c r="EL45" s="68">
        <f t="shared" si="26"/>
        <v>21601</v>
      </c>
      <c r="EM45" s="65">
        <v>8575</v>
      </c>
      <c r="EN45" s="65">
        <v>486</v>
      </c>
      <c r="EO45" s="65"/>
      <c r="EP45" s="65"/>
      <c r="EQ45" s="65"/>
      <c r="ER45" s="65">
        <v>5486</v>
      </c>
      <c r="ES45" s="65">
        <f>6540+514</f>
        <v>7054</v>
      </c>
      <c r="ET45" s="68">
        <f t="shared" si="27"/>
        <v>9033</v>
      </c>
      <c r="EU45" s="65">
        <v>6198</v>
      </c>
      <c r="EV45" s="65">
        <v>626</v>
      </c>
      <c r="EW45" s="65"/>
      <c r="EX45" s="65">
        <v>2209</v>
      </c>
      <c r="EY45" s="65"/>
      <c r="EZ45" s="68">
        <f>SUM(Tableau1[[#This Row],[Frais sur CB]:[Services bancaires]])</f>
        <v>11703</v>
      </c>
      <c r="FA45" s="65">
        <v>6359</v>
      </c>
      <c r="FB45" s="65">
        <v>5344</v>
      </c>
      <c r="FC45" s="70">
        <f t="shared" si="28"/>
        <v>3117</v>
      </c>
      <c r="FD45" s="65">
        <v>3117</v>
      </c>
      <c r="FE45" s="71">
        <f t="shared" si="29"/>
        <v>66376</v>
      </c>
      <c r="FF45" s="72">
        <f t="shared" si="30"/>
        <v>7162</v>
      </c>
      <c r="FG45" s="65">
        <v>4821</v>
      </c>
      <c r="FH45" s="65">
        <v>2341</v>
      </c>
      <c r="FI45" s="65"/>
      <c r="FJ45" s="56">
        <f t="shared" si="31"/>
        <v>59214</v>
      </c>
      <c r="FK45" s="65"/>
      <c r="FL45" s="65">
        <v>23332</v>
      </c>
      <c r="FM45" s="65">
        <v>4603</v>
      </c>
      <c r="FN45" s="65">
        <f>25170+3242+2250+94-4235+3033+1725</f>
        <v>31279</v>
      </c>
      <c r="FO45" s="67">
        <f t="shared" si="32"/>
        <v>505326</v>
      </c>
      <c r="FP45" s="57">
        <v>382621</v>
      </c>
      <c r="FQ45" s="73">
        <v>122705</v>
      </c>
      <c r="FR45" s="73"/>
      <c r="FS45" s="71">
        <f t="shared" si="33"/>
        <v>342496</v>
      </c>
      <c r="FT45" s="91">
        <v>342496</v>
      </c>
      <c r="FU45" s="91"/>
      <c r="FV45" s="67">
        <f>SUM(Tableau1[[#This Row],[Droits d''auteurs SACEM + cotisations SACEM]:[Autres ou non préciés]])</f>
        <v>41532</v>
      </c>
      <c r="FW45" s="75">
        <f t="shared" si="34"/>
        <v>37946</v>
      </c>
      <c r="FX45" s="74">
        <v>36569</v>
      </c>
      <c r="FY45" s="74">
        <v>1377</v>
      </c>
      <c r="FZ45" s="74"/>
      <c r="GA45" s="74">
        <f>386+3200</f>
        <v>3586</v>
      </c>
      <c r="GB45" s="71">
        <f t="shared" si="35"/>
        <v>7286</v>
      </c>
      <c r="GC45" s="92">
        <v>7286</v>
      </c>
      <c r="GD45" s="92"/>
      <c r="GE45" s="67">
        <f t="shared" si="36"/>
        <v>499</v>
      </c>
      <c r="GF45" s="66">
        <v>499</v>
      </c>
      <c r="GG45" s="66"/>
      <c r="GH45" s="66"/>
      <c r="GI45" s="66"/>
      <c r="GJ45" s="77"/>
    </row>
    <row r="46" spans="1:192" ht="18.600000000000001" customHeight="1" x14ac:dyDescent="0.25">
      <c r="A46" s="89"/>
      <c r="B46" s="17"/>
      <c r="C46" s="50"/>
      <c r="D46" s="140"/>
      <c r="E46" s="51"/>
      <c r="F46" s="139"/>
      <c r="G46" s="49"/>
      <c r="H46" s="50"/>
      <c r="I46" s="122"/>
      <c r="J46" s="49"/>
      <c r="K46" s="50">
        <v>9</v>
      </c>
      <c r="L46" s="50"/>
      <c r="M46" s="90">
        <v>53</v>
      </c>
      <c r="N46" s="50"/>
      <c r="O46" s="50"/>
      <c r="P46" s="90"/>
      <c r="Q46" s="52">
        <f t="shared" si="0"/>
        <v>3083912</v>
      </c>
      <c r="R46" s="52">
        <f t="shared" si="1"/>
        <v>2855967</v>
      </c>
      <c r="S46" s="53">
        <f t="shared" si="2"/>
        <v>2836066</v>
      </c>
      <c r="T46" s="54">
        <f t="shared" si="3"/>
        <v>484899</v>
      </c>
      <c r="U46" s="115">
        <f>SUM(Tableau1[[#This Row],[Vente confiserie]:[Vente boisson]])</f>
        <v>484899</v>
      </c>
      <c r="V46" s="55">
        <f>(461635-24066)+(37619-3420)+(1170-195)+8176+3980</f>
        <v>484899</v>
      </c>
      <c r="W46" s="55"/>
      <c r="X46" s="135">
        <f>SUM(Tableau1[[#This Row],[Vente lunette]:[Location lunette]])</f>
        <v>0</v>
      </c>
      <c r="Y46" s="55"/>
      <c r="Z46" s="55"/>
      <c r="AA46" s="55"/>
      <c r="AB46" s="95"/>
      <c r="AC46" s="56">
        <f t="shared" si="38"/>
        <v>2217695</v>
      </c>
      <c r="AD46" s="57">
        <f>2216895</f>
        <v>2216895</v>
      </c>
      <c r="AE46" s="57"/>
      <c r="AF46" s="57"/>
      <c r="AG46" s="57"/>
      <c r="AH46" s="57"/>
      <c r="AI46" s="57"/>
      <c r="AJ46" s="118">
        <f>(Tableau1[[#This Row],[Recette guichet ]]*1.1275177)-Tableau1[[#This Row],[Recette guichet ]]</f>
        <v>282693.35154150007</v>
      </c>
      <c r="AK46" s="55">
        <v>800</v>
      </c>
      <c r="AL46" s="56">
        <f t="shared" si="39"/>
        <v>133472</v>
      </c>
      <c r="AM46" s="58"/>
      <c r="AN46" s="58"/>
      <c r="AO46" s="58">
        <f>14006+2400+1749+6141+5810+616</f>
        <v>30722</v>
      </c>
      <c r="AP46" s="115">
        <f t="shared" si="6"/>
        <v>59695</v>
      </c>
      <c r="AQ46" s="69">
        <v>42597</v>
      </c>
      <c r="AR46" s="69">
        <v>11551</v>
      </c>
      <c r="AS46" s="69">
        <f>5547</f>
        <v>5547</v>
      </c>
      <c r="AT46" s="69">
        <f>-2200+45255</f>
        <v>43055</v>
      </c>
      <c r="AU46" s="59">
        <f t="shared" si="7"/>
        <v>19901</v>
      </c>
      <c r="AV46" s="60">
        <f t="shared" si="8"/>
        <v>6779</v>
      </c>
      <c r="AW46" s="58">
        <v>13795</v>
      </c>
      <c r="AX46" s="58"/>
      <c r="AY46" s="58">
        <f>1984-9000</f>
        <v>-7016</v>
      </c>
      <c r="AZ46" s="60">
        <f t="shared" si="40"/>
        <v>12408</v>
      </c>
      <c r="BA46" s="58">
        <v>2358</v>
      </c>
      <c r="BB46" s="58">
        <v>6944</v>
      </c>
      <c r="BC46" s="58">
        <v>3106</v>
      </c>
      <c r="BD46" s="60">
        <f>SUM(Tableau1[[#This Row],[ticket/carte/abonnement périmé]:[Autres ou non précisé 5]])</f>
        <v>714</v>
      </c>
      <c r="BE46" s="58"/>
      <c r="BF46" s="58"/>
      <c r="BG46" s="58">
        <v>714</v>
      </c>
      <c r="BH46" s="61">
        <f t="shared" si="10"/>
        <v>0</v>
      </c>
      <c r="BI46" s="120">
        <v>0</v>
      </c>
      <c r="BJ46" s="120">
        <v>0</v>
      </c>
      <c r="BK46" s="62">
        <f t="shared" si="11"/>
        <v>227945</v>
      </c>
      <c r="BL46" s="120">
        <v>3256</v>
      </c>
      <c r="BM46" s="120"/>
      <c r="BN46" s="120"/>
      <c r="BO46" s="120"/>
      <c r="BP46" s="120">
        <v>224689</v>
      </c>
      <c r="BQ46" s="63"/>
      <c r="BR46" s="52">
        <f t="shared" si="12"/>
        <v>2963562</v>
      </c>
      <c r="BS46" s="52">
        <f t="shared" si="13"/>
        <v>2959848</v>
      </c>
      <c r="BT46" s="61">
        <f t="shared" si="14"/>
        <v>167081</v>
      </c>
      <c r="BU46" s="64">
        <f t="shared" si="15"/>
        <v>165167</v>
      </c>
      <c r="BV46" s="119">
        <f>SUM(Tableau1[[#This Row],[Achats confiserie]:[Achats boisson]])</f>
        <v>150435</v>
      </c>
      <c r="BW46" s="58">
        <v>150435</v>
      </c>
      <c r="BX46" s="69"/>
      <c r="BY46" s="58">
        <v>14732</v>
      </c>
      <c r="BZ46" s="56">
        <f t="shared" si="16"/>
        <v>7030</v>
      </c>
      <c r="CA46" s="66">
        <v>7030</v>
      </c>
      <c r="CB46" s="66"/>
      <c r="CC46" s="56">
        <f t="shared" si="17"/>
        <v>-5116</v>
      </c>
      <c r="CD46" s="55"/>
      <c r="CE46" s="65"/>
      <c r="CF46" s="55"/>
      <c r="CG46" s="55">
        <f>-5713+597</f>
        <v>-5116</v>
      </c>
      <c r="CH46" s="67">
        <f t="shared" si="18"/>
        <v>1755931</v>
      </c>
      <c r="CI46" s="68">
        <f t="shared" si="37"/>
        <v>958349</v>
      </c>
      <c r="CJ46" s="55">
        <v>240</v>
      </c>
      <c r="CK46" s="55">
        <v>958109</v>
      </c>
      <c r="CL46" s="55"/>
      <c r="CM46" s="55"/>
      <c r="CN46" s="55"/>
      <c r="CO46" s="68">
        <f t="shared" si="20"/>
        <v>163825</v>
      </c>
      <c r="CP46" s="75">
        <f>SUM(Tableau1[[#This Row],[Fourniture eau]:[Energie (non précisé)]])</f>
        <v>74722</v>
      </c>
      <c r="CQ46" s="55">
        <v>3809</v>
      </c>
      <c r="CR46" s="55">
        <v>70913</v>
      </c>
      <c r="CS46" s="55"/>
      <c r="CT46" s="55"/>
      <c r="CU46" s="55">
        <f>23236+41951+5520+5273+1968</f>
        <v>77948</v>
      </c>
      <c r="CV46" s="55">
        <v>11155</v>
      </c>
      <c r="CW46" s="55"/>
      <c r="CX46" s="68">
        <f>SUM(Tableau1[[#This Row],[Sous-traitance]:[Autres ou non précisé 12]])</f>
        <v>349594</v>
      </c>
      <c r="CY46" s="65">
        <f>1272+7714+5028+775</f>
        <v>14789</v>
      </c>
      <c r="CZ46" s="65">
        <v>330966</v>
      </c>
      <c r="DA46" s="65">
        <f>489+180+1500</f>
        <v>2169</v>
      </c>
      <c r="DB46" s="65">
        <v>1670</v>
      </c>
      <c r="DC46" s="55"/>
      <c r="DD46" s="68">
        <f t="shared" si="41"/>
        <v>74868</v>
      </c>
      <c r="DE46" s="55">
        <v>55778</v>
      </c>
      <c r="DF46" s="65">
        <v>12376</v>
      </c>
      <c r="DG46" s="65">
        <f>2109+4605</f>
        <v>6714</v>
      </c>
      <c r="DH46" s="65"/>
      <c r="DI46" s="68">
        <f>SUM(Tableau1[[#This Row],[Entretien et réparation matériel de projection]:[Autres ou non précisé 14]])</f>
        <v>20057</v>
      </c>
      <c r="DJ46" s="58"/>
      <c r="DK46" s="58">
        <v>4300</v>
      </c>
      <c r="DL46" s="69">
        <v>15757</v>
      </c>
      <c r="DM46" s="68">
        <f t="shared" si="22"/>
        <v>27510</v>
      </c>
      <c r="DN46" s="58"/>
      <c r="DO46" s="58">
        <v>27510</v>
      </c>
      <c r="DP46" s="68">
        <f t="shared" si="23"/>
        <v>14662</v>
      </c>
      <c r="DQ46" s="65">
        <v>12557</v>
      </c>
      <c r="DR46" s="65">
        <f>105+2000</f>
        <v>2105</v>
      </c>
      <c r="DS46" s="68">
        <f t="shared" si="24"/>
        <v>32912</v>
      </c>
      <c r="DT46" s="65"/>
      <c r="DU46" s="65">
        <v>32912</v>
      </c>
      <c r="DV46" s="65"/>
      <c r="DW46" s="68">
        <f>SUM(Tableau1[[#This Row],[Comission et courtage sur achats]:[Autres ou honoraires
 non précisé ]])</f>
        <v>24053</v>
      </c>
      <c r="DX46" s="57"/>
      <c r="DY46" s="57"/>
      <c r="DZ46" s="65"/>
      <c r="EA46" s="94">
        <v>43</v>
      </c>
      <c r="EB46" s="65">
        <v>24010</v>
      </c>
      <c r="EC46" s="68">
        <f t="shared" si="25"/>
        <v>31345</v>
      </c>
      <c r="ED46" s="69"/>
      <c r="EE46" s="69">
        <f>350+310</f>
        <v>660</v>
      </c>
      <c r="EF46" s="69">
        <f>24692</f>
        <v>24692</v>
      </c>
      <c r="EG46" s="69">
        <v>4146</v>
      </c>
      <c r="EH46" s="69">
        <f>147+1650+50</f>
        <v>1847</v>
      </c>
      <c r="EI46" s="84">
        <f>SUM(Tableau1[[#This Row],[Transports sur films]:[autres ]])</f>
        <v>2434</v>
      </c>
      <c r="EJ46" s="132">
        <v>2434</v>
      </c>
      <c r="EK46" s="132"/>
      <c r="EL46" s="68">
        <f t="shared" si="26"/>
        <v>36288</v>
      </c>
      <c r="EM46" s="65">
        <v>10818</v>
      </c>
      <c r="EN46" s="65">
        <v>348</v>
      </c>
      <c r="EO46" s="65"/>
      <c r="EP46" s="65">
        <v>7332</v>
      </c>
      <c r="EQ46" s="65">
        <v>4795</v>
      </c>
      <c r="ER46" s="65">
        <v>6116</v>
      </c>
      <c r="ES46" s="65">
        <f>6295+584</f>
        <v>6879</v>
      </c>
      <c r="ET46" s="68">
        <f t="shared" si="27"/>
        <v>8486</v>
      </c>
      <c r="EU46" s="65">
        <v>5500</v>
      </c>
      <c r="EV46" s="65">
        <v>715</v>
      </c>
      <c r="EW46" s="65"/>
      <c r="EX46" s="65">
        <v>2271</v>
      </c>
      <c r="EY46" s="65"/>
      <c r="EZ46" s="68">
        <f>SUM(Tableau1[[#This Row],[Frais sur CB]:[Services bancaires]])</f>
        <v>9144</v>
      </c>
      <c r="FA46" s="65">
        <v>4061</v>
      </c>
      <c r="FB46" s="65">
        <f>5053+30</f>
        <v>5083</v>
      </c>
      <c r="FC46" s="70">
        <f t="shared" si="28"/>
        <v>2404</v>
      </c>
      <c r="FD46" s="65">
        <v>2404</v>
      </c>
      <c r="FE46" s="71">
        <f t="shared" si="29"/>
        <v>68587</v>
      </c>
      <c r="FF46" s="72">
        <f t="shared" si="30"/>
        <v>8151</v>
      </c>
      <c r="FG46" s="65">
        <v>5545</v>
      </c>
      <c r="FH46" s="65">
        <v>2606</v>
      </c>
      <c r="FI46" s="65"/>
      <c r="FJ46" s="56">
        <f t="shared" si="31"/>
        <v>60436</v>
      </c>
      <c r="FK46" s="65"/>
      <c r="FL46" s="65">
        <v>26757</v>
      </c>
      <c r="FM46" s="65">
        <v>3791</v>
      </c>
      <c r="FN46" s="65">
        <f>19564+3242+2705+94+2730+1553</f>
        <v>29888</v>
      </c>
      <c r="FO46" s="67">
        <f t="shared" si="32"/>
        <v>572886</v>
      </c>
      <c r="FP46" s="57">
        <v>432198</v>
      </c>
      <c r="FQ46" s="73">
        <v>140688</v>
      </c>
      <c r="FR46" s="73"/>
      <c r="FS46" s="71">
        <f t="shared" si="33"/>
        <v>352302</v>
      </c>
      <c r="FT46" s="91">
        <v>352302</v>
      </c>
      <c r="FU46" s="91"/>
      <c r="FV46" s="67">
        <f>SUM(Tableau1[[#This Row],[Droits d''auteurs SACEM + cotisations SACEM]:[Autres ou non préciés]])</f>
        <v>43061</v>
      </c>
      <c r="FW46" s="75">
        <f t="shared" si="34"/>
        <v>40053</v>
      </c>
      <c r="FX46" s="74">
        <v>38557</v>
      </c>
      <c r="FY46" s="74">
        <v>1496</v>
      </c>
      <c r="FZ46" s="74"/>
      <c r="GA46" s="74">
        <f>2710+298</f>
        <v>3008</v>
      </c>
      <c r="GB46" s="71">
        <f t="shared" si="35"/>
        <v>1927</v>
      </c>
      <c r="GC46" s="92">
        <v>1927</v>
      </c>
      <c r="GD46" s="92"/>
      <c r="GE46" s="67">
        <f t="shared" si="36"/>
        <v>1787</v>
      </c>
      <c r="GF46" s="66">
        <v>1787</v>
      </c>
      <c r="GG46" s="66"/>
      <c r="GH46" s="66"/>
      <c r="GI46" s="66"/>
      <c r="GJ46" s="77"/>
    </row>
    <row r="47" spans="1:192" ht="18.600000000000001" customHeight="1" x14ac:dyDescent="0.25">
      <c r="A47" s="89"/>
      <c r="B47" s="17"/>
      <c r="C47" s="50"/>
      <c r="D47" s="140"/>
      <c r="E47" s="51"/>
      <c r="F47" s="139"/>
      <c r="G47" s="49"/>
      <c r="H47" s="50"/>
      <c r="I47" s="122"/>
      <c r="J47" s="49"/>
      <c r="K47" s="50">
        <v>3</v>
      </c>
      <c r="L47" s="50"/>
      <c r="M47" s="90">
        <v>51</v>
      </c>
      <c r="N47" s="50"/>
      <c r="O47" s="50"/>
      <c r="P47" s="90"/>
      <c r="Q47" s="52">
        <f t="shared" si="0"/>
        <v>156549</v>
      </c>
      <c r="R47" s="52">
        <f t="shared" si="1"/>
        <v>155415</v>
      </c>
      <c r="S47" s="53">
        <f t="shared" si="2"/>
        <v>125082</v>
      </c>
      <c r="T47" s="54">
        <f t="shared" si="3"/>
        <v>18439</v>
      </c>
      <c r="U47" s="115">
        <f>SUM(Tableau1[[#This Row],[Vente confiserie]:[Vente boisson]])</f>
        <v>17415</v>
      </c>
      <c r="V47" s="55">
        <v>17415</v>
      </c>
      <c r="W47" s="55"/>
      <c r="X47" s="135">
        <f>SUM(Tableau1[[#This Row],[Vente lunette]:[Location lunette]])</f>
        <v>961</v>
      </c>
      <c r="Y47" s="55">
        <v>961</v>
      </c>
      <c r="Z47" s="55"/>
      <c r="AA47" s="55">
        <v>63</v>
      </c>
      <c r="AB47" s="55"/>
      <c r="AC47" s="56">
        <f t="shared" si="38"/>
        <v>99131</v>
      </c>
      <c r="AD47" s="57">
        <v>96750</v>
      </c>
      <c r="AE47" s="57"/>
      <c r="AF47" s="57"/>
      <c r="AG47" s="57"/>
      <c r="AH47" s="57"/>
      <c r="AI47" s="57"/>
      <c r="AJ47" s="118">
        <f>(Tableau1[[#This Row],[Recette guichet ]]*1.1275177)-Tableau1[[#This Row],[Recette guichet ]]</f>
        <v>12337.337475000008</v>
      </c>
      <c r="AK47" s="57">
        <v>2381</v>
      </c>
      <c r="AL47" s="56">
        <f t="shared" si="39"/>
        <v>7512</v>
      </c>
      <c r="AM47" s="58"/>
      <c r="AN47" s="58">
        <v>15</v>
      </c>
      <c r="AO47" s="58">
        <v>3150</v>
      </c>
      <c r="AP47" s="115">
        <f t="shared" si="6"/>
        <v>0</v>
      </c>
      <c r="AQ47" s="69"/>
      <c r="AR47" s="69"/>
      <c r="AS47" s="69"/>
      <c r="AT47" s="69">
        <v>4347</v>
      </c>
      <c r="AU47" s="59">
        <f t="shared" si="7"/>
        <v>30333</v>
      </c>
      <c r="AV47" s="60">
        <f t="shared" si="8"/>
        <v>28167</v>
      </c>
      <c r="AW47" s="58">
        <v>28167</v>
      </c>
      <c r="AX47" s="58"/>
      <c r="AY47" s="58"/>
      <c r="AZ47" s="60">
        <f t="shared" si="40"/>
        <v>2166</v>
      </c>
      <c r="BA47" s="58"/>
      <c r="BB47" s="58">
        <v>2166</v>
      </c>
      <c r="BC47" s="58"/>
      <c r="BD47" s="60">
        <f>SUM(Tableau1[[#This Row],[ticket/carte/abonnement périmé]:[Autres ou non précisé 5]])</f>
        <v>0</v>
      </c>
      <c r="BE47" s="58"/>
      <c r="BF47" s="58"/>
      <c r="BG47" s="58"/>
      <c r="BH47" s="61">
        <f t="shared" si="10"/>
        <v>0</v>
      </c>
      <c r="BI47" s="120"/>
      <c r="BJ47" s="120"/>
      <c r="BK47" s="62">
        <f t="shared" si="11"/>
        <v>1134</v>
      </c>
      <c r="BL47" s="120">
        <v>111</v>
      </c>
      <c r="BM47" s="120"/>
      <c r="BN47" s="120"/>
      <c r="BO47" s="120"/>
      <c r="BP47" s="120">
        <v>1023</v>
      </c>
      <c r="BQ47" s="63"/>
      <c r="BR47" s="52">
        <f t="shared" si="12"/>
        <v>161250</v>
      </c>
      <c r="BS47" s="52">
        <f t="shared" si="13"/>
        <v>160140</v>
      </c>
      <c r="BT47" s="61">
        <f t="shared" si="14"/>
        <v>2437</v>
      </c>
      <c r="BU47" s="64">
        <f t="shared" si="15"/>
        <v>1648</v>
      </c>
      <c r="BV47" s="119">
        <f>SUM(Tableau1[[#This Row],[Achats confiserie]:[Achats boisson]])</f>
        <v>1648</v>
      </c>
      <c r="BW47" s="58">
        <v>1648</v>
      </c>
      <c r="BX47" s="69"/>
      <c r="BY47" s="58"/>
      <c r="BZ47" s="56">
        <f t="shared" si="16"/>
        <v>1185</v>
      </c>
      <c r="CA47" s="66">
        <v>1185</v>
      </c>
      <c r="CB47" s="66"/>
      <c r="CC47" s="56">
        <f t="shared" si="17"/>
        <v>-396</v>
      </c>
      <c r="CD47" s="55"/>
      <c r="CE47" s="65"/>
      <c r="CF47" s="55"/>
      <c r="CG47" s="55">
        <v>-396</v>
      </c>
      <c r="CH47" s="67">
        <f t="shared" si="18"/>
        <v>88815</v>
      </c>
      <c r="CI47" s="68">
        <f t="shared" si="37"/>
        <v>50036</v>
      </c>
      <c r="CJ47" s="55"/>
      <c r="CK47" s="55">
        <v>50036</v>
      </c>
      <c r="CL47" s="55"/>
      <c r="CM47" s="55"/>
      <c r="CN47" s="55"/>
      <c r="CO47" s="68">
        <f t="shared" si="20"/>
        <v>9627</v>
      </c>
      <c r="CP47" s="75">
        <f>SUM(Tableau1[[#This Row],[Fourniture eau]:[Energie (non précisé)]])</f>
        <v>4133</v>
      </c>
      <c r="CQ47" s="55">
        <v>170</v>
      </c>
      <c r="CR47" s="55">
        <v>3963</v>
      </c>
      <c r="CS47" s="55"/>
      <c r="CT47" s="55"/>
      <c r="CU47" s="55">
        <v>3749</v>
      </c>
      <c r="CV47" s="55">
        <v>1745</v>
      </c>
      <c r="CW47" s="55"/>
      <c r="CX47" s="68">
        <f>SUM(Tableau1[[#This Row],[Sous-traitance]:[Autres ou non précisé 12]])</f>
        <v>264</v>
      </c>
      <c r="CY47" s="65"/>
      <c r="CZ47" s="65"/>
      <c r="DA47" s="65"/>
      <c r="DB47" s="65">
        <v>264</v>
      </c>
      <c r="DC47" s="55"/>
      <c r="DD47" s="68">
        <f t="shared" si="41"/>
        <v>1348</v>
      </c>
      <c r="DE47" s="55"/>
      <c r="DF47" s="65"/>
      <c r="DG47" s="65">
        <v>1348</v>
      </c>
      <c r="DH47" s="65"/>
      <c r="DI47" s="68">
        <f>SUM(Tableau1[[#This Row],[Entretien et réparation matériel de projection]:[Autres ou non précisé 14]])</f>
        <v>2165</v>
      </c>
      <c r="DJ47" s="58"/>
      <c r="DK47" s="58"/>
      <c r="DL47" s="69">
        <v>2165</v>
      </c>
      <c r="DM47" s="68">
        <f t="shared" si="22"/>
        <v>550</v>
      </c>
      <c r="DN47" s="58"/>
      <c r="DO47" s="58">
        <v>550</v>
      </c>
      <c r="DP47" s="68">
        <f t="shared" si="23"/>
        <v>1856</v>
      </c>
      <c r="DQ47" s="65">
        <v>1856</v>
      </c>
      <c r="DR47" s="65"/>
      <c r="DS47" s="68">
        <f t="shared" si="24"/>
        <v>0</v>
      </c>
      <c r="DT47" s="65"/>
      <c r="DU47" s="65"/>
      <c r="DV47" s="65"/>
      <c r="DW47" s="68">
        <f>SUM(Tableau1[[#This Row],[Comission et courtage sur achats]:[Autres ou honoraires
 non précisé ]])</f>
        <v>3992</v>
      </c>
      <c r="DX47" s="57"/>
      <c r="DY47" s="57"/>
      <c r="DZ47" s="65"/>
      <c r="EA47" s="65"/>
      <c r="EB47" s="65">
        <f>2982+1010</f>
        <v>3992</v>
      </c>
      <c r="EC47" s="68">
        <f t="shared" si="25"/>
        <v>8485</v>
      </c>
      <c r="ED47" s="69"/>
      <c r="EE47" s="69">
        <v>8380</v>
      </c>
      <c r="EF47" s="69"/>
      <c r="EG47" s="69"/>
      <c r="EH47" s="69">
        <v>105</v>
      </c>
      <c r="EI47" s="84">
        <f>SUM(Tableau1[[#This Row],[Transports sur films]:[autres ]])</f>
        <v>1178</v>
      </c>
      <c r="EJ47" s="132">
        <v>1178</v>
      </c>
      <c r="EK47" s="132"/>
      <c r="EL47" s="68">
        <f t="shared" si="26"/>
        <v>7287</v>
      </c>
      <c r="EM47" s="65">
        <v>1653</v>
      </c>
      <c r="EN47" s="65">
        <v>525</v>
      </c>
      <c r="EO47" s="65"/>
      <c r="EP47" s="65"/>
      <c r="EQ47" s="65"/>
      <c r="ER47" s="65">
        <v>5109</v>
      </c>
      <c r="ES47" s="65"/>
      <c r="ET47" s="68">
        <f t="shared" si="27"/>
        <v>1258</v>
      </c>
      <c r="EU47" s="65"/>
      <c r="EV47" s="65"/>
      <c r="EW47" s="65">
        <v>1258</v>
      </c>
      <c r="EX47" s="65"/>
      <c r="EY47" s="65"/>
      <c r="EZ47" s="68">
        <f>SUM(Tableau1[[#This Row],[Frais sur CB]:[Services bancaires]])</f>
        <v>549</v>
      </c>
      <c r="FA47" s="65">
        <v>267</v>
      </c>
      <c r="FB47" s="65">
        <f>276+6</f>
        <v>282</v>
      </c>
      <c r="FC47" s="70">
        <f t="shared" si="28"/>
        <v>220</v>
      </c>
      <c r="FD47" s="65">
        <v>220</v>
      </c>
      <c r="FE47" s="71">
        <f t="shared" si="29"/>
        <v>1975</v>
      </c>
      <c r="FF47" s="72">
        <f t="shared" si="30"/>
        <v>1146</v>
      </c>
      <c r="FG47" s="65">
        <v>780</v>
      </c>
      <c r="FH47" s="65">
        <v>366</v>
      </c>
      <c r="FI47" s="65"/>
      <c r="FJ47" s="56">
        <f t="shared" si="31"/>
        <v>829</v>
      </c>
      <c r="FK47" s="65"/>
      <c r="FL47" s="65"/>
      <c r="FM47" s="65"/>
      <c r="FN47" s="65">
        <v>829</v>
      </c>
      <c r="FO47" s="67">
        <f t="shared" si="32"/>
        <v>65206</v>
      </c>
      <c r="FP47" s="57">
        <v>54463</v>
      </c>
      <c r="FQ47" s="73">
        <v>10743</v>
      </c>
      <c r="FR47" s="73"/>
      <c r="FS47" s="71">
        <f t="shared" si="33"/>
        <v>0</v>
      </c>
      <c r="FT47" s="91"/>
      <c r="FU47" s="91"/>
      <c r="FV47" s="67">
        <f>SUM(Tableau1[[#This Row],[Droits d''auteurs SACEM + cotisations SACEM]:[Autres ou non préciés]])</f>
        <v>1707</v>
      </c>
      <c r="FW47" s="75">
        <f t="shared" si="34"/>
        <v>0</v>
      </c>
      <c r="FX47" s="74">
        <v>0</v>
      </c>
      <c r="FY47" s="74"/>
      <c r="FZ47" s="74"/>
      <c r="GA47" s="74">
        <v>1707</v>
      </c>
      <c r="GB47" s="71">
        <f t="shared" si="35"/>
        <v>552</v>
      </c>
      <c r="GC47" s="92">
        <v>552</v>
      </c>
      <c r="GD47" s="92"/>
      <c r="GE47" s="67">
        <f t="shared" si="36"/>
        <v>558</v>
      </c>
      <c r="GF47" s="66">
        <v>258</v>
      </c>
      <c r="GG47" s="66">
        <v>300</v>
      </c>
      <c r="GH47" s="66"/>
      <c r="GI47" s="66"/>
      <c r="GJ47" s="77"/>
    </row>
    <row r="48" spans="1:192" ht="18.600000000000001" customHeight="1" x14ac:dyDescent="0.25">
      <c r="A48" s="48"/>
      <c r="B48" s="14"/>
      <c r="C48" s="80"/>
      <c r="D48" s="141"/>
      <c r="E48" s="78"/>
      <c r="F48" s="139"/>
      <c r="G48" s="49"/>
      <c r="H48" s="50"/>
      <c r="I48" s="122"/>
      <c r="J48" s="49"/>
      <c r="K48" s="50">
        <v>6</v>
      </c>
      <c r="L48" s="50"/>
      <c r="M48" s="79">
        <v>53</v>
      </c>
      <c r="N48" s="80"/>
      <c r="O48" s="80"/>
      <c r="P48" s="79"/>
      <c r="Q48" s="52">
        <f t="shared" si="0"/>
        <v>1909706.92</v>
      </c>
      <c r="R48" s="52">
        <f t="shared" si="1"/>
        <v>1903520.92</v>
      </c>
      <c r="S48" s="53">
        <f t="shared" si="2"/>
        <v>1768653.92</v>
      </c>
      <c r="T48" s="54">
        <f t="shared" si="3"/>
        <v>359188.92</v>
      </c>
      <c r="U48" s="115">
        <f>SUM(Tableau1[[#This Row],[Vente confiserie]:[Vente boisson]])</f>
        <v>358898.08999999997</v>
      </c>
      <c r="V48" s="58">
        <f>25529+212569.09</f>
        <v>238098.09</v>
      </c>
      <c r="W48" s="58">
        <v>120800</v>
      </c>
      <c r="X48" s="115">
        <f>SUM(Tableau1[[#This Row],[Vente lunette]:[Location lunette]])</f>
        <v>0</v>
      </c>
      <c r="Y48" s="58"/>
      <c r="Z48" s="58"/>
      <c r="AA48" s="58"/>
      <c r="AB48" s="58">
        <v>290.83</v>
      </c>
      <c r="AC48" s="56">
        <f t="shared" si="38"/>
        <v>1342135</v>
      </c>
      <c r="AD48" s="73">
        <f>1593549-83076-170828</f>
        <v>1339645</v>
      </c>
      <c r="AE48" s="73"/>
      <c r="AF48" s="73"/>
      <c r="AG48" s="73">
        <f>2627-137</f>
        <v>2490</v>
      </c>
      <c r="AH48" s="73"/>
      <c r="AI48" s="73"/>
      <c r="AJ48" s="118">
        <f>(Tableau1[[#This Row],[Recette guichet ]]*1.1275177)-Tableau1[[#This Row],[Recette guichet ]]</f>
        <v>170828.44921650016</v>
      </c>
      <c r="AK48" s="73"/>
      <c r="AL48" s="56">
        <f t="shared" si="39"/>
        <v>67330</v>
      </c>
      <c r="AM48" s="69">
        <f>11686+852+916</f>
        <v>13454</v>
      </c>
      <c r="AN48" s="69"/>
      <c r="AO48" s="69">
        <v>833</v>
      </c>
      <c r="AP48" s="115">
        <f t="shared" si="6"/>
        <v>40116</v>
      </c>
      <c r="AQ48" s="69">
        <v>13570</v>
      </c>
      <c r="AR48" s="69">
        <v>25758</v>
      </c>
      <c r="AS48" s="69">
        <v>788</v>
      </c>
      <c r="AT48" s="69">
        <f>0+455+9739+1333+1400</f>
        <v>12927</v>
      </c>
      <c r="AU48" s="59">
        <f t="shared" si="7"/>
        <v>134867</v>
      </c>
      <c r="AV48" s="60">
        <f t="shared" si="8"/>
        <v>112005</v>
      </c>
      <c r="AW48" s="69">
        <v>112005</v>
      </c>
      <c r="AX48" s="69">
        <v>0</v>
      </c>
      <c r="AY48" s="69">
        <v>0</v>
      </c>
      <c r="AZ48" s="60">
        <f t="shared" si="40"/>
        <v>0</v>
      </c>
      <c r="BA48" s="58">
        <v>0</v>
      </c>
      <c r="BB48" s="58">
        <v>0</v>
      </c>
      <c r="BC48" s="58">
        <v>0</v>
      </c>
      <c r="BD48" s="60">
        <f>SUM(Tableau1[[#This Row],[ticket/carte/abonnement périmé]:[Autres ou non précisé 5]])</f>
        <v>22862</v>
      </c>
      <c r="BE48" s="69">
        <v>20378</v>
      </c>
      <c r="BF48" s="69"/>
      <c r="BG48" s="69">
        <f>2453+31</f>
        <v>2484</v>
      </c>
      <c r="BH48" s="61">
        <f t="shared" si="10"/>
        <v>115</v>
      </c>
      <c r="BI48" s="138">
        <v>115</v>
      </c>
      <c r="BJ48" s="138">
        <v>0</v>
      </c>
      <c r="BK48" s="62">
        <f t="shared" si="11"/>
        <v>6071</v>
      </c>
      <c r="BL48" s="138">
        <v>2471</v>
      </c>
      <c r="BM48" s="138"/>
      <c r="BN48" s="138">
        <v>3600</v>
      </c>
      <c r="BO48" s="138"/>
      <c r="BP48" s="138"/>
      <c r="BQ48" s="81"/>
      <c r="BR48" s="52">
        <f t="shared" si="12"/>
        <v>1834128</v>
      </c>
      <c r="BS48" s="52">
        <f t="shared" si="13"/>
        <v>1760387</v>
      </c>
      <c r="BT48" s="61">
        <f t="shared" si="14"/>
        <v>130586</v>
      </c>
      <c r="BU48" s="64">
        <f t="shared" si="15"/>
        <v>124680</v>
      </c>
      <c r="BV48" s="119">
        <f>SUM(Tableau1[[#This Row],[Achats confiserie]:[Achats boisson]])</f>
        <v>124269</v>
      </c>
      <c r="BW48" s="69">
        <v>87543</v>
      </c>
      <c r="BX48" s="69">
        <v>36726</v>
      </c>
      <c r="BY48" s="69">
        <f>38+373</f>
        <v>411</v>
      </c>
      <c r="BZ48" s="56">
        <f t="shared" si="16"/>
        <v>6355</v>
      </c>
      <c r="CA48" s="83">
        <v>6355</v>
      </c>
      <c r="CB48" s="83"/>
      <c r="CC48" s="56">
        <f t="shared" si="17"/>
        <v>-449</v>
      </c>
      <c r="CD48" s="69">
        <v>-619</v>
      </c>
      <c r="CE48" s="69">
        <v>1679</v>
      </c>
      <c r="CF48" s="69">
        <v>-1509</v>
      </c>
      <c r="CG48" s="69"/>
      <c r="CH48" s="67">
        <f t="shared" si="18"/>
        <v>895706</v>
      </c>
      <c r="CI48" s="68">
        <f t="shared" si="37"/>
        <v>655170</v>
      </c>
      <c r="CJ48" s="69">
        <v>26755</v>
      </c>
      <c r="CK48" s="69">
        <v>626802</v>
      </c>
      <c r="CL48" s="69"/>
      <c r="CM48" s="69">
        <v>1613</v>
      </c>
      <c r="CN48" s="69"/>
      <c r="CO48" s="68">
        <f t="shared" si="20"/>
        <v>64158</v>
      </c>
      <c r="CP48" s="75">
        <f>SUM(Tableau1[[#This Row],[Fourniture eau]:[Energie (non précisé)]])</f>
        <v>57314</v>
      </c>
      <c r="CQ48" s="69">
        <v>2870</v>
      </c>
      <c r="CR48" s="69">
        <v>54444</v>
      </c>
      <c r="CS48" s="69"/>
      <c r="CT48" s="69"/>
      <c r="CU48" s="69">
        <f>634+870</f>
        <v>1504</v>
      </c>
      <c r="CV48" s="69">
        <v>4725</v>
      </c>
      <c r="CW48" s="69">
        <v>615</v>
      </c>
      <c r="CX48" s="68">
        <f>SUM(Tableau1[[#This Row],[Sous-traitance]:[Autres ou non précisé 12]])</f>
        <v>24887</v>
      </c>
      <c r="CY48" s="69"/>
      <c r="CZ48" s="69">
        <v>15953</v>
      </c>
      <c r="DA48" s="69">
        <f>4155+2769</f>
        <v>6924</v>
      </c>
      <c r="DB48" s="69">
        <v>2010</v>
      </c>
      <c r="DC48" s="69"/>
      <c r="DD48" s="68">
        <f t="shared" si="41"/>
        <v>31139</v>
      </c>
      <c r="DE48" s="69">
        <f>24403+1350+450+318</f>
        <v>26521</v>
      </c>
      <c r="DF48" s="69">
        <v>2622</v>
      </c>
      <c r="DG48" s="69">
        <f>210+225+1561</f>
        <v>1996</v>
      </c>
      <c r="DH48" s="69"/>
      <c r="DI48" s="68">
        <f>SUM(Tableau1[[#This Row],[Entretien et réparation matériel de projection]:[Autres ou non précisé 14]])</f>
        <v>10131</v>
      </c>
      <c r="DJ48" s="69">
        <v>10131</v>
      </c>
      <c r="DK48" s="69"/>
      <c r="DL48" s="58"/>
      <c r="DM48" s="68">
        <f t="shared" si="22"/>
        <v>16356</v>
      </c>
      <c r="DN48" s="69">
        <v>8199</v>
      </c>
      <c r="DO48" s="69">
        <f>322+1441+2289+1604+1301+1200</f>
        <v>8157</v>
      </c>
      <c r="DP48" s="68">
        <f t="shared" si="23"/>
        <v>10551</v>
      </c>
      <c r="DQ48" s="69">
        <v>10291</v>
      </c>
      <c r="DR48" s="69">
        <v>260</v>
      </c>
      <c r="DS48" s="68">
        <f t="shared" si="24"/>
        <v>31047</v>
      </c>
      <c r="DT48" s="69">
        <v>17600</v>
      </c>
      <c r="DU48" s="69">
        <v>13447</v>
      </c>
      <c r="DV48" s="69"/>
      <c r="DW48" s="68">
        <f>SUM(Tableau1[[#This Row],[Comission et courtage sur achats]:[Autres ou honoraires
 non précisé ]])</f>
        <v>10026</v>
      </c>
      <c r="DX48" s="57"/>
      <c r="DY48" s="57"/>
      <c r="DZ48" s="58"/>
      <c r="EA48" s="58"/>
      <c r="EB48" s="58">
        <v>10026</v>
      </c>
      <c r="EC48" s="68">
        <f t="shared" si="25"/>
        <v>30158</v>
      </c>
      <c r="ED48" s="69">
        <f>5000+1081</f>
        <v>6081</v>
      </c>
      <c r="EE48" s="69">
        <v>1000</v>
      </c>
      <c r="EF48" s="69">
        <v>19232</v>
      </c>
      <c r="EG48" s="69"/>
      <c r="EH48" s="69">
        <f>139+41+3625+40</f>
        <v>3845</v>
      </c>
      <c r="EI48" s="84">
        <f>SUM(Tableau1[[#This Row],[Transports sur films]:[autres ]])</f>
        <v>2708</v>
      </c>
      <c r="EJ48" s="132">
        <v>2708</v>
      </c>
      <c r="EK48" s="132"/>
      <c r="EL48" s="68">
        <f t="shared" si="26"/>
        <v>2119</v>
      </c>
      <c r="EM48" s="69">
        <f>709+75+305</f>
        <v>1089</v>
      </c>
      <c r="EN48" s="69">
        <v>1030</v>
      </c>
      <c r="EO48" s="69"/>
      <c r="EP48" s="69"/>
      <c r="EQ48" s="69"/>
      <c r="ER48" s="69"/>
      <c r="ES48" s="69">
        <v>0</v>
      </c>
      <c r="ET48" s="68">
        <f t="shared" si="27"/>
        <v>1998</v>
      </c>
      <c r="EU48" s="69">
        <v>1189</v>
      </c>
      <c r="EV48" s="69">
        <v>590</v>
      </c>
      <c r="EW48" s="69">
        <v>0</v>
      </c>
      <c r="EX48" s="69"/>
      <c r="EY48" s="69">
        <f>27+192</f>
        <v>219</v>
      </c>
      <c r="EZ48" s="68">
        <f>SUM(Tableau1[[#This Row],[Frais sur CB]:[Services bancaires]])</f>
        <v>5258</v>
      </c>
      <c r="FA48" s="69">
        <v>4845</v>
      </c>
      <c r="FB48" s="69">
        <f>117+224+72</f>
        <v>413</v>
      </c>
      <c r="FC48" s="70">
        <f t="shared" si="28"/>
        <v>0</v>
      </c>
      <c r="FD48" s="69"/>
      <c r="FE48" s="71">
        <f t="shared" si="29"/>
        <v>32049</v>
      </c>
      <c r="FF48" s="72">
        <f t="shared" si="30"/>
        <v>2828</v>
      </c>
      <c r="FG48" s="69">
        <v>1478</v>
      </c>
      <c r="FH48" s="69">
        <v>1350</v>
      </c>
      <c r="FI48" s="69">
        <v>0</v>
      </c>
      <c r="FJ48" s="56">
        <f t="shared" si="31"/>
        <v>29221</v>
      </c>
      <c r="FK48" s="69">
        <f>1400+12242</f>
        <v>13642</v>
      </c>
      <c r="FL48" s="69">
        <v>11721</v>
      </c>
      <c r="FM48" s="69">
        <v>3858</v>
      </c>
      <c r="FN48" s="69"/>
      <c r="FO48" s="67">
        <f t="shared" si="32"/>
        <v>287934</v>
      </c>
      <c r="FP48" s="85">
        <v>223925</v>
      </c>
      <c r="FQ48" s="85">
        <v>64009</v>
      </c>
      <c r="FR48" s="85"/>
      <c r="FS48" s="71">
        <f t="shared" si="33"/>
        <v>386112</v>
      </c>
      <c r="FT48" s="86">
        <v>382842</v>
      </c>
      <c r="FU48" s="86">
        <v>3270</v>
      </c>
      <c r="FV48" s="67">
        <f>SUM(Tableau1[[#This Row],[Droits d''auteurs SACEM + cotisations SACEM]:[Autres ou non préciés]])</f>
        <v>28000</v>
      </c>
      <c r="FW48" s="75">
        <f t="shared" si="34"/>
        <v>25893</v>
      </c>
      <c r="FX48" s="86">
        <v>24841</v>
      </c>
      <c r="FY48" s="82">
        <v>1052</v>
      </c>
      <c r="FZ48" s="82"/>
      <c r="GA48" s="82">
        <f>0+2104+3</f>
        <v>2107</v>
      </c>
      <c r="GB48" s="71">
        <f t="shared" si="35"/>
        <v>63022</v>
      </c>
      <c r="GC48" s="87">
        <v>63022</v>
      </c>
      <c r="GD48" s="87"/>
      <c r="GE48" s="67">
        <f t="shared" si="36"/>
        <v>3000</v>
      </c>
      <c r="GF48" s="83"/>
      <c r="GG48" s="16"/>
      <c r="GH48" s="83"/>
      <c r="GI48" s="83">
        <v>3000</v>
      </c>
      <c r="GJ48" s="88">
        <v>7719</v>
      </c>
    </row>
    <row r="49" spans="1:192" ht="18.600000000000001" customHeight="1" x14ac:dyDescent="0.25">
      <c r="A49" s="48"/>
      <c r="B49" s="14"/>
      <c r="C49" s="50"/>
      <c r="D49" s="140"/>
      <c r="E49" s="51"/>
      <c r="F49" s="139"/>
      <c r="G49" s="49"/>
      <c r="H49" s="50"/>
      <c r="I49" s="122"/>
      <c r="J49" s="49"/>
      <c r="K49" s="50">
        <v>6</v>
      </c>
      <c r="L49" s="50"/>
      <c r="M49" s="116">
        <v>53</v>
      </c>
      <c r="N49" s="117"/>
      <c r="O49" s="117"/>
      <c r="P49" s="116"/>
      <c r="Q49" s="52">
        <f t="shared" si="0"/>
        <v>2078047.4</v>
      </c>
      <c r="R49" s="52">
        <f t="shared" si="1"/>
        <v>2065783.4</v>
      </c>
      <c r="S49" s="53">
        <f t="shared" si="2"/>
        <v>1923831.4</v>
      </c>
      <c r="T49" s="54">
        <f t="shared" si="3"/>
        <v>396022.39999999997</v>
      </c>
      <c r="U49" s="115">
        <f>SUM(Tableau1[[#This Row],[Vente confiserie]:[Vente boisson]])</f>
        <v>389700.74</v>
      </c>
      <c r="V49" s="55">
        <f>22381.66+235094.54</f>
        <v>257476.2</v>
      </c>
      <c r="W49" s="55">
        <v>132224.54</v>
      </c>
      <c r="X49" s="135">
        <f>SUM(Tableau1[[#This Row],[Vente lunette]:[Location lunette]])</f>
        <v>0</v>
      </c>
      <c r="Y49" s="55"/>
      <c r="Z49" s="55"/>
      <c r="AA49" s="55"/>
      <c r="AB49" s="55">
        <v>6321.66</v>
      </c>
      <c r="AC49" s="56">
        <f t="shared" si="38"/>
        <v>1462068</v>
      </c>
      <c r="AD49" s="57">
        <f>1734198-90408-185906</f>
        <v>1457884</v>
      </c>
      <c r="AE49" s="57"/>
      <c r="AF49" s="57"/>
      <c r="AG49" s="57">
        <f>4414-230</f>
        <v>4184</v>
      </c>
      <c r="AH49" s="57"/>
      <c r="AI49" s="57"/>
      <c r="AJ49" s="118">
        <f>(Tableau1[[#This Row],[Recette guichet ]]*1.1275177)-Tableau1[[#This Row],[Recette guichet ]]</f>
        <v>185906.01454680017</v>
      </c>
      <c r="AK49" s="57"/>
      <c r="AL49" s="56">
        <f t="shared" si="39"/>
        <v>65741</v>
      </c>
      <c r="AM49" s="58">
        <f>11723+965+1188</f>
        <v>13876</v>
      </c>
      <c r="AN49" s="58"/>
      <c r="AO49" s="58">
        <v>625</v>
      </c>
      <c r="AP49" s="115">
        <f t="shared" si="6"/>
        <v>43465</v>
      </c>
      <c r="AQ49" s="55">
        <v>18370</v>
      </c>
      <c r="AR49" s="58">
        <v>25095</v>
      </c>
      <c r="AS49" s="58">
        <v>0</v>
      </c>
      <c r="AT49" s="58">
        <f>38+470+6487+0+780</f>
        <v>7775</v>
      </c>
      <c r="AU49" s="59">
        <f t="shared" si="7"/>
        <v>141952</v>
      </c>
      <c r="AV49" s="60">
        <f t="shared" si="8"/>
        <v>111953</v>
      </c>
      <c r="AW49" s="58">
        <v>109590</v>
      </c>
      <c r="AX49" s="58">
        <v>0</v>
      </c>
      <c r="AY49" s="58">
        <v>2363</v>
      </c>
      <c r="AZ49" s="60">
        <f t="shared" si="40"/>
        <v>4554</v>
      </c>
      <c r="BA49" s="58">
        <v>3270</v>
      </c>
      <c r="BB49" s="58">
        <v>1284</v>
      </c>
      <c r="BC49" s="58">
        <v>0</v>
      </c>
      <c r="BD49" s="60">
        <f>SUM(Tableau1[[#This Row],[ticket/carte/abonnement périmé]:[Autres ou non précisé 5]])</f>
        <v>25445</v>
      </c>
      <c r="BE49" s="58">
        <v>24854</v>
      </c>
      <c r="BF49" s="58"/>
      <c r="BG49" s="58">
        <f>340+251</f>
        <v>591</v>
      </c>
      <c r="BH49" s="61">
        <f t="shared" si="10"/>
        <v>6053</v>
      </c>
      <c r="BI49" s="120">
        <v>2700</v>
      </c>
      <c r="BJ49" s="120">
        <v>3353</v>
      </c>
      <c r="BK49" s="62">
        <f t="shared" si="11"/>
        <v>6211</v>
      </c>
      <c r="BL49" s="120">
        <v>2611</v>
      </c>
      <c r="BM49" s="120"/>
      <c r="BN49" s="120">
        <v>3600</v>
      </c>
      <c r="BO49" s="120"/>
      <c r="BP49" s="120"/>
      <c r="BQ49" s="63"/>
      <c r="BR49" s="52">
        <f t="shared" si="12"/>
        <v>1932377</v>
      </c>
      <c r="BS49" s="52">
        <f t="shared" si="13"/>
        <v>1821919</v>
      </c>
      <c r="BT49" s="61">
        <f t="shared" si="14"/>
        <v>140774</v>
      </c>
      <c r="BU49" s="64">
        <f t="shared" si="15"/>
        <v>141002</v>
      </c>
      <c r="BV49" s="119">
        <f>SUM(Tableau1[[#This Row],[Achats confiserie]:[Achats boisson]])</f>
        <v>136437</v>
      </c>
      <c r="BW49" s="58">
        <v>94400</v>
      </c>
      <c r="BX49" s="65">
        <v>42037</v>
      </c>
      <c r="BY49" s="58">
        <v>4565</v>
      </c>
      <c r="BZ49" s="56">
        <f t="shared" si="16"/>
        <v>1845</v>
      </c>
      <c r="CA49" s="66">
        <v>1845</v>
      </c>
      <c r="CB49" s="66"/>
      <c r="CC49" s="56">
        <f t="shared" si="17"/>
        <v>-2073</v>
      </c>
      <c r="CD49" s="55">
        <v>-2668</v>
      </c>
      <c r="CE49" s="65">
        <v>-1115</v>
      </c>
      <c r="CF49" s="55">
        <v>1710</v>
      </c>
      <c r="CG49" s="55"/>
      <c r="CH49" s="67">
        <f t="shared" si="18"/>
        <v>931442</v>
      </c>
      <c r="CI49" s="68">
        <f t="shared" si="37"/>
        <v>715607</v>
      </c>
      <c r="CJ49" s="55">
        <v>29000</v>
      </c>
      <c r="CK49" s="55">
        <v>683746</v>
      </c>
      <c r="CL49" s="55"/>
      <c r="CM49" s="55">
        <v>2861</v>
      </c>
      <c r="CN49" s="55"/>
      <c r="CO49" s="68">
        <f t="shared" si="20"/>
        <v>68544</v>
      </c>
      <c r="CP49" s="75">
        <f>SUM(Tableau1[[#This Row],[Fourniture eau]:[Energie (non précisé)]])</f>
        <v>59760</v>
      </c>
      <c r="CQ49" s="55">
        <v>1582</v>
      </c>
      <c r="CR49" s="55">
        <v>58178</v>
      </c>
      <c r="CS49" s="55"/>
      <c r="CT49" s="55"/>
      <c r="CU49" s="55">
        <v>2086</v>
      </c>
      <c r="CV49" s="55">
        <v>6086</v>
      </c>
      <c r="CW49" s="55">
        <v>612</v>
      </c>
      <c r="CX49" s="68">
        <f>SUM(Tableau1[[#This Row],[Sous-traitance]:[Autres ou non précisé 12]])</f>
        <v>23985</v>
      </c>
      <c r="CY49" s="55">
        <v>767</v>
      </c>
      <c r="CZ49" s="65">
        <v>15889</v>
      </c>
      <c r="DA49" s="65">
        <f>4387+962</f>
        <v>5349</v>
      </c>
      <c r="DB49" s="65">
        <f>1260+720</f>
        <v>1980</v>
      </c>
      <c r="DC49" s="55"/>
      <c r="DD49" s="68">
        <f t="shared" si="41"/>
        <v>20047</v>
      </c>
      <c r="DE49" s="55">
        <f>9387+1333+0+458</f>
        <v>11178</v>
      </c>
      <c r="DF49" s="55">
        <v>2789</v>
      </c>
      <c r="DG49" s="65">
        <f>140+3267+2673</f>
        <v>6080</v>
      </c>
      <c r="DH49" s="65"/>
      <c r="DI49" s="68">
        <f>SUM(Tableau1[[#This Row],[Entretien et réparation matériel de projection]:[Autres ou non précisé 14]])</f>
        <v>13141</v>
      </c>
      <c r="DJ49" s="58">
        <v>13141</v>
      </c>
      <c r="DK49" s="58"/>
      <c r="DL49" s="69"/>
      <c r="DM49" s="68">
        <f t="shared" si="22"/>
        <v>15397</v>
      </c>
      <c r="DN49" s="58">
        <v>7617</v>
      </c>
      <c r="DO49" s="58">
        <f>136+837+2414+1625+1303+1465</f>
        <v>7780</v>
      </c>
      <c r="DP49" s="68">
        <f t="shared" si="23"/>
        <v>10521</v>
      </c>
      <c r="DQ49" s="65">
        <v>10130</v>
      </c>
      <c r="DR49" s="65">
        <v>391</v>
      </c>
      <c r="DS49" s="68">
        <f t="shared" si="24"/>
        <v>19021</v>
      </c>
      <c r="DT49" s="65">
        <v>12000</v>
      </c>
      <c r="DU49" s="65">
        <v>7021</v>
      </c>
      <c r="DV49" s="65"/>
      <c r="DW49" s="68">
        <f>SUM(Tableau1[[#This Row],[Comission et courtage sur achats]:[Autres ou honoraires
 non précisé ]])</f>
        <v>8436</v>
      </c>
      <c r="DX49" s="57"/>
      <c r="DY49" s="57"/>
      <c r="DZ49" s="65"/>
      <c r="EA49" s="65"/>
      <c r="EB49" s="65">
        <v>8436</v>
      </c>
      <c r="EC49" s="68">
        <f t="shared" si="25"/>
        <v>28286</v>
      </c>
      <c r="ED49" s="58">
        <f>5000+881</f>
        <v>5881</v>
      </c>
      <c r="EE49" s="58"/>
      <c r="EF49" s="65">
        <v>20723</v>
      </c>
      <c r="EG49" s="65"/>
      <c r="EH49" s="65">
        <f>25+28+1156+40+433</f>
        <v>1682</v>
      </c>
      <c r="EI49" s="84">
        <f>SUM(Tableau1[[#This Row],[Transports sur films]:[autres ]])</f>
        <v>1823</v>
      </c>
      <c r="EJ49" s="133">
        <v>1823</v>
      </c>
      <c r="EK49" s="133"/>
      <c r="EL49" s="68">
        <f t="shared" si="26"/>
        <v>2423</v>
      </c>
      <c r="EM49" s="65">
        <f>826+60+447</f>
        <v>1333</v>
      </c>
      <c r="EN49" s="65">
        <v>1090</v>
      </c>
      <c r="EO49" s="65"/>
      <c r="EP49" s="65"/>
      <c r="EQ49" s="65"/>
      <c r="ER49" s="65"/>
      <c r="ES49" s="65">
        <v>0</v>
      </c>
      <c r="ET49" s="68">
        <f t="shared" si="27"/>
        <v>2180</v>
      </c>
      <c r="EU49" s="65">
        <v>1400</v>
      </c>
      <c r="EV49" s="65">
        <v>435</v>
      </c>
      <c r="EW49" s="65">
        <v>0</v>
      </c>
      <c r="EX49" s="65"/>
      <c r="EY49" s="65">
        <f>179+166</f>
        <v>345</v>
      </c>
      <c r="EZ49" s="68">
        <f>SUM(Tableau1[[#This Row],[Frais sur CB]:[Services bancaires]])</f>
        <v>2031</v>
      </c>
      <c r="FA49" s="65">
        <v>1549</v>
      </c>
      <c r="FB49" s="65">
        <f>127+168+187</f>
        <v>482</v>
      </c>
      <c r="FC49" s="70">
        <f t="shared" si="28"/>
        <v>0</v>
      </c>
      <c r="FD49" s="65"/>
      <c r="FE49" s="71">
        <f t="shared" si="29"/>
        <v>44656</v>
      </c>
      <c r="FF49" s="72">
        <f t="shared" si="30"/>
        <v>3030</v>
      </c>
      <c r="FG49" s="55">
        <v>1616</v>
      </c>
      <c r="FH49" s="65">
        <v>1414</v>
      </c>
      <c r="FI49" s="65">
        <v>0</v>
      </c>
      <c r="FJ49" s="56">
        <f t="shared" si="31"/>
        <v>41626</v>
      </c>
      <c r="FK49" s="65">
        <f>4661+12290</f>
        <v>16951</v>
      </c>
      <c r="FL49" s="65">
        <v>20734</v>
      </c>
      <c r="FM49" s="65">
        <v>3483</v>
      </c>
      <c r="FN49" s="65">
        <v>458</v>
      </c>
      <c r="FO49" s="67">
        <f t="shared" si="32"/>
        <v>292389</v>
      </c>
      <c r="FP49" s="57">
        <v>225302</v>
      </c>
      <c r="FQ49" s="73">
        <v>67087</v>
      </c>
      <c r="FR49" s="73"/>
      <c r="FS49" s="71">
        <f t="shared" si="33"/>
        <v>383505</v>
      </c>
      <c r="FT49" s="74">
        <v>383505</v>
      </c>
      <c r="FU49" s="74"/>
      <c r="FV49" s="67">
        <f>SUM(Tableau1[[#This Row],[Droits d''auteurs SACEM + cotisations SACEM]:[Autres ou non préciés]])</f>
        <v>29153</v>
      </c>
      <c r="FW49" s="75">
        <f t="shared" si="34"/>
        <v>28030</v>
      </c>
      <c r="FX49" s="74">
        <v>26914</v>
      </c>
      <c r="FY49" s="74">
        <v>1116</v>
      </c>
      <c r="FZ49" s="74"/>
      <c r="GA49" s="74">
        <f>865+0+258</f>
        <v>1123</v>
      </c>
      <c r="GB49" s="71">
        <f t="shared" si="35"/>
        <v>62780</v>
      </c>
      <c r="GC49" s="76">
        <v>62780</v>
      </c>
      <c r="GD49" s="76"/>
      <c r="GE49" s="67">
        <f t="shared" si="36"/>
        <v>0</v>
      </c>
      <c r="GF49" s="66"/>
      <c r="GG49" s="66"/>
      <c r="GH49" s="66"/>
      <c r="GI49" s="66"/>
      <c r="GJ49" s="77">
        <v>47678</v>
      </c>
    </row>
    <row r="50" spans="1:192" ht="18.600000000000001" customHeight="1" x14ac:dyDescent="0.25">
      <c r="A50" s="89"/>
      <c r="B50" s="17"/>
      <c r="C50" s="50"/>
      <c r="D50" s="140"/>
      <c r="E50" s="51"/>
      <c r="F50" s="139"/>
      <c r="G50" s="49"/>
      <c r="H50" s="50"/>
      <c r="I50" s="122"/>
      <c r="J50" s="49"/>
      <c r="K50" s="50">
        <v>3</v>
      </c>
      <c r="L50" s="50"/>
      <c r="M50" s="90">
        <v>53</v>
      </c>
      <c r="N50" s="50"/>
      <c r="O50" s="50"/>
      <c r="P50" s="90"/>
      <c r="Q50" s="52">
        <f t="shared" si="0"/>
        <v>448884</v>
      </c>
      <c r="R50" s="52">
        <f t="shared" si="1"/>
        <v>422729</v>
      </c>
      <c r="S50" s="53">
        <f t="shared" si="2"/>
        <v>405421</v>
      </c>
      <c r="T50" s="54">
        <f t="shared" si="3"/>
        <v>53756</v>
      </c>
      <c r="U50" s="115">
        <f>SUM(Tableau1[[#This Row],[Vente confiserie]:[Vente boisson]])</f>
        <v>50907</v>
      </c>
      <c r="V50" s="55">
        <v>50907</v>
      </c>
      <c r="W50" s="55"/>
      <c r="X50" s="135">
        <f>SUM(Tableau1[[#This Row],[Vente lunette]:[Location lunette]])</f>
        <v>2849</v>
      </c>
      <c r="Y50" s="55">
        <v>2849</v>
      </c>
      <c r="Z50" s="95"/>
      <c r="AA50" s="55"/>
      <c r="AB50" s="55"/>
      <c r="AC50" s="56">
        <f t="shared" si="38"/>
        <v>343128</v>
      </c>
      <c r="AD50" s="57">
        <f>324763+9807</f>
        <v>334570</v>
      </c>
      <c r="AE50" s="55">
        <v>943</v>
      </c>
      <c r="AF50" s="57"/>
      <c r="AG50" s="57"/>
      <c r="AH50" s="57"/>
      <c r="AI50" s="57">
        <v>3754</v>
      </c>
      <c r="AJ50" s="118">
        <f>(Tableau1[[#This Row],[Recette guichet ]]*1.1275177)-Tableau1[[#This Row],[Recette guichet ]]</f>
        <v>42663.596889000037</v>
      </c>
      <c r="AK50" s="57">
        <f>2616+1058+104+83</f>
        <v>3861</v>
      </c>
      <c r="AL50" s="56">
        <f t="shared" si="39"/>
        <v>8537</v>
      </c>
      <c r="AM50" s="58"/>
      <c r="AN50" s="58"/>
      <c r="AO50" s="58">
        <v>479</v>
      </c>
      <c r="AP50" s="115">
        <f t="shared" si="6"/>
        <v>8058</v>
      </c>
      <c r="AQ50" s="69"/>
      <c r="AR50" s="69"/>
      <c r="AS50" s="69">
        <f>5938+2120</f>
        <v>8058</v>
      </c>
      <c r="AT50" s="69"/>
      <c r="AU50" s="59">
        <f t="shared" si="7"/>
        <v>17308</v>
      </c>
      <c r="AV50" s="60">
        <f t="shared" si="8"/>
        <v>11306</v>
      </c>
      <c r="AW50" s="58">
        <v>11000</v>
      </c>
      <c r="AX50" s="58"/>
      <c r="AY50" s="58">
        <v>306</v>
      </c>
      <c r="AZ50" s="60">
        <f t="shared" si="40"/>
        <v>0</v>
      </c>
      <c r="BA50" s="58"/>
      <c r="BB50" s="58"/>
      <c r="BC50" s="58"/>
      <c r="BD50" s="60">
        <f>SUM(Tableau1[[#This Row],[ticket/carte/abonnement périmé]:[Autres ou non précisé 5]])</f>
        <v>6002</v>
      </c>
      <c r="BE50" s="58">
        <v>229</v>
      </c>
      <c r="BF50" s="58"/>
      <c r="BG50" s="58">
        <f>955+4763+55</f>
        <v>5773</v>
      </c>
      <c r="BH50" s="61">
        <f t="shared" si="10"/>
        <v>0</v>
      </c>
      <c r="BI50" s="120"/>
      <c r="BJ50" s="120"/>
      <c r="BK50" s="62">
        <f t="shared" si="11"/>
        <v>26155</v>
      </c>
      <c r="BL50" s="120">
        <v>3353</v>
      </c>
      <c r="BM50" s="120"/>
      <c r="BN50" s="120"/>
      <c r="BO50" s="120">
        <v>428</v>
      </c>
      <c r="BP50" s="120">
        <v>22374</v>
      </c>
      <c r="BQ50" s="63"/>
      <c r="BR50" s="52">
        <f t="shared" si="12"/>
        <v>474781</v>
      </c>
      <c r="BS50" s="52">
        <f t="shared" si="13"/>
        <v>465713</v>
      </c>
      <c r="BT50" s="61">
        <f t="shared" si="14"/>
        <v>13369</v>
      </c>
      <c r="BU50" s="64">
        <f t="shared" si="15"/>
        <v>10676</v>
      </c>
      <c r="BV50" s="119">
        <f>SUM(Tableau1[[#This Row],[Achats confiserie]:[Achats boisson]])</f>
        <v>10676</v>
      </c>
      <c r="BW50" s="58">
        <v>10676</v>
      </c>
      <c r="BX50" s="69"/>
      <c r="BY50" s="58"/>
      <c r="BZ50" s="56">
        <f t="shared" si="16"/>
        <v>1265</v>
      </c>
      <c r="CA50" s="66">
        <v>1265</v>
      </c>
      <c r="CB50" s="66"/>
      <c r="CC50" s="56">
        <f t="shared" si="17"/>
        <v>1428</v>
      </c>
      <c r="CD50" s="55">
        <v>1428</v>
      </c>
      <c r="CE50" s="65"/>
      <c r="CF50" s="55"/>
      <c r="CG50" s="55"/>
      <c r="CH50" s="67">
        <f t="shared" si="18"/>
        <v>298024</v>
      </c>
      <c r="CI50" s="68">
        <f t="shared" si="37"/>
        <v>168637</v>
      </c>
      <c r="CJ50" s="55">
        <v>4632</v>
      </c>
      <c r="CK50" s="55">
        <f>148820+5605+9563</f>
        <v>163988</v>
      </c>
      <c r="CL50" s="55">
        <v>17</v>
      </c>
      <c r="CM50" s="55"/>
      <c r="CN50" s="55"/>
      <c r="CO50" s="68">
        <f t="shared" si="20"/>
        <v>20035</v>
      </c>
      <c r="CP50" s="75">
        <f>SUM(Tableau1[[#This Row],[Fourniture eau]:[Energie (non précisé)]])</f>
        <v>13358</v>
      </c>
      <c r="CQ50" s="55">
        <v>321</v>
      </c>
      <c r="CR50" s="55">
        <v>9332</v>
      </c>
      <c r="CS50" s="55">
        <v>3705</v>
      </c>
      <c r="CT50" s="55"/>
      <c r="CU50" s="55">
        <f>758+1094+1288</f>
        <v>3140</v>
      </c>
      <c r="CV50" s="55">
        <v>3537</v>
      </c>
      <c r="CW50" s="55"/>
      <c r="CX50" s="68">
        <f>SUM(Tableau1[[#This Row],[Sous-traitance]:[Autres ou non précisé 12]])</f>
        <v>58786</v>
      </c>
      <c r="CY50" s="65">
        <v>20074</v>
      </c>
      <c r="CZ50" s="65">
        <f>32667+600+1600</f>
        <v>34867</v>
      </c>
      <c r="DA50" s="65">
        <v>1660</v>
      </c>
      <c r="DB50" s="65">
        <v>204</v>
      </c>
      <c r="DC50" s="55">
        <v>1981</v>
      </c>
      <c r="DD50" s="68">
        <f t="shared" si="41"/>
        <v>9949</v>
      </c>
      <c r="DE50" s="55">
        <v>9949</v>
      </c>
      <c r="DF50" s="65"/>
      <c r="DG50" s="65"/>
      <c r="DH50" s="65"/>
      <c r="DI50" s="68">
        <f>SUM(Tableau1[[#This Row],[Entretien et réparation matériel de projection]:[Autres ou non précisé 14]])</f>
        <v>2488</v>
      </c>
      <c r="DJ50" s="58">
        <v>2212</v>
      </c>
      <c r="DK50" s="58"/>
      <c r="DL50" s="69">
        <v>276</v>
      </c>
      <c r="DM50" s="68">
        <f t="shared" si="22"/>
        <v>10265</v>
      </c>
      <c r="DN50" s="104">
        <f>3730+2100</f>
        <v>5830</v>
      </c>
      <c r="DO50" s="58">
        <f>4015+420</f>
        <v>4435</v>
      </c>
      <c r="DP50" s="68">
        <f t="shared" si="23"/>
        <v>4498</v>
      </c>
      <c r="DQ50" s="65">
        <v>3885</v>
      </c>
      <c r="DR50" s="65">
        <f>13+600</f>
        <v>613</v>
      </c>
      <c r="DS50" s="68">
        <f t="shared" si="24"/>
        <v>0</v>
      </c>
      <c r="DT50" s="65"/>
      <c r="DU50" s="65"/>
      <c r="DV50" s="65"/>
      <c r="DW50" s="68">
        <f>SUM(Tableau1[[#This Row],[Comission et courtage sur achats]:[Autres ou honoraires
 non précisé ]])</f>
        <v>10038</v>
      </c>
      <c r="DX50" s="57">
        <v>52</v>
      </c>
      <c r="DY50" s="57"/>
      <c r="DZ50" s="65">
        <v>3231</v>
      </c>
      <c r="EA50" s="65">
        <f>1300+42</f>
        <v>1342</v>
      </c>
      <c r="EB50" s="65">
        <v>5413</v>
      </c>
      <c r="EC50" s="68">
        <f t="shared" si="25"/>
        <v>4698</v>
      </c>
      <c r="ED50" s="69"/>
      <c r="EE50" s="69">
        <v>541</v>
      </c>
      <c r="EF50" s="69">
        <v>3963</v>
      </c>
      <c r="EG50" s="69">
        <v>150</v>
      </c>
      <c r="EH50" s="69">
        <v>44</v>
      </c>
      <c r="EI50" s="84">
        <f>SUM(Tableau1[[#This Row],[Transports sur films]:[autres ]])</f>
        <v>854</v>
      </c>
      <c r="EJ50" s="132">
        <v>854</v>
      </c>
      <c r="EK50" s="132"/>
      <c r="EL50" s="68">
        <f t="shared" si="26"/>
        <v>1218</v>
      </c>
      <c r="EM50" s="65">
        <v>1218</v>
      </c>
      <c r="EN50" s="65">
        <v>0</v>
      </c>
      <c r="EO50" s="65"/>
      <c r="EP50" s="65"/>
      <c r="EQ50" s="65"/>
      <c r="ER50" s="65"/>
      <c r="ES50" s="65"/>
      <c r="ET50" s="68">
        <f t="shared" si="27"/>
        <v>2640</v>
      </c>
      <c r="EU50" s="65">
        <f>669+588</f>
        <v>1257</v>
      </c>
      <c r="EV50" s="65">
        <v>588</v>
      </c>
      <c r="EW50" s="65"/>
      <c r="EX50" s="65">
        <v>795</v>
      </c>
      <c r="EY50" s="65"/>
      <c r="EZ50" s="68">
        <f>SUM(Tableau1[[#This Row],[Frais sur CB]:[Services bancaires]])</f>
        <v>3230</v>
      </c>
      <c r="FA50" s="65">
        <v>2241</v>
      </c>
      <c r="FB50" s="65">
        <v>989</v>
      </c>
      <c r="FC50" s="70">
        <f t="shared" si="28"/>
        <v>688</v>
      </c>
      <c r="FD50" s="65">
        <f>605+83</f>
        <v>688</v>
      </c>
      <c r="FE50" s="71">
        <f t="shared" si="29"/>
        <v>1894</v>
      </c>
      <c r="FF50" s="72">
        <f t="shared" si="30"/>
        <v>1004</v>
      </c>
      <c r="FG50" s="65">
        <v>467</v>
      </c>
      <c r="FH50" s="65">
        <v>537</v>
      </c>
      <c r="FI50" s="65"/>
      <c r="FJ50" s="56">
        <f t="shared" si="31"/>
        <v>890</v>
      </c>
      <c r="FK50" s="65">
        <v>115</v>
      </c>
      <c r="FL50" s="65"/>
      <c r="FM50" s="65">
        <v>775</v>
      </c>
      <c r="FN50" s="65"/>
      <c r="FO50" s="67">
        <f t="shared" si="32"/>
        <v>101688</v>
      </c>
      <c r="FP50" s="57">
        <v>80711</v>
      </c>
      <c r="FQ50" s="73">
        <v>20977</v>
      </c>
      <c r="FR50" s="73"/>
      <c r="FS50" s="71">
        <f t="shared" si="33"/>
        <v>33672</v>
      </c>
      <c r="FT50" s="91">
        <f>177+33495</f>
        <v>33672</v>
      </c>
      <c r="FU50" s="91"/>
      <c r="FV50" s="67">
        <f>SUM(Tableau1[[#This Row],[Droits d''auteurs SACEM + cotisations SACEM]:[Autres ou non préciés]])</f>
        <v>17066</v>
      </c>
      <c r="FW50" s="75">
        <f t="shared" si="34"/>
        <v>6383</v>
      </c>
      <c r="FX50" s="74">
        <v>6226</v>
      </c>
      <c r="FY50" s="74">
        <v>157</v>
      </c>
      <c r="FZ50" s="74"/>
      <c r="GA50" s="74">
        <v>10683</v>
      </c>
      <c r="GB50" s="71">
        <f t="shared" si="35"/>
        <v>7575</v>
      </c>
      <c r="GC50" s="92">
        <v>7575</v>
      </c>
      <c r="GD50" s="92"/>
      <c r="GE50" s="67">
        <f t="shared" si="36"/>
        <v>1519</v>
      </c>
      <c r="GF50" s="66">
        <v>858</v>
      </c>
      <c r="GG50" s="66">
        <v>635</v>
      </c>
      <c r="GH50" s="66"/>
      <c r="GI50" s="66">
        <v>26</v>
      </c>
      <c r="GJ50" s="77">
        <v>-26</v>
      </c>
    </row>
    <row r="51" spans="1:192" ht="18.600000000000001" customHeight="1" x14ac:dyDescent="0.25">
      <c r="A51" s="89"/>
      <c r="B51" s="17"/>
      <c r="C51" s="50"/>
      <c r="D51" s="140"/>
      <c r="E51" s="51"/>
      <c r="F51" s="139"/>
      <c r="G51" s="49"/>
      <c r="H51" s="50"/>
      <c r="I51" s="122"/>
      <c r="J51" s="49"/>
      <c r="K51" s="50">
        <v>3</v>
      </c>
      <c r="L51" s="50"/>
      <c r="M51" s="90"/>
      <c r="N51" s="50"/>
      <c r="O51" s="50"/>
      <c r="P51" s="90"/>
      <c r="Q51" s="52">
        <f t="shared" si="0"/>
        <v>435775</v>
      </c>
      <c r="R51" s="52">
        <f t="shared" si="1"/>
        <v>399038</v>
      </c>
      <c r="S51" s="53">
        <f t="shared" si="2"/>
        <v>380584</v>
      </c>
      <c r="T51" s="54">
        <f t="shared" si="3"/>
        <v>54380</v>
      </c>
      <c r="U51" s="115">
        <f>SUM(Tableau1[[#This Row],[Vente confiserie]:[Vente boisson]])</f>
        <v>51959</v>
      </c>
      <c r="V51" s="95">
        <v>51959</v>
      </c>
      <c r="W51" s="55"/>
      <c r="X51" s="135">
        <f>SUM(Tableau1[[#This Row],[Vente lunette]:[Location lunette]])</f>
        <v>2421</v>
      </c>
      <c r="Y51" s="55">
        <v>2421</v>
      </c>
      <c r="Z51" s="95"/>
      <c r="AA51" s="55"/>
      <c r="AB51" s="55"/>
      <c r="AC51" s="56">
        <f t="shared" si="38"/>
        <v>317568</v>
      </c>
      <c r="AD51" s="57">
        <f>301458+9630</f>
        <v>311088</v>
      </c>
      <c r="AE51" s="55">
        <v>635</v>
      </c>
      <c r="AF51" s="57"/>
      <c r="AG51" s="57"/>
      <c r="AH51" s="57"/>
      <c r="AI51" s="57">
        <v>1820</v>
      </c>
      <c r="AJ51" s="118">
        <f>(Tableau1[[#This Row],[Recette guichet ]]*1.1275177)-Tableau1[[#This Row],[Recette guichet ]]</f>
        <v>39669.226257600007</v>
      </c>
      <c r="AK51" s="57">
        <f>419+1726+46+1616+129+89</f>
        <v>4025</v>
      </c>
      <c r="AL51" s="56">
        <f t="shared" si="39"/>
        <v>8636</v>
      </c>
      <c r="AM51" s="58"/>
      <c r="AN51" s="58"/>
      <c r="AO51" s="58">
        <f>350+469</f>
        <v>819</v>
      </c>
      <c r="AP51" s="115">
        <f t="shared" si="6"/>
        <v>7817</v>
      </c>
      <c r="AQ51" s="65"/>
      <c r="AR51" s="65"/>
      <c r="AS51" s="65">
        <f>5993+1824</f>
        <v>7817</v>
      </c>
      <c r="AT51" s="65"/>
      <c r="AU51" s="59">
        <f t="shared" si="7"/>
        <v>18454</v>
      </c>
      <c r="AV51" s="60">
        <f t="shared" si="8"/>
        <v>11545</v>
      </c>
      <c r="AW51" s="58">
        <v>11160</v>
      </c>
      <c r="AX51" s="58"/>
      <c r="AY51" s="58">
        <v>385</v>
      </c>
      <c r="AZ51" s="60">
        <f t="shared" si="40"/>
        <v>0</v>
      </c>
      <c r="BA51" s="58"/>
      <c r="BB51" s="58"/>
      <c r="BC51" s="58"/>
      <c r="BD51" s="60">
        <f>SUM(Tableau1[[#This Row],[ticket/carte/abonnement périmé]:[Autres ou non précisé 5]])</f>
        <v>6909</v>
      </c>
      <c r="BE51" s="58">
        <v>6665</v>
      </c>
      <c r="BF51" s="58"/>
      <c r="BG51" s="58">
        <f>226+18</f>
        <v>244</v>
      </c>
      <c r="BH51" s="61">
        <f t="shared" si="10"/>
        <v>0</v>
      </c>
      <c r="BI51" s="120"/>
      <c r="BJ51" s="120"/>
      <c r="BK51" s="62">
        <f t="shared" si="11"/>
        <v>36737</v>
      </c>
      <c r="BL51" s="120">
        <v>1182</v>
      </c>
      <c r="BM51" s="120"/>
      <c r="BN51" s="120"/>
      <c r="BO51" s="120">
        <v>12781</v>
      </c>
      <c r="BP51" s="120">
        <v>22774</v>
      </c>
      <c r="BQ51" s="63"/>
      <c r="BR51" s="52">
        <f t="shared" si="12"/>
        <v>474501.7</v>
      </c>
      <c r="BS51" s="52">
        <f t="shared" si="13"/>
        <v>450578.7</v>
      </c>
      <c r="BT51" s="61">
        <f t="shared" si="14"/>
        <v>12780</v>
      </c>
      <c r="BU51" s="64">
        <f t="shared" si="15"/>
        <v>11654</v>
      </c>
      <c r="BV51" s="119">
        <f>SUM(Tableau1[[#This Row],[Achats confiserie]:[Achats boisson]])</f>
        <v>11654</v>
      </c>
      <c r="BW51" s="58">
        <v>11654</v>
      </c>
      <c r="BX51" s="69"/>
      <c r="BY51" s="58"/>
      <c r="BZ51" s="56">
        <f t="shared" si="16"/>
        <v>705</v>
      </c>
      <c r="CA51" s="66">
        <v>705</v>
      </c>
      <c r="CB51" s="66"/>
      <c r="CC51" s="56">
        <f t="shared" si="17"/>
        <v>421</v>
      </c>
      <c r="CD51" s="55">
        <v>421</v>
      </c>
      <c r="CE51" s="65"/>
      <c r="CF51" s="55"/>
      <c r="CG51" s="55"/>
      <c r="CH51" s="67">
        <f t="shared" si="18"/>
        <v>290133.7</v>
      </c>
      <c r="CI51" s="68">
        <f t="shared" si="37"/>
        <v>156095</v>
      </c>
      <c r="CJ51" s="55">
        <v>4210</v>
      </c>
      <c r="CK51" s="55">
        <f>137197+5556+9051</f>
        <v>151804</v>
      </c>
      <c r="CL51" s="55">
        <v>81</v>
      </c>
      <c r="CM51" s="55"/>
      <c r="CN51" s="55"/>
      <c r="CO51" s="68">
        <f t="shared" si="20"/>
        <v>20676</v>
      </c>
      <c r="CP51" s="75">
        <f>SUM(Tableau1[[#This Row],[Fourniture eau]:[Energie (non précisé)]])</f>
        <v>14352</v>
      </c>
      <c r="CQ51" s="55">
        <v>372</v>
      </c>
      <c r="CR51" s="55">
        <v>10161</v>
      </c>
      <c r="CS51" s="55">
        <v>3819</v>
      </c>
      <c r="CT51" s="55"/>
      <c r="CU51" s="55">
        <f>826+930+1275</f>
        <v>3031</v>
      </c>
      <c r="CV51" s="55">
        <v>3293</v>
      </c>
      <c r="CW51" s="55"/>
      <c r="CX51" s="68">
        <f>SUM(Tableau1[[#This Row],[Sous-traitance]:[Autres ou non précisé 12]])</f>
        <v>57221</v>
      </c>
      <c r="CY51" s="65">
        <v>18665</v>
      </c>
      <c r="CZ51" s="65">
        <f>32423+600+1600</f>
        <v>34623</v>
      </c>
      <c r="DA51" s="65">
        <v>1660</v>
      </c>
      <c r="DB51" s="65">
        <v>204</v>
      </c>
      <c r="DC51" s="55">
        <v>2069</v>
      </c>
      <c r="DD51" s="68">
        <f t="shared" si="41"/>
        <v>10497</v>
      </c>
      <c r="DE51" s="55">
        <v>10497</v>
      </c>
      <c r="DF51" s="65"/>
      <c r="DG51" s="65"/>
      <c r="DH51" s="65"/>
      <c r="DI51" s="68">
        <f>SUM(Tableau1[[#This Row],[Entretien et réparation matériel de projection]:[Autres ou non précisé 14]])</f>
        <v>1731</v>
      </c>
      <c r="DJ51" s="58">
        <v>820</v>
      </c>
      <c r="DK51" s="58"/>
      <c r="DL51" s="65">
        <v>911</v>
      </c>
      <c r="DM51" s="68">
        <f t="shared" si="22"/>
        <v>11181</v>
      </c>
      <c r="DN51" s="58">
        <f>3762+2100</f>
        <v>5862</v>
      </c>
      <c r="DO51" s="58">
        <v>5319</v>
      </c>
      <c r="DP51" s="68">
        <f t="shared" si="23"/>
        <v>4953.7</v>
      </c>
      <c r="DQ51" s="65">
        <v>4353.7</v>
      </c>
      <c r="DR51" s="93">
        <v>600</v>
      </c>
      <c r="DS51" s="68">
        <f t="shared" si="24"/>
        <v>0</v>
      </c>
      <c r="DT51" s="65"/>
      <c r="DU51" s="65"/>
      <c r="DV51" s="65"/>
      <c r="DW51" s="68">
        <f>SUM(Tableau1[[#This Row],[Comission et courtage sur achats]:[Autres ou honoraires
 non précisé ]])</f>
        <v>10770</v>
      </c>
      <c r="DX51" s="57"/>
      <c r="DY51" s="57"/>
      <c r="DZ51" s="65">
        <v>3296</v>
      </c>
      <c r="EA51" s="65">
        <f>1500+219</f>
        <v>1719</v>
      </c>
      <c r="EB51" s="65">
        <v>5755</v>
      </c>
      <c r="EC51" s="68">
        <f t="shared" si="25"/>
        <v>6360</v>
      </c>
      <c r="ED51" s="69"/>
      <c r="EE51" s="65">
        <v>334</v>
      </c>
      <c r="EF51" s="65">
        <v>4132</v>
      </c>
      <c r="EG51" s="65">
        <f>1541+274</f>
        <v>1815</v>
      </c>
      <c r="EH51" s="65">
        <f>49+30</f>
        <v>79</v>
      </c>
      <c r="EI51" s="84">
        <f>SUM(Tableau1[[#This Row],[Transports sur films]:[autres ]])</f>
        <v>772</v>
      </c>
      <c r="EJ51" s="133">
        <v>772</v>
      </c>
      <c r="EK51" s="133"/>
      <c r="EL51" s="68">
        <f t="shared" si="26"/>
        <v>3634</v>
      </c>
      <c r="EM51" s="65">
        <f>1949+362</f>
        <v>2311</v>
      </c>
      <c r="EN51" s="65">
        <v>31</v>
      </c>
      <c r="EO51" s="65"/>
      <c r="EP51" s="65"/>
      <c r="EQ51" s="65"/>
      <c r="ER51" s="65"/>
      <c r="ES51" s="65">
        <v>1292</v>
      </c>
      <c r="ET51" s="68">
        <f t="shared" si="27"/>
        <v>2935</v>
      </c>
      <c r="EU51" s="65">
        <f>634+660</f>
        <v>1294</v>
      </c>
      <c r="EV51" s="65">
        <v>588</v>
      </c>
      <c r="EW51" s="65"/>
      <c r="EX51" s="65">
        <v>1053</v>
      </c>
      <c r="EY51" s="65"/>
      <c r="EZ51" s="68">
        <f>SUM(Tableau1[[#This Row],[Frais sur CB]:[Services bancaires]])</f>
        <v>2589</v>
      </c>
      <c r="FA51" s="65">
        <v>1039</v>
      </c>
      <c r="FB51" s="65">
        <v>1550</v>
      </c>
      <c r="FC51" s="70">
        <f t="shared" si="28"/>
        <v>719</v>
      </c>
      <c r="FD51" s="65">
        <f>525+90+41+63</f>
        <v>719</v>
      </c>
      <c r="FE51" s="71">
        <f t="shared" si="29"/>
        <v>2850</v>
      </c>
      <c r="FF51" s="72">
        <f t="shared" si="30"/>
        <v>1128</v>
      </c>
      <c r="FG51" s="65">
        <v>605</v>
      </c>
      <c r="FH51" s="65">
        <v>523</v>
      </c>
      <c r="FI51" s="65"/>
      <c r="FJ51" s="56">
        <f t="shared" si="31"/>
        <v>1722</v>
      </c>
      <c r="FK51" s="65">
        <v>1002</v>
      </c>
      <c r="FL51" s="65"/>
      <c r="FM51" s="55">
        <v>720</v>
      </c>
      <c r="FN51" s="65"/>
      <c r="FO51" s="67">
        <f t="shared" si="32"/>
        <v>96684</v>
      </c>
      <c r="FP51" s="57">
        <v>77680</v>
      </c>
      <c r="FQ51" s="73">
        <v>19004</v>
      </c>
      <c r="FR51" s="73"/>
      <c r="FS51" s="71">
        <f t="shared" si="33"/>
        <v>28713</v>
      </c>
      <c r="FT51" s="91">
        <v>28713</v>
      </c>
      <c r="FU51" s="91"/>
      <c r="FV51" s="67">
        <f>SUM(Tableau1[[#This Row],[Droits d''auteurs SACEM + cotisations SACEM]:[Autres ou non préciés]])</f>
        <v>19418</v>
      </c>
      <c r="FW51" s="75">
        <f t="shared" si="34"/>
        <v>5984</v>
      </c>
      <c r="FX51" s="74">
        <v>5792</v>
      </c>
      <c r="FY51" s="74">
        <v>192</v>
      </c>
      <c r="FZ51" s="74"/>
      <c r="GA51" s="74">
        <v>13434</v>
      </c>
      <c r="GB51" s="71">
        <f t="shared" si="35"/>
        <v>6359</v>
      </c>
      <c r="GC51" s="92">
        <v>6359</v>
      </c>
      <c r="GD51" s="92"/>
      <c r="GE51" s="67">
        <f t="shared" si="36"/>
        <v>17582</v>
      </c>
      <c r="GF51" s="66">
        <v>5229</v>
      </c>
      <c r="GG51" s="66"/>
      <c r="GH51" s="66"/>
      <c r="GI51" s="66">
        <v>12353</v>
      </c>
      <c r="GJ51" s="77">
        <v>-18</v>
      </c>
    </row>
    <row r="52" spans="1:192" ht="18.600000000000001" customHeight="1" x14ac:dyDescent="0.25">
      <c r="A52" s="89"/>
      <c r="B52" s="17"/>
      <c r="C52" s="50"/>
      <c r="D52" s="140"/>
      <c r="E52" s="51"/>
      <c r="F52" s="139"/>
      <c r="G52" s="49"/>
      <c r="H52" s="50"/>
      <c r="I52" s="122"/>
      <c r="J52" s="49"/>
      <c r="K52" s="50">
        <v>3</v>
      </c>
      <c r="L52" s="50"/>
      <c r="M52" s="90">
        <v>53</v>
      </c>
      <c r="N52" s="50"/>
      <c r="O52" s="50"/>
      <c r="P52" s="90"/>
      <c r="Q52" s="52">
        <f t="shared" si="0"/>
        <v>1336369.5</v>
      </c>
      <c r="R52" s="52">
        <f t="shared" si="1"/>
        <v>965750.66</v>
      </c>
      <c r="S52" s="53">
        <f t="shared" si="2"/>
        <v>951599.65</v>
      </c>
      <c r="T52" s="54">
        <f t="shared" si="3"/>
        <v>153538.91</v>
      </c>
      <c r="U52" s="115">
        <f>SUM(Tableau1[[#This Row],[Vente confiserie]:[Vente boisson]])</f>
        <v>143896.91</v>
      </c>
      <c r="V52" s="55">
        <v>141988</v>
      </c>
      <c r="W52" s="55">
        <v>1908.91</v>
      </c>
      <c r="X52" s="135">
        <f>SUM(Tableau1[[#This Row],[Vente lunette]:[Location lunette]])</f>
        <v>9642</v>
      </c>
      <c r="Y52" s="55">
        <v>9642</v>
      </c>
      <c r="Z52" s="55"/>
      <c r="AA52" s="55"/>
      <c r="AB52" s="55"/>
      <c r="AC52" s="56">
        <f t="shared" si="38"/>
        <v>728474.48</v>
      </c>
      <c r="AD52" s="57">
        <v>728474.48</v>
      </c>
      <c r="AE52" s="57"/>
      <c r="AF52" s="57"/>
      <c r="AG52" s="57"/>
      <c r="AH52" s="57"/>
      <c r="AI52" s="57"/>
      <c r="AJ52" s="118">
        <f>(Tableau1[[#This Row],[Recette guichet ]]*1.1275177)-Tableau1[[#This Row],[Recette guichet ]]</f>
        <v>92893.390198296052</v>
      </c>
      <c r="AK52" s="57"/>
      <c r="AL52" s="56">
        <f t="shared" si="39"/>
        <v>69586.260000000009</v>
      </c>
      <c r="AM52" s="58"/>
      <c r="AN52" s="58"/>
      <c r="AO52" s="58">
        <v>2627.38</v>
      </c>
      <c r="AP52" s="115">
        <f t="shared" si="6"/>
        <v>28921.48</v>
      </c>
      <c r="AQ52" s="69"/>
      <c r="AR52" s="69"/>
      <c r="AS52" s="69">
        <v>28921.48</v>
      </c>
      <c r="AT52" s="69">
        <v>38037.4</v>
      </c>
      <c r="AU52" s="59">
        <f t="shared" si="7"/>
        <v>14151.01</v>
      </c>
      <c r="AV52" s="60">
        <f t="shared" si="8"/>
        <v>12000</v>
      </c>
      <c r="AW52" s="58">
        <v>12000</v>
      </c>
      <c r="AX52" s="58"/>
      <c r="AY52" s="58"/>
      <c r="AZ52" s="60">
        <f t="shared" si="40"/>
        <v>201.17</v>
      </c>
      <c r="BA52" s="58"/>
      <c r="BB52" s="58">
        <v>201.17</v>
      </c>
      <c r="BC52" s="58"/>
      <c r="BD52" s="60">
        <f>SUM(Tableau1[[#This Row],[ticket/carte/abonnement périmé]:[Autres ou non précisé 5]])</f>
        <v>1949.84</v>
      </c>
      <c r="BE52" s="58"/>
      <c r="BF52" s="58">
        <v>600</v>
      </c>
      <c r="BG52" s="58">
        <v>1349.84</v>
      </c>
      <c r="BH52" s="61">
        <f t="shared" si="10"/>
        <v>17.54</v>
      </c>
      <c r="BI52" s="120"/>
      <c r="BJ52" s="120">
        <v>17.54</v>
      </c>
      <c r="BK52" s="62">
        <f t="shared" si="11"/>
        <v>370601.3</v>
      </c>
      <c r="BL52" s="120">
        <v>18405.62</v>
      </c>
      <c r="BM52" s="120"/>
      <c r="BN52" s="120"/>
      <c r="BO52" s="120">
        <v>268376</v>
      </c>
      <c r="BP52" s="120">
        <v>79233.759999999995</v>
      </c>
      <c r="BQ52" s="63">
        <v>4585.92</v>
      </c>
      <c r="BR52" s="52">
        <f t="shared" si="12"/>
        <v>1311758.08</v>
      </c>
      <c r="BS52" s="52">
        <f t="shared" si="13"/>
        <v>1027793.2200000001</v>
      </c>
      <c r="BT52" s="61">
        <f t="shared" si="14"/>
        <v>39680.810000000005</v>
      </c>
      <c r="BU52" s="64">
        <f t="shared" si="15"/>
        <v>47803.810000000005</v>
      </c>
      <c r="BV52" s="119">
        <f>SUM(Tableau1[[#This Row],[Achats confiserie]:[Achats boisson]])</f>
        <v>43999.37</v>
      </c>
      <c r="BW52" s="58">
        <f>32760.83+11238.54</f>
        <v>43999.37</v>
      </c>
      <c r="BX52" s="69"/>
      <c r="BY52" s="58">
        <f>3804.44</f>
        <v>3804.44</v>
      </c>
      <c r="BZ52" s="56">
        <f t="shared" si="16"/>
        <v>0</v>
      </c>
      <c r="CA52" s="66"/>
      <c r="CB52" s="66"/>
      <c r="CC52" s="56">
        <f t="shared" si="17"/>
        <v>-8123</v>
      </c>
      <c r="CD52" s="55">
        <v>-3176.8</v>
      </c>
      <c r="CE52" s="65">
        <v>-1871.2</v>
      </c>
      <c r="CF52" s="55">
        <v>-3075</v>
      </c>
      <c r="CG52" s="55"/>
      <c r="CH52" s="67">
        <f t="shared" si="18"/>
        <v>515634.52000000008</v>
      </c>
      <c r="CI52" s="68">
        <f t="shared" si="37"/>
        <v>348322.09</v>
      </c>
      <c r="CJ52" s="55"/>
      <c r="CK52" s="55">
        <v>325780.32</v>
      </c>
      <c r="CL52" s="55"/>
      <c r="CM52" s="55"/>
      <c r="CN52" s="55">
        <v>22541.77</v>
      </c>
      <c r="CO52" s="68">
        <f t="shared" si="20"/>
        <v>29300.059999999998</v>
      </c>
      <c r="CP52" s="75">
        <f>SUM(Tableau1[[#This Row],[Fourniture eau]:[Energie (non précisé)]])</f>
        <v>16339.869999999999</v>
      </c>
      <c r="CQ52" s="55">
        <v>548.89</v>
      </c>
      <c r="CR52" s="55">
        <v>15790.98</v>
      </c>
      <c r="CS52" s="93"/>
      <c r="CT52" s="55"/>
      <c r="CU52" s="55">
        <v>8620.7999999999993</v>
      </c>
      <c r="CV52" s="55">
        <v>4339.3900000000003</v>
      </c>
      <c r="CW52" s="55"/>
      <c r="CX52" s="68">
        <f>SUM(Tableau1[[#This Row],[Sous-traitance]:[Autres ou non précisé 12]])</f>
        <v>36651.660000000003</v>
      </c>
      <c r="CY52" s="65"/>
      <c r="CZ52" s="65">
        <v>31005</v>
      </c>
      <c r="DA52" s="65">
        <f>1771.66+214</f>
        <v>1985.66</v>
      </c>
      <c r="DB52" s="65"/>
      <c r="DC52" s="55">
        <v>3661</v>
      </c>
      <c r="DD52" s="68">
        <f t="shared" si="41"/>
        <v>41559.89</v>
      </c>
      <c r="DE52" s="55">
        <v>28745.94</v>
      </c>
      <c r="DF52" s="65"/>
      <c r="DG52" s="93">
        <v>11794.2</v>
      </c>
      <c r="DH52" s="65">
        <v>1019.75</v>
      </c>
      <c r="DI52" s="68">
        <f>SUM(Tableau1[[#This Row],[Entretien et réparation matériel de projection]:[Autres ou non précisé 14]])</f>
        <v>2962.12</v>
      </c>
      <c r="DJ52" s="58"/>
      <c r="DK52" s="58">
        <v>1654</v>
      </c>
      <c r="DL52" s="69">
        <f>390+918.12</f>
        <v>1308.1199999999999</v>
      </c>
      <c r="DM52" s="68">
        <f t="shared" si="22"/>
        <v>6962</v>
      </c>
      <c r="DN52" s="58"/>
      <c r="DO52" s="58">
        <f>6164+798</f>
        <v>6962</v>
      </c>
      <c r="DP52" s="68">
        <f t="shared" si="23"/>
        <v>6755.88</v>
      </c>
      <c r="DQ52" s="55">
        <f>128+6237.09</f>
        <v>6365.09</v>
      </c>
      <c r="DR52" s="65">
        <v>390.79</v>
      </c>
      <c r="DS52" s="68">
        <f t="shared" si="24"/>
        <v>294.32</v>
      </c>
      <c r="DT52" s="65">
        <v>294.32</v>
      </c>
      <c r="DU52" s="65"/>
      <c r="DV52" s="65"/>
      <c r="DW52" s="68">
        <f>SUM(Tableau1[[#This Row],[Comission et courtage sur achats]:[Autres ou honoraires
 non précisé ]])</f>
        <v>19840</v>
      </c>
      <c r="DX52" s="57"/>
      <c r="DY52" s="57"/>
      <c r="DZ52" s="65"/>
      <c r="EA52" s="65"/>
      <c r="EB52" s="65">
        <v>19840</v>
      </c>
      <c r="EC52" s="68">
        <f t="shared" si="25"/>
        <v>4693.03</v>
      </c>
      <c r="ED52" s="69"/>
      <c r="EE52" s="69">
        <v>3173.25</v>
      </c>
      <c r="EF52" s="69"/>
      <c r="EG52" s="69"/>
      <c r="EH52" s="69">
        <f>1209+310.78</f>
        <v>1519.78</v>
      </c>
      <c r="EI52" s="84">
        <f>SUM(Tableau1[[#This Row],[Transports sur films]:[autres ]])</f>
        <v>828.73</v>
      </c>
      <c r="EJ52" s="132">
        <v>828.73</v>
      </c>
      <c r="EK52" s="132"/>
      <c r="EL52" s="68">
        <f t="shared" si="26"/>
        <v>6146.8099999999995</v>
      </c>
      <c r="EM52" s="65">
        <v>2439.7600000000002</v>
      </c>
      <c r="EN52" s="65">
        <v>1088.28</v>
      </c>
      <c r="EO52" s="65">
        <v>1907.67</v>
      </c>
      <c r="EP52" s="65">
        <v>478.57</v>
      </c>
      <c r="EQ52" s="65"/>
      <c r="ER52" s="65">
        <v>232.53</v>
      </c>
      <c r="ES52" s="65"/>
      <c r="ET52" s="68">
        <f t="shared" si="27"/>
        <v>5759.78</v>
      </c>
      <c r="EU52" s="65">
        <f>4400.05+452.37</f>
        <v>4852.42</v>
      </c>
      <c r="EV52" s="65">
        <v>378.96</v>
      </c>
      <c r="EW52" s="65"/>
      <c r="EX52" s="65">
        <v>528.4</v>
      </c>
      <c r="EY52" s="65"/>
      <c r="EZ52" s="68">
        <f>SUM(Tableau1[[#This Row],[Frais sur CB]:[Services bancaires]])</f>
        <v>3578.7400000000002</v>
      </c>
      <c r="FA52" s="65">
        <v>2742.92</v>
      </c>
      <c r="FB52" s="65">
        <v>835.82</v>
      </c>
      <c r="FC52" s="70">
        <f t="shared" si="28"/>
        <v>1979.41</v>
      </c>
      <c r="FD52" s="65">
        <v>1979.41</v>
      </c>
      <c r="FE52" s="71">
        <f t="shared" si="29"/>
        <v>13903.380000000001</v>
      </c>
      <c r="FF52" s="72">
        <f t="shared" si="30"/>
        <v>1872.78</v>
      </c>
      <c r="FG52" s="65">
        <v>940.48</v>
      </c>
      <c r="FH52" s="65">
        <v>855</v>
      </c>
      <c r="FI52" s="65">
        <v>77.3</v>
      </c>
      <c r="FJ52" s="56">
        <f t="shared" si="31"/>
        <v>12030.6</v>
      </c>
      <c r="FK52" s="65"/>
      <c r="FL52" s="65"/>
      <c r="FM52" s="65"/>
      <c r="FN52" s="65">
        <f>2927+249.17+8854.43</f>
        <v>12030.6</v>
      </c>
      <c r="FO52" s="67">
        <f t="shared" si="32"/>
        <v>327002.70999999996</v>
      </c>
      <c r="FP52" s="57">
        <v>288034.92</v>
      </c>
      <c r="FQ52" s="73">
        <v>38967.79</v>
      </c>
      <c r="FR52" s="73"/>
      <c r="FS52" s="71">
        <f t="shared" si="33"/>
        <v>118426.77</v>
      </c>
      <c r="FT52" s="91">
        <f>118426.77</f>
        <v>118426.77</v>
      </c>
      <c r="FU52" s="91"/>
      <c r="FV52" s="67">
        <f>SUM(Tableau1[[#This Row],[Droits d''auteurs SACEM + cotisations SACEM]:[Autres ou non préciés]])</f>
        <v>13145.029999999999</v>
      </c>
      <c r="FW52" s="75">
        <f t="shared" si="34"/>
        <v>10972.57</v>
      </c>
      <c r="FX52" s="74">
        <v>0</v>
      </c>
      <c r="FY52" s="74"/>
      <c r="FZ52" s="74">
        <v>10972.57</v>
      </c>
      <c r="GA52" s="74">
        <f>1800+372.46</f>
        <v>2172.46</v>
      </c>
      <c r="GB52" s="71">
        <f t="shared" si="35"/>
        <v>6777.75</v>
      </c>
      <c r="GC52" s="92">
        <v>6777.75</v>
      </c>
      <c r="GD52" s="92"/>
      <c r="GE52" s="67">
        <f t="shared" si="36"/>
        <v>268427.11</v>
      </c>
      <c r="GF52" s="66">
        <v>52.11</v>
      </c>
      <c r="GG52" s="15"/>
      <c r="GH52" s="66"/>
      <c r="GI52" s="66">
        <v>268375</v>
      </c>
      <c r="GJ52" s="77">
        <v>8760</v>
      </c>
    </row>
    <row r="53" spans="1:192" ht="18.600000000000001" customHeight="1" x14ac:dyDescent="0.25">
      <c r="A53" s="89"/>
      <c r="B53" s="17"/>
      <c r="C53" s="50"/>
      <c r="D53" s="140"/>
      <c r="E53" s="51"/>
      <c r="F53" s="139"/>
      <c r="G53" s="49"/>
      <c r="H53" s="50"/>
      <c r="I53" s="122"/>
      <c r="J53" s="49"/>
      <c r="K53" s="50">
        <v>3</v>
      </c>
      <c r="L53" s="50"/>
      <c r="M53" s="90">
        <v>53</v>
      </c>
      <c r="N53" s="50"/>
      <c r="O53" s="50"/>
      <c r="P53" s="90"/>
      <c r="Q53" s="52">
        <f t="shared" si="0"/>
        <v>1263032.22</v>
      </c>
      <c r="R53" s="52">
        <f t="shared" si="1"/>
        <v>1088796.22</v>
      </c>
      <c r="S53" s="53">
        <f t="shared" si="2"/>
        <v>1049283.54</v>
      </c>
      <c r="T53" s="54">
        <f t="shared" si="3"/>
        <v>153304.39000000001</v>
      </c>
      <c r="U53" s="115">
        <f>SUM(Tableau1[[#This Row],[Vente confiserie]:[Vente boisson]])</f>
        <v>146296.22</v>
      </c>
      <c r="V53" s="55">
        <v>145205.22</v>
      </c>
      <c r="W53" s="55">
        <v>1091</v>
      </c>
      <c r="X53" s="135">
        <f>SUM(Tableau1[[#This Row],[Vente lunette]:[Location lunette]])</f>
        <v>7008.17</v>
      </c>
      <c r="Y53" s="55">
        <v>7008.17</v>
      </c>
      <c r="Z53" s="55"/>
      <c r="AA53" s="55"/>
      <c r="AB53" s="55"/>
      <c r="AC53" s="56">
        <f t="shared" si="38"/>
        <v>828976.53</v>
      </c>
      <c r="AD53" s="57">
        <v>828976.53</v>
      </c>
      <c r="AE53" s="57"/>
      <c r="AF53" s="57"/>
      <c r="AG53" s="57"/>
      <c r="AH53" s="57"/>
      <c r="AI53" s="57"/>
      <c r="AJ53" s="118">
        <f>(Tableau1[[#This Row],[Recette guichet ]]*1.1275177)-Tableau1[[#This Row],[Recette guichet ]]</f>
        <v>105709.18045958108</v>
      </c>
      <c r="AK53" s="57"/>
      <c r="AL53" s="56">
        <f t="shared" si="39"/>
        <v>67002.62</v>
      </c>
      <c r="AM53" s="58"/>
      <c r="AN53" s="58"/>
      <c r="AO53" s="58">
        <v>1987.71</v>
      </c>
      <c r="AP53" s="115">
        <f t="shared" si="6"/>
        <v>26552.23</v>
      </c>
      <c r="AQ53" s="69"/>
      <c r="AR53" s="69"/>
      <c r="AS53" s="69">
        <v>26552.23</v>
      </c>
      <c r="AT53" s="69">
        <v>38462.68</v>
      </c>
      <c r="AU53" s="59">
        <f t="shared" si="7"/>
        <v>39512.68</v>
      </c>
      <c r="AV53" s="60">
        <f t="shared" si="8"/>
        <v>37525.379999999997</v>
      </c>
      <c r="AW53" s="58">
        <v>37525.379999999997</v>
      </c>
      <c r="AX53" s="58"/>
      <c r="AY53" s="58"/>
      <c r="AZ53" s="60">
        <f t="shared" si="40"/>
        <v>0</v>
      </c>
      <c r="BA53" s="58"/>
      <c r="BB53" s="58"/>
      <c r="BC53" s="58"/>
      <c r="BD53" s="60">
        <f>SUM(Tableau1[[#This Row],[ticket/carte/abonnement périmé]:[Autres ou non précisé 5]])</f>
        <v>1987.3</v>
      </c>
      <c r="BE53" s="58"/>
      <c r="BF53" s="58"/>
      <c r="BG53" s="58">
        <v>1987.3</v>
      </c>
      <c r="BH53" s="61">
        <f t="shared" si="10"/>
        <v>0</v>
      </c>
      <c r="BI53" s="120"/>
      <c r="BJ53" s="120"/>
      <c r="BK53" s="62">
        <f t="shared" si="11"/>
        <v>174236</v>
      </c>
      <c r="BL53" s="120"/>
      <c r="BM53" s="120"/>
      <c r="BN53" s="120"/>
      <c r="BO53" s="120">
        <v>100521</v>
      </c>
      <c r="BP53" s="120">
        <v>73715</v>
      </c>
      <c r="BQ53" s="63"/>
      <c r="BR53" s="52">
        <f t="shared" si="12"/>
        <v>1248825.67</v>
      </c>
      <c r="BS53" s="52">
        <f t="shared" si="13"/>
        <v>1140858.1399999999</v>
      </c>
      <c r="BT53" s="61">
        <f t="shared" si="14"/>
        <v>49929.81</v>
      </c>
      <c r="BU53" s="64">
        <f t="shared" si="15"/>
        <v>44823.81</v>
      </c>
      <c r="BV53" s="119">
        <f>SUM(Tableau1[[#This Row],[Achats confiserie]:[Achats boisson]])</f>
        <v>44823.81</v>
      </c>
      <c r="BW53" s="58">
        <f>33321.82+9557.79+1944.2</f>
        <v>44823.81</v>
      </c>
      <c r="BX53" s="69"/>
      <c r="BY53" s="58"/>
      <c r="BZ53" s="56">
        <f t="shared" si="16"/>
        <v>0</v>
      </c>
      <c r="CA53" s="66"/>
      <c r="CB53" s="66"/>
      <c r="CC53" s="56">
        <f t="shared" si="17"/>
        <v>5106</v>
      </c>
      <c r="CD53" s="55">
        <v>1826.7</v>
      </c>
      <c r="CE53" s="65">
        <v>470.7</v>
      </c>
      <c r="CF53" s="55">
        <v>2808.6</v>
      </c>
      <c r="CG53" s="55"/>
      <c r="CH53" s="67">
        <f t="shared" si="18"/>
        <v>525182.76</v>
      </c>
      <c r="CI53" s="68">
        <f t="shared" si="37"/>
        <v>360378.44999999995</v>
      </c>
      <c r="CJ53" s="55"/>
      <c r="CK53" s="55">
        <v>340875.92</v>
      </c>
      <c r="CL53" s="55"/>
      <c r="CM53" s="55"/>
      <c r="CN53" s="55">
        <v>19502.53</v>
      </c>
      <c r="CO53" s="68">
        <f t="shared" si="20"/>
        <v>25577.14</v>
      </c>
      <c r="CP53" s="75">
        <f>SUM(Tableau1[[#This Row],[Fourniture eau]:[Energie (non précisé)]])</f>
        <v>18574.330000000002</v>
      </c>
      <c r="CQ53" s="55">
        <v>689.29</v>
      </c>
      <c r="CR53" s="55">
        <v>17885.04</v>
      </c>
      <c r="CS53" s="55"/>
      <c r="CT53" s="93"/>
      <c r="CU53" s="55">
        <f>1971+1033.73</f>
        <v>3004.73</v>
      </c>
      <c r="CV53" s="55">
        <v>3998.08</v>
      </c>
      <c r="CW53" s="55"/>
      <c r="CX53" s="68">
        <f>SUM(Tableau1[[#This Row],[Sous-traitance]:[Autres ou non précisé 12]])</f>
        <v>35496</v>
      </c>
      <c r="CY53" s="65"/>
      <c r="CZ53" s="65">
        <v>31005</v>
      </c>
      <c r="DA53" s="65">
        <f>792</f>
        <v>792</v>
      </c>
      <c r="DB53" s="65"/>
      <c r="DC53" s="55">
        <f>3699</f>
        <v>3699</v>
      </c>
      <c r="DD53" s="68">
        <f t="shared" si="41"/>
        <v>28130.120000000003</v>
      </c>
      <c r="DE53" s="55">
        <v>23730</v>
      </c>
      <c r="DF53" s="65"/>
      <c r="DG53" s="55">
        <f>37.77+4362.35</f>
        <v>4400.1200000000008</v>
      </c>
      <c r="DH53" s="65"/>
      <c r="DI53" s="68">
        <f>SUM(Tableau1[[#This Row],[Entretien et réparation matériel de projection]:[Autres ou non précisé 14]])</f>
        <v>13182</v>
      </c>
      <c r="DJ53" s="58"/>
      <c r="DK53" s="58">
        <v>12912</v>
      </c>
      <c r="DL53" s="69">
        <v>270</v>
      </c>
      <c r="DM53" s="68">
        <f t="shared" si="22"/>
        <v>0</v>
      </c>
      <c r="DN53" s="58"/>
      <c r="DO53" s="58" t="s">
        <v>189</v>
      </c>
      <c r="DP53" s="68">
        <f t="shared" si="23"/>
        <v>9541.09</v>
      </c>
      <c r="DQ53" s="65">
        <f>958.58+6513.12+1678.6</f>
        <v>9150.2999999999993</v>
      </c>
      <c r="DR53" s="65">
        <v>390.79</v>
      </c>
      <c r="DS53" s="68">
        <f t="shared" si="24"/>
        <v>0</v>
      </c>
      <c r="DT53" s="65"/>
      <c r="DU53" s="65"/>
      <c r="DV53" s="65"/>
      <c r="DW53" s="68">
        <f>SUM(Tableau1[[#This Row],[Comission et courtage sur achats]:[Autres ou honoraires
 non précisé ]])</f>
        <v>22354.03</v>
      </c>
      <c r="DX53" s="57"/>
      <c r="DY53" s="57"/>
      <c r="DZ53" s="65"/>
      <c r="EA53" s="65">
        <v>54.03</v>
      </c>
      <c r="EB53" s="65">
        <v>22300</v>
      </c>
      <c r="EC53" s="68">
        <f t="shared" si="25"/>
        <v>4631.1400000000003</v>
      </c>
      <c r="ED53" s="69"/>
      <c r="EE53" s="69">
        <v>4631.1400000000003</v>
      </c>
      <c r="EF53" s="69"/>
      <c r="EG53" s="69"/>
      <c r="EH53" s="69"/>
      <c r="EI53" s="84">
        <f>SUM(Tableau1[[#This Row],[Transports sur films]:[autres ]])</f>
        <v>1597.37</v>
      </c>
      <c r="EJ53" s="132">
        <v>1597.37</v>
      </c>
      <c r="EK53" s="132"/>
      <c r="EL53" s="68">
        <f t="shared" si="26"/>
        <v>11715.19</v>
      </c>
      <c r="EM53" s="65">
        <v>425.93</v>
      </c>
      <c r="EN53" s="65">
        <v>1693.93</v>
      </c>
      <c r="EO53" s="65">
        <v>1614</v>
      </c>
      <c r="EP53" s="65">
        <v>7692.59</v>
      </c>
      <c r="EQ53" s="65"/>
      <c r="ER53" s="65">
        <v>288.74</v>
      </c>
      <c r="ES53" s="65"/>
      <c r="ET53" s="68">
        <f t="shared" si="27"/>
        <v>5765.4699999999993</v>
      </c>
      <c r="EU53" s="65">
        <f>4314.99+353.54</f>
        <v>4668.53</v>
      </c>
      <c r="EV53" s="65">
        <v>378.96</v>
      </c>
      <c r="EW53" s="65"/>
      <c r="EX53" s="65">
        <v>717.98</v>
      </c>
      <c r="EY53" s="65"/>
      <c r="EZ53" s="68">
        <f>SUM(Tableau1[[#This Row],[Frais sur CB]:[Services bancaires]])</f>
        <v>3362.08</v>
      </c>
      <c r="FA53" s="65">
        <v>2728.08</v>
      </c>
      <c r="FB53" s="65">
        <v>634</v>
      </c>
      <c r="FC53" s="70">
        <f t="shared" si="28"/>
        <v>3452.68</v>
      </c>
      <c r="FD53" s="65">
        <v>3452.68</v>
      </c>
      <c r="FE53" s="71">
        <f t="shared" si="29"/>
        <v>13784.329999999998</v>
      </c>
      <c r="FF53" s="72">
        <f t="shared" si="30"/>
        <v>2079.8499999999995</v>
      </c>
      <c r="FG53" s="65">
        <v>1058.3</v>
      </c>
      <c r="FH53" s="65">
        <v>1028.06</v>
      </c>
      <c r="FI53" s="65">
        <f>-6.51</f>
        <v>-6.51</v>
      </c>
      <c r="FJ53" s="56">
        <f t="shared" si="31"/>
        <v>11704.48</v>
      </c>
      <c r="FK53" s="65"/>
      <c r="FL53" s="65"/>
      <c r="FM53" s="65"/>
      <c r="FN53" s="65">
        <f>2943+557+257.62+7946.86</f>
        <v>11704.48</v>
      </c>
      <c r="FO53" s="67">
        <f t="shared" si="32"/>
        <v>408383</v>
      </c>
      <c r="FP53" s="57">
        <v>350747</v>
      </c>
      <c r="FQ53" s="73">
        <v>57636</v>
      </c>
      <c r="FR53" s="73"/>
      <c r="FS53" s="71">
        <f t="shared" si="33"/>
        <v>125133.1</v>
      </c>
      <c r="FT53" s="91">
        <f>681.55+124451.55</f>
        <v>125133.1</v>
      </c>
      <c r="FU53" s="91"/>
      <c r="FV53" s="67">
        <f>SUM(Tableau1[[#This Row],[Droits d''auteurs SACEM + cotisations SACEM]:[Autres ou non préciés]])</f>
        <v>18445.14</v>
      </c>
      <c r="FW53" s="75">
        <f t="shared" si="34"/>
        <v>13351.09</v>
      </c>
      <c r="FX53" s="74">
        <v>13351.09</v>
      </c>
      <c r="FY53" s="74"/>
      <c r="FZ53" s="74"/>
      <c r="GA53" s="74">
        <f>3753+1341.05</f>
        <v>5094.05</v>
      </c>
      <c r="GB53" s="71">
        <f t="shared" si="35"/>
        <v>6002.5300000000007</v>
      </c>
      <c r="GC53" s="92">
        <f>5996.76+5.77</f>
        <v>6002.5300000000007</v>
      </c>
      <c r="GD53" s="92"/>
      <c r="GE53" s="67">
        <f t="shared" si="36"/>
        <v>100642</v>
      </c>
      <c r="GF53" s="66">
        <v>121</v>
      </c>
      <c r="GG53" s="15"/>
      <c r="GH53" s="66"/>
      <c r="GI53" s="66">
        <v>100521</v>
      </c>
      <c r="GJ53" s="77">
        <v>1323</v>
      </c>
    </row>
    <row r="54" spans="1:192" ht="18" customHeight="1" x14ac:dyDescent="0.25">
      <c r="A54" s="89"/>
      <c r="B54" s="17"/>
      <c r="C54" s="50"/>
      <c r="D54" s="140"/>
      <c r="E54" s="51"/>
      <c r="F54" s="139"/>
      <c r="G54" s="49"/>
      <c r="H54" s="50"/>
      <c r="I54" s="122"/>
      <c r="J54" s="49"/>
      <c r="K54" s="50">
        <v>3</v>
      </c>
      <c r="L54" s="50"/>
      <c r="M54" s="90">
        <v>52</v>
      </c>
      <c r="N54" s="50"/>
      <c r="O54" s="50"/>
      <c r="P54" s="90"/>
      <c r="Q54" s="52">
        <f t="shared" si="0"/>
        <v>601166</v>
      </c>
      <c r="R54" s="52">
        <f t="shared" si="1"/>
        <v>567260</v>
      </c>
      <c r="S54" s="53">
        <f t="shared" si="2"/>
        <v>407427</v>
      </c>
      <c r="T54" s="54">
        <f t="shared" si="3"/>
        <v>29043</v>
      </c>
      <c r="U54" s="115">
        <f>SUM(Tableau1[[#This Row],[Vente confiserie]:[Vente boisson]])</f>
        <v>29043</v>
      </c>
      <c r="V54" s="55">
        <f>13361+15682</f>
        <v>29043</v>
      </c>
      <c r="W54" s="55"/>
      <c r="X54" s="135">
        <f>SUM(Tableau1[[#This Row],[Vente lunette]:[Location lunette]])</f>
        <v>0</v>
      </c>
      <c r="Y54" s="55"/>
      <c r="Z54" s="55"/>
      <c r="AA54" s="55"/>
      <c r="AB54" s="55"/>
      <c r="AC54" s="56">
        <f t="shared" si="38"/>
        <v>376909</v>
      </c>
      <c r="AD54" s="57">
        <f>428341-51432</f>
        <v>376909</v>
      </c>
      <c r="AE54" s="57"/>
      <c r="AF54" s="57"/>
      <c r="AG54" s="57"/>
      <c r="AH54" s="57"/>
      <c r="AI54" s="57"/>
      <c r="AJ54" s="118">
        <v>51432</v>
      </c>
      <c r="AK54" s="57"/>
      <c r="AL54" s="56">
        <f t="shared" si="39"/>
        <v>1475</v>
      </c>
      <c r="AM54" s="58"/>
      <c r="AN54" s="58"/>
      <c r="AO54" s="58"/>
      <c r="AP54" s="115">
        <f t="shared" si="6"/>
        <v>1475</v>
      </c>
      <c r="AQ54" s="69"/>
      <c r="AR54" s="69"/>
      <c r="AS54" s="69">
        <v>1475</v>
      </c>
      <c r="AT54" s="69"/>
      <c r="AU54" s="59">
        <f t="shared" si="7"/>
        <v>159833</v>
      </c>
      <c r="AV54" s="60">
        <f t="shared" si="8"/>
        <v>84727</v>
      </c>
      <c r="AW54" s="58">
        <f>8000+15000+35000</f>
        <v>58000</v>
      </c>
      <c r="AX54" s="58">
        <v>24000</v>
      </c>
      <c r="AY54" s="58">
        <v>2727</v>
      </c>
      <c r="AZ54" s="60">
        <f t="shared" si="40"/>
        <v>74418</v>
      </c>
      <c r="BA54" s="58"/>
      <c r="BB54" s="58">
        <v>74418</v>
      </c>
      <c r="BC54" s="58"/>
      <c r="BD54" s="60">
        <f>SUM(Tableau1[[#This Row],[ticket/carte/abonnement périmé]:[Autres ou non précisé 5]])</f>
        <v>688</v>
      </c>
      <c r="BE54" s="58"/>
      <c r="BF54" s="58"/>
      <c r="BG54" s="58">
        <v>688</v>
      </c>
      <c r="BH54" s="61">
        <f t="shared" si="10"/>
        <v>0</v>
      </c>
      <c r="BI54" s="137"/>
      <c r="BJ54" s="120"/>
      <c r="BK54" s="62">
        <f t="shared" si="11"/>
        <v>33906</v>
      </c>
      <c r="BL54" s="120">
        <v>5956</v>
      </c>
      <c r="BM54" s="120"/>
      <c r="BN54" s="120"/>
      <c r="BO54" s="120">
        <v>27950</v>
      </c>
      <c r="BP54" s="120"/>
      <c r="BQ54" s="63"/>
      <c r="BR54" s="52">
        <f t="shared" si="12"/>
        <v>589715</v>
      </c>
      <c r="BS54" s="52">
        <f t="shared" si="13"/>
        <v>550088</v>
      </c>
      <c r="BT54" s="61">
        <f t="shared" si="14"/>
        <v>1525</v>
      </c>
      <c r="BU54" s="64">
        <f t="shared" si="15"/>
        <v>21358</v>
      </c>
      <c r="BV54" s="119">
        <f>SUM(Tableau1[[#This Row],[Achats confiserie]:[Achats boisson]])</f>
        <v>9244</v>
      </c>
      <c r="BW54" s="58">
        <f>3437+2794+465</f>
        <v>6696</v>
      </c>
      <c r="BX54" s="69">
        <f>431+2117</f>
        <v>2548</v>
      </c>
      <c r="BY54" s="58">
        <f>11028+1086</f>
        <v>12114</v>
      </c>
      <c r="BZ54" s="56">
        <f t="shared" si="16"/>
        <v>23</v>
      </c>
      <c r="CA54" s="66"/>
      <c r="CB54" s="66">
        <v>23</v>
      </c>
      <c r="CC54" s="56">
        <f t="shared" si="17"/>
        <v>-19856</v>
      </c>
      <c r="CD54" s="55"/>
      <c r="CE54" s="65"/>
      <c r="CF54" s="55"/>
      <c r="CG54" s="55">
        <v>-19856</v>
      </c>
      <c r="CH54" s="67">
        <f t="shared" si="18"/>
        <v>380973</v>
      </c>
      <c r="CI54" s="68">
        <f t="shared" si="37"/>
        <v>190818</v>
      </c>
      <c r="CJ54" s="55">
        <v>984</v>
      </c>
      <c r="CK54" s="55">
        <f>-31+189079</f>
        <v>189048</v>
      </c>
      <c r="CL54" s="55"/>
      <c r="CM54" s="55"/>
      <c r="CN54" s="55">
        <v>786</v>
      </c>
      <c r="CO54" s="68">
        <f t="shared" si="20"/>
        <v>23758</v>
      </c>
      <c r="CP54" s="75">
        <f>SUM(Tableau1[[#This Row],[Fourniture eau]:[Energie (non précisé)]])</f>
        <v>16008</v>
      </c>
      <c r="CQ54" s="55">
        <f>240+165</f>
        <v>405</v>
      </c>
      <c r="CR54" s="55">
        <v>15603</v>
      </c>
      <c r="CS54" s="55"/>
      <c r="CT54" s="55"/>
      <c r="CU54" s="55">
        <f>4958+91+1619</f>
        <v>6668</v>
      </c>
      <c r="CV54" s="55">
        <f>1082</f>
        <v>1082</v>
      </c>
      <c r="CW54" s="55"/>
      <c r="CX54" s="68">
        <f>SUM(Tableau1[[#This Row],[Sous-traitance]:[Autres ou non précisé 12]])</f>
        <v>61771</v>
      </c>
      <c r="CY54" s="65"/>
      <c r="CZ54" s="65">
        <v>61285</v>
      </c>
      <c r="DA54" s="65"/>
      <c r="DB54" s="65">
        <v>486</v>
      </c>
      <c r="DC54" s="55"/>
      <c r="DD54" s="68">
        <f t="shared" si="41"/>
        <v>62375</v>
      </c>
      <c r="DE54" s="55"/>
      <c r="DF54" s="65"/>
      <c r="DG54" s="65">
        <f>44239+18136</f>
        <v>62375</v>
      </c>
      <c r="DH54" s="65"/>
      <c r="DI54" s="68">
        <f>SUM(Tableau1[[#This Row],[Entretien et réparation matériel de projection]:[Autres ou non précisé 14]])</f>
        <v>848</v>
      </c>
      <c r="DJ54" s="104"/>
      <c r="DK54" s="58"/>
      <c r="DL54" s="58">
        <v>848</v>
      </c>
      <c r="DM54" s="68">
        <f t="shared" si="22"/>
        <v>3290</v>
      </c>
      <c r="DN54" s="58"/>
      <c r="DO54" s="58">
        <f>3253+37</f>
        <v>3290</v>
      </c>
      <c r="DP54" s="68">
        <f t="shared" si="23"/>
        <v>7004</v>
      </c>
      <c r="DQ54" s="65">
        <f>1455+4728</f>
        <v>6183</v>
      </c>
      <c r="DR54" s="65">
        <f>397+424</f>
        <v>821</v>
      </c>
      <c r="DS54" s="68">
        <f t="shared" si="24"/>
        <v>0</v>
      </c>
      <c r="DT54" s="65"/>
      <c r="DU54" s="65"/>
      <c r="DV54" s="65"/>
      <c r="DW54" s="68">
        <f>SUM(Tableau1[[#This Row],[Comission et courtage sur achats]:[Autres ou honoraires
 non précisé ]])</f>
        <v>10323</v>
      </c>
      <c r="DX54" s="57"/>
      <c r="DY54" s="57"/>
      <c r="DZ54" s="65">
        <v>7141</v>
      </c>
      <c r="EA54" s="65">
        <f>517+189+2476</f>
        <v>3182</v>
      </c>
      <c r="EB54" s="93"/>
      <c r="EC54" s="68">
        <f t="shared" si="25"/>
        <v>4610</v>
      </c>
      <c r="ED54" s="69"/>
      <c r="EE54" s="69"/>
      <c r="EF54" s="69">
        <f>4081+261+248</f>
        <v>4590</v>
      </c>
      <c r="EG54" s="69"/>
      <c r="EH54" s="69">
        <v>20</v>
      </c>
      <c r="EI54" s="84">
        <f>SUM(Tableau1[[#This Row],[Transports sur films]:[autres ]])</f>
        <v>3452</v>
      </c>
      <c r="EJ54" s="132">
        <v>3452</v>
      </c>
      <c r="EK54" s="132"/>
      <c r="EL54" s="68">
        <f t="shared" si="26"/>
        <v>6596</v>
      </c>
      <c r="EM54" s="65">
        <f>4422+272+1275</f>
        <v>5969</v>
      </c>
      <c r="EN54" s="65">
        <v>627</v>
      </c>
      <c r="EO54" s="65"/>
      <c r="EP54" s="65"/>
      <c r="EQ54" s="65"/>
      <c r="ER54" s="65"/>
      <c r="ES54" s="65"/>
      <c r="ET54" s="68">
        <f t="shared" si="27"/>
        <v>2549</v>
      </c>
      <c r="EU54" s="65"/>
      <c r="EV54" s="65"/>
      <c r="EW54" s="65">
        <v>2067</v>
      </c>
      <c r="EX54" s="65">
        <v>482</v>
      </c>
      <c r="EY54" s="65"/>
      <c r="EZ54" s="68">
        <f>SUM(Tableau1[[#This Row],[Frais sur CB]:[Services bancaires]])</f>
        <v>2424</v>
      </c>
      <c r="FA54" s="65">
        <f>1149</f>
        <v>1149</v>
      </c>
      <c r="FB54" s="65">
        <v>1275</v>
      </c>
      <c r="FC54" s="70">
        <f>Tableau1[[#This Row],[Cotisations2]]</f>
        <v>1155</v>
      </c>
      <c r="FD54" s="93">
        <v>1155</v>
      </c>
      <c r="FE54" s="71">
        <f t="shared" si="29"/>
        <v>2183</v>
      </c>
      <c r="FF54" s="72">
        <f t="shared" si="30"/>
        <v>1187</v>
      </c>
      <c r="FG54" s="65">
        <v>655</v>
      </c>
      <c r="FH54" s="65">
        <v>532</v>
      </c>
      <c r="FI54" s="65"/>
      <c r="FJ54" s="56">
        <f t="shared" si="31"/>
        <v>996</v>
      </c>
      <c r="FK54" s="65">
        <v>361</v>
      </c>
      <c r="FL54" s="65"/>
      <c r="FM54" s="65"/>
      <c r="FN54" s="65">
        <v>635</v>
      </c>
      <c r="FO54" s="67">
        <f t="shared" si="32"/>
        <v>92219</v>
      </c>
      <c r="FP54" s="57">
        <v>79767</v>
      </c>
      <c r="FQ54" s="73">
        <v>12452</v>
      </c>
      <c r="FR54" s="73"/>
      <c r="FS54" s="71">
        <f t="shared" si="33"/>
        <v>65873</v>
      </c>
      <c r="FT54" s="91">
        <v>65873</v>
      </c>
      <c r="FU54" s="91"/>
      <c r="FV54" s="67">
        <f>SUM(Tableau1[[#This Row],[Droits d''auteurs SACEM + cotisations SACEM]:[Autres ou non préciés]])</f>
        <v>7315</v>
      </c>
      <c r="FW54" s="75">
        <f t="shared" si="34"/>
        <v>6465</v>
      </c>
      <c r="FX54" s="74">
        <v>0</v>
      </c>
      <c r="FY54" s="74"/>
      <c r="FZ54" s="74">
        <v>6465</v>
      </c>
      <c r="GA54" s="74">
        <v>850</v>
      </c>
      <c r="GB54" s="71">
        <f t="shared" si="35"/>
        <v>1232</v>
      </c>
      <c r="GC54" s="120">
        <f>1022+210</f>
        <v>1232</v>
      </c>
      <c r="GD54" s="92"/>
      <c r="GE54" s="67">
        <f t="shared" si="36"/>
        <v>35412</v>
      </c>
      <c r="GF54" s="66">
        <v>31352</v>
      </c>
      <c r="GG54" s="66">
        <v>4060</v>
      </c>
      <c r="GH54" s="66"/>
      <c r="GI54" s="66"/>
      <c r="GJ54" s="77">
        <v>2983</v>
      </c>
    </row>
    <row r="55" spans="1:192" ht="18.600000000000001" customHeight="1" x14ac:dyDescent="0.25">
      <c r="A55" s="89"/>
      <c r="B55" s="17"/>
      <c r="C55" s="50"/>
      <c r="D55" s="140"/>
      <c r="E55" s="51"/>
      <c r="F55" s="139"/>
      <c r="G55" s="49"/>
      <c r="H55" s="50"/>
      <c r="I55" s="122"/>
      <c r="J55" s="49"/>
      <c r="K55" s="50">
        <v>3</v>
      </c>
      <c r="L55" s="50"/>
      <c r="M55" s="90">
        <v>52</v>
      </c>
      <c r="N55" s="50"/>
      <c r="O55" s="50"/>
      <c r="P55" s="90"/>
      <c r="Q55" s="52">
        <f t="shared" si="0"/>
        <v>565120</v>
      </c>
      <c r="R55" s="52">
        <f t="shared" si="1"/>
        <v>535374</v>
      </c>
      <c r="S55" s="53">
        <f t="shared" si="2"/>
        <v>448558</v>
      </c>
      <c r="T55" s="54">
        <f t="shared" si="3"/>
        <v>29510</v>
      </c>
      <c r="U55" s="115">
        <f>SUM(Tableau1[[#This Row],[Vente confiserie]:[Vente boisson]])</f>
        <v>29510</v>
      </c>
      <c r="V55" s="55">
        <f>12468+17042</f>
        <v>29510</v>
      </c>
      <c r="W55" s="55"/>
      <c r="X55" s="135">
        <f>SUM(Tableau1[[#This Row],[Vente lunette]:[Location lunette]])</f>
        <v>0</v>
      </c>
      <c r="Y55" s="55"/>
      <c r="Z55" s="55"/>
      <c r="AA55" s="55"/>
      <c r="AB55" s="55"/>
      <c r="AC55" s="56">
        <f t="shared" si="38"/>
        <v>416242</v>
      </c>
      <c r="AD55" s="57">
        <f>32630+398876-47894</f>
        <v>383612</v>
      </c>
      <c r="AE55" s="57"/>
      <c r="AF55" s="57"/>
      <c r="AG55" s="57"/>
      <c r="AH55" s="57"/>
      <c r="AI55" s="57"/>
      <c r="AJ55" s="118">
        <v>47894</v>
      </c>
      <c r="AK55" s="57">
        <v>32630</v>
      </c>
      <c r="AL55" s="56">
        <f t="shared" si="39"/>
        <v>2806</v>
      </c>
      <c r="AM55" s="58"/>
      <c r="AN55" s="58"/>
      <c r="AO55" s="58"/>
      <c r="AP55" s="115">
        <f t="shared" si="6"/>
        <v>2806</v>
      </c>
      <c r="AQ55" s="69"/>
      <c r="AR55" s="69"/>
      <c r="AS55" s="69">
        <v>2806</v>
      </c>
      <c r="AT55" s="69"/>
      <c r="AU55" s="59">
        <f t="shared" si="7"/>
        <v>86816</v>
      </c>
      <c r="AV55" s="60">
        <f t="shared" si="8"/>
        <v>86536</v>
      </c>
      <c r="AW55" s="58">
        <f>7000+15000+8643+30000+893</f>
        <v>61536</v>
      </c>
      <c r="AX55" s="58">
        <v>25000</v>
      </c>
      <c r="AY55" s="58"/>
      <c r="AZ55" s="60">
        <f>SUM(BB55:BC55)</f>
        <v>274</v>
      </c>
      <c r="BA55" s="104"/>
      <c r="BB55" s="58">
        <v>274</v>
      </c>
      <c r="BC55" s="58"/>
      <c r="BD55" s="60">
        <f>SUM(Tableau1[[#This Row],[ticket/carte/abonnement périmé]:[Autres ou non précisé 5]])</f>
        <v>6</v>
      </c>
      <c r="BE55" s="58"/>
      <c r="BF55" s="58"/>
      <c r="BG55" s="58">
        <v>6</v>
      </c>
      <c r="BH55" s="61">
        <f t="shared" si="10"/>
        <v>0</v>
      </c>
      <c r="BI55" s="120"/>
      <c r="BJ55" s="120"/>
      <c r="BK55" s="62">
        <f t="shared" si="11"/>
        <v>29746</v>
      </c>
      <c r="BL55" s="120">
        <v>1854</v>
      </c>
      <c r="BM55" s="120"/>
      <c r="BN55" s="120"/>
      <c r="BO55" s="120">
        <v>27892</v>
      </c>
      <c r="BP55" s="120"/>
      <c r="BQ55" s="63"/>
      <c r="BR55" s="52">
        <f t="shared" si="12"/>
        <v>545236</v>
      </c>
      <c r="BS55" s="52">
        <f t="shared" si="13"/>
        <v>539189</v>
      </c>
      <c r="BT55" s="61">
        <f t="shared" si="14"/>
        <v>19847</v>
      </c>
      <c r="BU55" s="64">
        <f t="shared" si="15"/>
        <v>19556</v>
      </c>
      <c r="BV55" s="119">
        <f>SUM(Tableau1[[#This Row],[Achats confiserie]:[Achats boisson]])</f>
        <v>7816</v>
      </c>
      <c r="BW55" s="58">
        <f>2144+1792+1191</f>
        <v>5127</v>
      </c>
      <c r="BX55" s="69">
        <f>1730+959</f>
        <v>2689</v>
      </c>
      <c r="BY55" s="58">
        <f>10801+939</f>
        <v>11740</v>
      </c>
      <c r="BZ55" s="56">
        <f t="shared" si="16"/>
        <v>0</v>
      </c>
      <c r="CA55" s="66"/>
      <c r="CB55" s="66"/>
      <c r="CC55" s="56">
        <f t="shared" si="17"/>
        <v>291</v>
      </c>
      <c r="CD55" s="55"/>
      <c r="CE55" s="65"/>
      <c r="CF55" s="55"/>
      <c r="CG55" s="55">
        <v>291</v>
      </c>
      <c r="CH55" s="67">
        <f t="shared" si="18"/>
        <v>341829</v>
      </c>
      <c r="CI55" s="68">
        <f t="shared" si="37"/>
        <v>198448</v>
      </c>
      <c r="CJ55" s="55">
        <v>1000</v>
      </c>
      <c r="CK55" s="55">
        <f>195991-377</f>
        <v>195614</v>
      </c>
      <c r="CL55" s="55"/>
      <c r="CM55" s="55"/>
      <c r="CN55" s="55">
        <v>1834</v>
      </c>
      <c r="CO55" s="68">
        <f t="shared" si="20"/>
        <v>21695</v>
      </c>
      <c r="CP55" s="75">
        <f>SUM(Tableau1[[#This Row],[Fourniture eau]:[Energie (non précisé)]])</f>
        <v>14178</v>
      </c>
      <c r="CQ55" s="55">
        <f>520+382</f>
        <v>902</v>
      </c>
      <c r="CR55" s="55">
        <v>13276</v>
      </c>
      <c r="CS55" s="55"/>
      <c r="CT55" s="55"/>
      <c r="CU55" s="55">
        <f>5625+163+793</f>
        <v>6581</v>
      </c>
      <c r="CV55" s="55">
        <v>936</v>
      </c>
      <c r="CW55" s="55"/>
      <c r="CX55" s="68">
        <f>SUM(Tableau1[[#This Row],[Sous-traitance]:[Autres ou non précisé 12]])</f>
        <v>62685</v>
      </c>
      <c r="CY55" s="65">
        <v>564</v>
      </c>
      <c r="CZ55" s="65">
        <v>61285</v>
      </c>
      <c r="DA55" s="65">
        <v>350</v>
      </c>
      <c r="DB55" s="65">
        <v>486</v>
      </c>
      <c r="DC55" s="55"/>
      <c r="DD55" s="68">
        <f>SUM(DF55:DH55)</f>
        <v>3253</v>
      </c>
      <c r="DE55" s="93"/>
      <c r="DF55" s="65"/>
      <c r="DG55" s="55">
        <f>2643+610</f>
        <v>3253</v>
      </c>
      <c r="DH55" s="65"/>
      <c r="DI55" s="68">
        <f>SUM(Tableau1[[#This Row],[Entretien et réparation matériel de projection]:[Autres ou non précisé 14]])</f>
        <v>2017</v>
      </c>
      <c r="DJ55" s="58"/>
      <c r="DK55" s="58"/>
      <c r="DL55" s="69">
        <v>2017</v>
      </c>
      <c r="DM55" s="68">
        <f t="shared" si="22"/>
        <v>2897</v>
      </c>
      <c r="DN55" s="58"/>
      <c r="DO55" s="58">
        <f>2627+270</f>
        <v>2897</v>
      </c>
      <c r="DP55" s="68">
        <f t="shared" si="23"/>
        <v>7216</v>
      </c>
      <c r="DQ55" s="55">
        <f>1119+5503</f>
        <v>6622</v>
      </c>
      <c r="DR55" s="65">
        <v>594</v>
      </c>
      <c r="DS55" s="68">
        <f t="shared" si="24"/>
        <v>0</v>
      </c>
      <c r="DT55" s="65"/>
      <c r="DU55" s="65"/>
      <c r="DV55" s="65"/>
      <c r="DW55" s="68">
        <f>SUM(Tableau1[[#This Row],[Comission et courtage sur achats]:[Autres ou honoraires
 non précisé ]])</f>
        <v>26579</v>
      </c>
      <c r="DX55" s="57"/>
      <c r="DY55" s="57">
        <v>10999</v>
      </c>
      <c r="DZ55" s="65">
        <v>7592</v>
      </c>
      <c r="EA55" s="65">
        <f>519+1439+30</f>
        <v>1988</v>
      </c>
      <c r="EB55" s="65">
        <v>6000</v>
      </c>
      <c r="EC55" s="68">
        <f t="shared" si="25"/>
        <v>2784</v>
      </c>
      <c r="ED55" s="69"/>
      <c r="EE55" s="69"/>
      <c r="EF55" s="69">
        <v>2747</v>
      </c>
      <c r="EG55" s="69"/>
      <c r="EH55" s="69">
        <v>37</v>
      </c>
      <c r="EI55" s="84">
        <f>SUM(Tableau1[[#This Row],[Transports sur films]:[autres ]])</f>
        <v>515</v>
      </c>
      <c r="EJ55" s="132">
        <f>247+268</f>
        <v>515</v>
      </c>
      <c r="EK55" s="132"/>
      <c r="EL55" s="68">
        <f t="shared" si="26"/>
        <v>5915</v>
      </c>
      <c r="EM55" s="65">
        <f>4386+455+467</f>
        <v>5308</v>
      </c>
      <c r="EN55" s="65">
        <v>607</v>
      </c>
      <c r="EO55" s="65"/>
      <c r="EP55" s="65"/>
      <c r="EQ55" s="65"/>
      <c r="ER55" s="65"/>
      <c r="ES55" s="65"/>
      <c r="ET55" s="68">
        <f t="shared" si="27"/>
        <v>3218</v>
      </c>
      <c r="EU55" s="65"/>
      <c r="EV55" s="65"/>
      <c r="EW55" s="65">
        <v>2520</v>
      </c>
      <c r="EX55" s="65">
        <f>627+71</f>
        <v>698</v>
      </c>
      <c r="EY55" s="65"/>
      <c r="EZ55" s="68">
        <f>SUM(FA55:FB55)</f>
        <v>3337</v>
      </c>
      <c r="FA55" s="65">
        <v>1211</v>
      </c>
      <c r="FB55" s="65">
        <v>2126</v>
      </c>
      <c r="FC55" s="70">
        <f>Tableau1[[#This Row],[Cotisations2]]</f>
        <v>1270</v>
      </c>
      <c r="FD55" s="65">
        <v>1270</v>
      </c>
      <c r="FE55" s="71">
        <f t="shared" si="29"/>
        <v>2724</v>
      </c>
      <c r="FF55" s="72">
        <f t="shared" si="30"/>
        <v>1440</v>
      </c>
      <c r="FG55" s="65">
        <v>858</v>
      </c>
      <c r="FH55" s="65">
        <v>582</v>
      </c>
      <c r="FI55" s="65"/>
      <c r="FJ55" s="56">
        <f t="shared" si="31"/>
        <v>1284</v>
      </c>
      <c r="FK55" s="65">
        <v>913</v>
      </c>
      <c r="FL55" s="65"/>
      <c r="FM55" s="65"/>
      <c r="FN55" s="65">
        <v>371</v>
      </c>
      <c r="FO55" s="67">
        <f t="shared" si="32"/>
        <v>105064</v>
      </c>
      <c r="FP55" s="57">
        <v>85801</v>
      </c>
      <c r="FQ55" s="73">
        <f>19263</f>
        <v>19263</v>
      </c>
      <c r="FR55" s="73"/>
      <c r="FS55" s="71">
        <f t="shared" si="33"/>
        <v>63511</v>
      </c>
      <c r="FT55" s="91">
        <v>63511</v>
      </c>
      <c r="FU55" s="91"/>
      <c r="FV55" s="67">
        <f>SUM(Tableau1[[#This Row],[Droits d''auteurs SACEM + cotisations SACEM]:[Autres ou non préciés]])</f>
        <v>6214</v>
      </c>
      <c r="FW55" s="75">
        <f t="shared" si="34"/>
        <v>6135</v>
      </c>
      <c r="FX55" s="74">
        <v>0</v>
      </c>
      <c r="FY55" s="74"/>
      <c r="FZ55" s="74">
        <f>1889+4246</f>
        <v>6135</v>
      </c>
      <c r="GA55" s="74">
        <v>79</v>
      </c>
      <c r="GB55" s="71">
        <f t="shared" si="35"/>
        <v>1087</v>
      </c>
      <c r="GC55" s="92">
        <f>665+422</f>
        <v>1087</v>
      </c>
      <c r="GD55" s="92"/>
      <c r="GE55" s="67">
        <f t="shared" si="36"/>
        <v>3869</v>
      </c>
      <c r="GF55" s="66">
        <v>1259</v>
      </c>
      <c r="GG55" s="66">
        <v>2610</v>
      </c>
      <c r="GH55" s="66"/>
      <c r="GI55" s="66"/>
      <c r="GJ55" s="77">
        <v>1091</v>
      </c>
    </row>
    <row r="56" spans="1:192" ht="18.600000000000001" customHeight="1" x14ac:dyDescent="0.25">
      <c r="A56" s="89"/>
      <c r="B56" s="17"/>
      <c r="C56" s="50"/>
      <c r="D56" s="140"/>
      <c r="E56" s="51"/>
      <c r="F56" s="139"/>
      <c r="G56" s="49"/>
      <c r="H56" s="50"/>
      <c r="I56" s="122"/>
      <c r="J56" s="49"/>
      <c r="K56" s="50">
        <v>3</v>
      </c>
      <c r="L56" s="50"/>
      <c r="M56" s="90"/>
      <c r="N56" s="50"/>
      <c r="O56" s="50"/>
      <c r="P56" s="90"/>
      <c r="Q56" s="52">
        <f t="shared" si="0"/>
        <v>405987</v>
      </c>
      <c r="R56" s="52">
        <f t="shared" si="1"/>
        <v>363099</v>
      </c>
      <c r="S56" s="53">
        <f t="shared" si="2"/>
        <v>291382</v>
      </c>
      <c r="T56" s="54">
        <f t="shared" si="3"/>
        <v>32608</v>
      </c>
      <c r="U56" s="115">
        <f>SUM(Tableau1[[#This Row],[Vente confiserie]:[Vente boisson]])</f>
        <v>32608</v>
      </c>
      <c r="V56" s="55">
        <v>32608</v>
      </c>
      <c r="W56" s="55"/>
      <c r="X56" s="135">
        <f>SUM(Tableau1[[#This Row],[Vente lunette]:[Location lunette]])</f>
        <v>0</v>
      </c>
      <c r="Y56" s="55"/>
      <c r="Z56" s="55"/>
      <c r="AA56" s="55"/>
      <c r="AB56" s="55"/>
      <c r="AC56" s="56">
        <f t="shared" si="38"/>
        <v>243580</v>
      </c>
      <c r="AD56" s="57">
        <f>-62383+350681-44718</f>
        <v>243580</v>
      </c>
      <c r="AE56" s="57"/>
      <c r="AF56" s="57"/>
      <c r="AG56" s="57"/>
      <c r="AH56" s="57"/>
      <c r="AI56" s="57"/>
      <c r="AJ56" s="118">
        <f>(Tableau1[[#This Row],[Recette guichet ]]*1.1275177)-Tableau1[[#This Row],[Recette guichet ]]</f>
        <v>31060.761365999992</v>
      </c>
      <c r="AK56" s="57"/>
      <c r="AL56" s="56">
        <f t="shared" si="39"/>
        <v>15194</v>
      </c>
      <c r="AM56" s="58"/>
      <c r="AN56" s="58"/>
      <c r="AO56" s="58">
        <v>9490</v>
      </c>
      <c r="AP56" s="115">
        <f t="shared" si="6"/>
        <v>5704</v>
      </c>
      <c r="AQ56" s="69"/>
      <c r="AR56" s="69"/>
      <c r="AS56" s="69">
        <v>5704</v>
      </c>
      <c r="AT56" s="69"/>
      <c r="AU56" s="59">
        <f t="shared" si="7"/>
        <v>71717</v>
      </c>
      <c r="AV56" s="60">
        <f t="shared" si="8"/>
        <v>69180</v>
      </c>
      <c r="AW56" s="58">
        <f>15000+30000</f>
        <v>45000</v>
      </c>
      <c r="AX56" s="58">
        <v>24180</v>
      </c>
      <c r="AY56" s="58"/>
      <c r="AZ56" s="60">
        <f t="shared" ref="AZ56:AZ119" si="42">SUM(BA56:BC56)</f>
        <v>2510</v>
      </c>
      <c r="BA56" s="58"/>
      <c r="BB56" s="58">
        <v>2510</v>
      </c>
      <c r="BC56" s="58"/>
      <c r="BD56" s="60">
        <f>SUM(Tableau1[[#This Row],[ticket/carte/abonnement périmé]:[Autres ou non précisé 5]])</f>
        <v>27</v>
      </c>
      <c r="BE56" s="58"/>
      <c r="BF56" s="58"/>
      <c r="BG56" s="58">
        <v>27</v>
      </c>
      <c r="BH56" s="61">
        <f t="shared" si="10"/>
        <v>0</v>
      </c>
      <c r="BI56" s="120"/>
      <c r="BJ56" s="120"/>
      <c r="BK56" s="62">
        <f t="shared" si="11"/>
        <v>42888</v>
      </c>
      <c r="BL56" s="120">
        <v>4338</v>
      </c>
      <c r="BM56" s="120"/>
      <c r="BN56" s="120"/>
      <c r="BO56" s="120">
        <v>38550</v>
      </c>
      <c r="BP56" s="120"/>
      <c r="BQ56" s="63"/>
      <c r="BR56" s="52">
        <f t="shared" si="12"/>
        <v>514894</v>
      </c>
      <c r="BS56" s="52">
        <f t="shared" si="13"/>
        <v>504584</v>
      </c>
      <c r="BT56" s="61">
        <f t="shared" si="14"/>
        <v>17159</v>
      </c>
      <c r="BU56" s="64">
        <f t="shared" si="15"/>
        <v>20165</v>
      </c>
      <c r="BV56" s="119">
        <f>SUM(Tableau1[[#This Row],[Achats confiserie]:[Achats boisson]])</f>
        <v>14094</v>
      </c>
      <c r="BW56" s="58">
        <f>6056+2027+458</f>
        <v>8541</v>
      </c>
      <c r="BX56" s="69">
        <f>2197+3356</f>
        <v>5553</v>
      </c>
      <c r="BY56" s="58">
        <f>474+5597</f>
        <v>6071</v>
      </c>
      <c r="BZ56" s="56">
        <f t="shared" si="16"/>
        <v>0</v>
      </c>
      <c r="CA56" s="66"/>
      <c r="CB56" s="66"/>
      <c r="CC56" s="56">
        <f t="shared" si="17"/>
        <v>-3006</v>
      </c>
      <c r="CD56" s="55"/>
      <c r="CE56" s="65"/>
      <c r="CF56" s="55"/>
      <c r="CG56" s="55">
        <v>-3006</v>
      </c>
      <c r="CH56" s="67">
        <f t="shared" si="18"/>
        <v>316664</v>
      </c>
      <c r="CI56" s="68">
        <f t="shared" si="37"/>
        <v>168067</v>
      </c>
      <c r="CJ56" s="55">
        <v>1100</v>
      </c>
      <c r="CK56" s="55">
        <f>169422-2455</f>
        <v>166967</v>
      </c>
      <c r="CL56" s="55"/>
      <c r="CM56" s="55"/>
      <c r="CN56" s="55"/>
      <c r="CO56" s="68">
        <f t="shared" si="20"/>
        <v>23285</v>
      </c>
      <c r="CP56" s="75">
        <f>SUM(Tableau1[[#This Row],[Fourniture eau]:[Energie (non précisé)]])</f>
        <v>13367</v>
      </c>
      <c r="CQ56" s="55">
        <f>399+306</f>
        <v>705</v>
      </c>
      <c r="CR56" s="55">
        <v>12662</v>
      </c>
      <c r="CS56" s="55"/>
      <c r="CT56" s="55"/>
      <c r="CU56" s="55">
        <f>6343+128+12</f>
        <v>6483</v>
      </c>
      <c r="CV56" s="55">
        <v>3435</v>
      </c>
      <c r="CW56" s="55"/>
      <c r="CX56" s="68">
        <f>SUM(Tableau1[[#This Row],[Sous-traitance]:[Autres ou non précisé 12]])</f>
        <v>69492</v>
      </c>
      <c r="CY56" s="65">
        <v>7554</v>
      </c>
      <c r="CZ56" s="65">
        <v>61242</v>
      </c>
      <c r="DA56" s="93"/>
      <c r="DB56" s="65">
        <f>456+240</f>
        <v>696</v>
      </c>
      <c r="DC56" s="55"/>
      <c r="DD56" s="68">
        <f t="shared" ref="DD56:DD119" si="43">SUM(DE56:DH56)</f>
        <v>3369</v>
      </c>
      <c r="DE56" s="55"/>
      <c r="DF56" s="65"/>
      <c r="DG56" s="65">
        <f>3369</f>
        <v>3369</v>
      </c>
      <c r="DH56" s="65"/>
      <c r="DI56" s="68">
        <f>SUM(Tableau1[[#This Row],[Entretien et réparation matériel de projection]:[Autres ou non précisé 14]])</f>
        <v>1477</v>
      </c>
      <c r="DJ56" s="58"/>
      <c r="DK56" s="58"/>
      <c r="DL56" s="69">
        <v>1477</v>
      </c>
      <c r="DM56" s="68">
        <f t="shared" si="22"/>
        <v>0</v>
      </c>
      <c r="DN56" s="58"/>
      <c r="DO56" s="58"/>
      <c r="DP56" s="68">
        <f t="shared" si="23"/>
        <v>6407</v>
      </c>
      <c r="DQ56" s="65">
        <f>5208+673</f>
        <v>5881</v>
      </c>
      <c r="DR56" s="65">
        <f>248+278</f>
        <v>526</v>
      </c>
      <c r="DS56" s="68">
        <f t="shared" si="24"/>
        <v>0</v>
      </c>
      <c r="DT56" s="65"/>
      <c r="DU56" s="65"/>
      <c r="DV56" s="65"/>
      <c r="DW56" s="68">
        <f>SUM(Tableau1[[#This Row],[Comission et courtage sur achats]:[Autres ou honoraires
 non précisé ]])</f>
        <v>29799</v>
      </c>
      <c r="DX56" s="57"/>
      <c r="DY56" s="57">
        <v>3056</v>
      </c>
      <c r="DZ56" s="65">
        <v>12712</v>
      </c>
      <c r="EA56" s="65">
        <f>4948+1279+804</f>
        <v>7031</v>
      </c>
      <c r="EB56" s="65">
        <v>7000</v>
      </c>
      <c r="EC56" s="68">
        <f t="shared" si="25"/>
        <v>3372</v>
      </c>
      <c r="ED56" s="69"/>
      <c r="EE56" s="69"/>
      <c r="EF56" s="69">
        <v>3372</v>
      </c>
      <c r="EG56" s="69"/>
      <c r="EH56" s="69"/>
      <c r="EI56" s="84">
        <f>SUM(Tableau1[[#This Row],[Transports sur films]:[autres ]])</f>
        <v>930</v>
      </c>
      <c r="EJ56" s="132">
        <v>930</v>
      </c>
      <c r="EK56" s="132"/>
      <c r="EL56" s="68">
        <f t="shared" si="26"/>
        <v>1997</v>
      </c>
      <c r="EM56" s="65">
        <f>955+68+426</f>
        <v>1449</v>
      </c>
      <c r="EN56" s="65">
        <v>548</v>
      </c>
      <c r="EO56" s="65"/>
      <c r="EP56" s="65"/>
      <c r="EQ56" s="65"/>
      <c r="ER56" s="65"/>
      <c r="ES56" s="65"/>
      <c r="ET56" s="68">
        <f t="shared" si="27"/>
        <v>3656</v>
      </c>
      <c r="EU56" s="65"/>
      <c r="EV56" s="65"/>
      <c r="EW56" s="65">
        <v>2301</v>
      </c>
      <c r="EX56" s="65">
        <f>1261+94</f>
        <v>1355</v>
      </c>
      <c r="EY56" s="65"/>
      <c r="EZ56" s="68">
        <f>SUM(FA56:FB56)</f>
        <v>3452</v>
      </c>
      <c r="FA56" s="65">
        <v>1106</v>
      </c>
      <c r="FB56" s="65">
        <v>2346</v>
      </c>
      <c r="FC56" s="70">
        <f t="shared" ref="FC56:FC119" si="44">SUM(FD56:FD56)</f>
        <v>1361</v>
      </c>
      <c r="FD56" s="65">
        <v>1361</v>
      </c>
      <c r="FE56" s="71">
        <f t="shared" si="29"/>
        <v>1013</v>
      </c>
      <c r="FF56" s="72">
        <f t="shared" si="30"/>
        <v>871</v>
      </c>
      <c r="FG56" s="65">
        <v>544</v>
      </c>
      <c r="FH56" s="65">
        <v>327</v>
      </c>
      <c r="FI56" s="65"/>
      <c r="FJ56" s="56">
        <f t="shared" si="31"/>
        <v>142</v>
      </c>
      <c r="FK56" s="65">
        <v>142</v>
      </c>
      <c r="FL56" s="65"/>
      <c r="FM56" s="65"/>
      <c r="FN56" s="65"/>
      <c r="FO56" s="67">
        <f t="shared" si="32"/>
        <v>81949</v>
      </c>
      <c r="FP56" s="57">
        <v>81949</v>
      </c>
      <c r="FQ56" s="73" t="s">
        <v>583</v>
      </c>
      <c r="FR56" s="73"/>
      <c r="FS56" s="71">
        <f t="shared" si="33"/>
        <v>82072</v>
      </c>
      <c r="FT56" s="91">
        <f>64181+17891</f>
        <v>82072</v>
      </c>
      <c r="FU56" s="91"/>
      <c r="FV56" s="67">
        <f>SUM(Tableau1[[#This Row],[Droits d''auteurs SACEM + cotisations SACEM]:[Autres ou non préciés]])</f>
        <v>5727</v>
      </c>
      <c r="FW56" s="75">
        <f t="shared" si="34"/>
        <v>5508</v>
      </c>
      <c r="FX56" s="74">
        <v>0</v>
      </c>
      <c r="FY56" s="74"/>
      <c r="FZ56" s="74">
        <f>397+2997+2114</f>
        <v>5508</v>
      </c>
      <c r="GA56" s="74">
        <v>219</v>
      </c>
      <c r="GB56" s="71">
        <f t="shared" si="35"/>
        <v>3456</v>
      </c>
      <c r="GC56" s="92">
        <v>3456</v>
      </c>
      <c r="GD56" s="92"/>
      <c r="GE56" s="67">
        <f t="shared" si="36"/>
        <v>6854</v>
      </c>
      <c r="GF56" s="66">
        <v>6854</v>
      </c>
      <c r="GG56" s="66"/>
      <c r="GH56" s="66"/>
      <c r="GI56" s="66"/>
      <c r="GJ56" s="77"/>
    </row>
    <row r="57" spans="1:192" ht="18.600000000000001" customHeight="1" x14ac:dyDescent="0.25">
      <c r="A57" s="89"/>
      <c r="B57" s="17"/>
      <c r="C57" s="50"/>
      <c r="D57" s="140"/>
      <c r="E57" s="51"/>
      <c r="F57" s="139"/>
      <c r="G57" s="49"/>
      <c r="H57" s="50"/>
      <c r="I57" s="122"/>
      <c r="J57" s="49"/>
      <c r="K57" s="50">
        <v>2</v>
      </c>
      <c r="L57" s="50"/>
      <c r="M57" s="90">
        <v>48</v>
      </c>
      <c r="N57" s="50"/>
      <c r="O57" s="50"/>
      <c r="P57" s="90"/>
      <c r="Q57" s="52">
        <f t="shared" si="0"/>
        <v>74554.5</v>
      </c>
      <c r="R57" s="52">
        <f t="shared" si="1"/>
        <v>29139</v>
      </c>
      <c r="S57" s="53">
        <f t="shared" si="2"/>
        <v>24287.5</v>
      </c>
      <c r="T57" s="54">
        <f t="shared" si="3"/>
        <v>0</v>
      </c>
      <c r="U57" s="115">
        <f>SUM(Tableau1[[#This Row],[Vente confiserie]:[Vente boisson]])</f>
        <v>0</v>
      </c>
      <c r="V57" s="55"/>
      <c r="W57" s="55"/>
      <c r="X57" s="135">
        <f>SUM(Tableau1[[#This Row],[Vente lunette]:[Location lunette]])</f>
        <v>0</v>
      </c>
      <c r="Y57" s="55"/>
      <c r="Z57" s="55"/>
      <c r="AA57" s="55"/>
      <c r="AB57" s="55"/>
      <c r="AC57" s="56">
        <f t="shared" si="38"/>
        <v>23740</v>
      </c>
      <c r="AD57" s="57">
        <v>23740</v>
      </c>
      <c r="AE57" s="57"/>
      <c r="AF57" s="57"/>
      <c r="AG57" s="57"/>
      <c r="AH57" s="57"/>
      <c r="AI57" s="57"/>
      <c r="AJ57" s="118">
        <f>(Tableau1[[#This Row],[Recette guichet ]]*1.1275177)-Tableau1[[#This Row],[Recette guichet ]]</f>
        <v>3027.270198000002</v>
      </c>
      <c r="AK57" s="57"/>
      <c r="AL57" s="56">
        <f t="shared" si="39"/>
        <v>547.5</v>
      </c>
      <c r="AM57" s="58"/>
      <c r="AN57" s="58"/>
      <c r="AO57" s="58"/>
      <c r="AP57" s="115">
        <f t="shared" si="6"/>
        <v>300</v>
      </c>
      <c r="AQ57" s="69"/>
      <c r="AR57" s="69"/>
      <c r="AS57" s="69">
        <v>300</v>
      </c>
      <c r="AT57" s="69">
        <v>247.5</v>
      </c>
      <c r="AU57" s="59">
        <f t="shared" si="7"/>
        <v>4851.5</v>
      </c>
      <c r="AV57" s="60">
        <f t="shared" si="8"/>
        <v>4204</v>
      </c>
      <c r="AW57" s="58"/>
      <c r="AX57" s="58">
        <v>4000</v>
      </c>
      <c r="AY57" s="58">
        <v>204</v>
      </c>
      <c r="AZ57" s="60">
        <f t="shared" si="42"/>
        <v>227.5</v>
      </c>
      <c r="BA57" s="58"/>
      <c r="BB57" s="58">
        <f>455/2</f>
        <v>227.5</v>
      </c>
      <c r="BC57" s="58"/>
      <c r="BD57" s="60">
        <f>SUM(Tableau1[[#This Row],[ticket/carte/abonnement périmé]:[Autres ou non précisé 5]])</f>
        <v>420</v>
      </c>
      <c r="BE57" s="58"/>
      <c r="BF57" s="58"/>
      <c r="BG57" s="58">
        <f>840/2</f>
        <v>420</v>
      </c>
      <c r="BH57" s="61">
        <f t="shared" si="10"/>
        <v>0</v>
      </c>
      <c r="BI57" s="120"/>
      <c r="BJ57" s="120"/>
      <c r="BK57" s="62">
        <f t="shared" si="11"/>
        <v>45415.5</v>
      </c>
      <c r="BL57" s="120">
        <v>27014.5</v>
      </c>
      <c r="BM57" s="120"/>
      <c r="BN57" s="120"/>
      <c r="BO57" s="120">
        <f>36802/2</f>
        <v>18401</v>
      </c>
      <c r="BP57" s="120"/>
      <c r="BQ57" s="63"/>
      <c r="BR57" s="52">
        <f t="shared" si="12"/>
        <v>19291.5</v>
      </c>
      <c r="BS57" s="52">
        <f t="shared" si="13"/>
        <v>19291.5</v>
      </c>
      <c r="BT57" s="61">
        <f t="shared" si="14"/>
        <v>0</v>
      </c>
      <c r="BU57" s="64">
        <f t="shared" si="15"/>
        <v>0</v>
      </c>
      <c r="BV57" s="119">
        <f>SUM(Tableau1[[#This Row],[Achats confiserie]:[Achats boisson]])</f>
        <v>0</v>
      </c>
      <c r="BW57" s="58"/>
      <c r="BX57" s="69"/>
      <c r="BY57" s="58"/>
      <c r="BZ57" s="56">
        <f t="shared" si="16"/>
        <v>0</v>
      </c>
      <c r="CA57" s="66"/>
      <c r="CB57" s="66"/>
      <c r="CC57" s="56">
        <f t="shared" si="17"/>
        <v>0</v>
      </c>
      <c r="CD57" s="55"/>
      <c r="CE57" s="65"/>
      <c r="CF57" s="55"/>
      <c r="CG57" s="55"/>
      <c r="CH57" s="67">
        <f t="shared" si="18"/>
        <v>17273</v>
      </c>
      <c r="CI57" s="68">
        <f t="shared" si="37"/>
        <v>12325</v>
      </c>
      <c r="CJ57" s="55"/>
      <c r="CK57" s="55">
        <v>12325</v>
      </c>
      <c r="CL57" s="55"/>
      <c r="CM57" s="55"/>
      <c r="CN57" s="55"/>
      <c r="CO57" s="68">
        <f t="shared" si="20"/>
        <v>38.5</v>
      </c>
      <c r="CP57" s="75">
        <f>SUM(Tableau1[[#This Row],[Fourniture eau]:[Energie (non précisé)]])</f>
        <v>0</v>
      </c>
      <c r="CQ57" s="55"/>
      <c r="CR57" s="55"/>
      <c r="CS57" s="55"/>
      <c r="CT57" s="55"/>
      <c r="CU57" s="55">
        <f>21.5+17</f>
        <v>38.5</v>
      </c>
      <c r="CV57" s="55">
        <v>0</v>
      </c>
      <c r="CW57" s="55"/>
      <c r="CX57" s="68">
        <f>SUM(Tableau1[[#This Row],[Sous-traitance]:[Autres ou non précisé 12]])</f>
        <v>0</v>
      </c>
      <c r="CY57" s="65"/>
      <c r="CZ57" s="65"/>
      <c r="DA57" s="65"/>
      <c r="DB57" s="65"/>
      <c r="DC57" s="55"/>
      <c r="DD57" s="68">
        <f t="shared" si="43"/>
        <v>0</v>
      </c>
      <c r="DE57" s="55"/>
      <c r="DF57" s="65"/>
      <c r="DG57" s="65"/>
      <c r="DH57" s="65"/>
      <c r="DI57" s="68">
        <f>SUM(Tableau1[[#This Row],[Entretien et réparation matériel de projection]:[Autres ou non précisé 14]])</f>
        <v>1685</v>
      </c>
      <c r="DJ57" s="58"/>
      <c r="DK57" s="58">
        <v>1685</v>
      </c>
      <c r="DL57" s="69"/>
      <c r="DM57" s="68">
        <f t="shared" si="22"/>
        <v>722</v>
      </c>
      <c r="DN57" s="58"/>
      <c r="DO57" s="58">
        <v>722</v>
      </c>
      <c r="DP57" s="68">
        <f t="shared" si="23"/>
        <v>687.5</v>
      </c>
      <c r="DQ57" s="65">
        <v>518</v>
      </c>
      <c r="DR57" s="65">
        <f>339/2</f>
        <v>169.5</v>
      </c>
      <c r="DS57" s="68">
        <f t="shared" si="24"/>
        <v>0</v>
      </c>
      <c r="DT57" s="65"/>
      <c r="DU57" s="65"/>
      <c r="DV57" s="65"/>
      <c r="DW57" s="68">
        <f>SUM(Tableau1[[#This Row],[Comission et courtage sur achats]:[Autres ou honoraires
 non précisé ]])</f>
        <v>0</v>
      </c>
      <c r="DX57" s="57"/>
      <c r="DY57" s="57"/>
      <c r="DZ57" s="65"/>
      <c r="EA57" s="65"/>
      <c r="EB57" s="65"/>
      <c r="EC57" s="68">
        <f t="shared" si="25"/>
        <v>117</v>
      </c>
      <c r="ED57" s="69"/>
      <c r="EE57" s="69"/>
      <c r="EF57" s="69">
        <v>65</v>
      </c>
      <c r="EG57" s="69"/>
      <c r="EH57" s="69">
        <f>52</f>
        <v>52</v>
      </c>
      <c r="EI57" s="84">
        <f>SUM(Tableau1[[#This Row],[Transports sur films]:[autres ]])</f>
        <v>713</v>
      </c>
      <c r="EJ57" s="132">
        <v>713</v>
      </c>
      <c r="EK57" s="132"/>
      <c r="EL57" s="68">
        <f t="shared" si="26"/>
        <v>223</v>
      </c>
      <c r="EM57" s="65"/>
      <c r="EN57" s="65">
        <v>0</v>
      </c>
      <c r="EO57" s="65"/>
      <c r="EP57" s="65"/>
      <c r="EQ57" s="65">
        <v>223</v>
      </c>
      <c r="ER57" s="65"/>
      <c r="ES57" s="65"/>
      <c r="ET57" s="68">
        <f t="shared" si="27"/>
        <v>574</v>
      </c>
      <c r="EU57" s="65">
        <v>574</v>
      </c>
      <c r="EV57" s="65"/>
      <c r="EW57" s="65"/>
      <c r="EX57" s="65"/>
      <c r="EY57" s="65"/>
      <c r="EZ57" s="68">
        <f>SUM(Tableau1[[#This Row],[Frais sur CB]:[Services bancaires]])</f>
        <v>188</v>
      </c>
      <c r="FA57" s="65"/>
      <c r="FB57" s="65">
        <v>188</v>
      </c>
      <c r="FC57" s="70">
        <f t="shared" si="44"/>
        <v>0</v>
      </c>
      <c r="FD57" s="65"/>
      <c r="FE57" s="71">
        <f t="shared" si="29"/>
        <v>428</v>
      </c>
      <c r="FF57" s="72">
        <f t="shared" si="30"/>
        <v>228</v>
      </c>
      <c r="FG57" s="65">
        <f>456/2</f>
        <v>228</v>
      </c>
      <c r="FH57" s="65"/>
      <c r="FI57" s="65"/>
      <c r="FJ57" s="56">
        <f t="shared" si="31"/>
        <v>200</v>
      </c>
      <c r="FK57" s="65"/>
      <c r="FL57" s="65">
        <v>146</v>
      </c>
      <c r="FM57" s="65">
        <v>54</v>
      </c>
      <c r="FN57" s="65"/>
      <c r="FO57" s="67">
        <f t="shared" si="32"/>
        <v>0</v>
      </c>
      <c r="FP57" s="57"/>
      <c r="FQ57" s="73"/>
      <c r="FR57" s="73"/>
      <c r="FS57" s="71">
        <f t="shared" si="33"/>
        <v>1111</v>
      </c>
      <c r="FT57" s="91">
        <v>1111</v>
      </c>
      <c r="FU57" s="91"/>
      <c r="FV57" s="67">
        <f>SUM(Tableau1[[#This Row],[Droits d''auteurs SACEM + cotisations SACEM]:[Autres ou non préciés]])</f>
        <v>479.5</v>
      </c>
      <c r="FW57" s="75">
        <f t="shared" si="34"/>
        <v>430</v>
      </c>
      <c r="FX57" s="74">
        <v>430</v>
      </c>
      <c r="FY57" s="74"/>
      <c r="FZ57" s="74"/>
      <c r="GA57" s="74">
        <f>165*0.3</f>
        <v>49.5</v>
      </c>
      <c r="GB57" s="71">
        <f t="shared" si="35"/>
        <v>0</v>
      </c>
      <c r="GC57" s="92"/>
      <c r="GD57" s="92"/>
      <c r="GE57" s="67">
        <f t="shared" si="36"/>
        <v>0</v>
      </c>
      <c r="GF57" s="66"/>
      <c r="GG57" s="66"/>
      <c r="GH57" s="66"/>
      <c r="GI57" s="66"/>
      <c r="GJ57" s="77"/>
    </row>
    <row r="58" spans="1:192" ht="18.600000000000001" customHeight="1" x14ac:dyDescent="0.25">
      <c r="A58" s="89"/>
      <c r="B58" s="17"/>
      <c r="C58" s="50"/>
      <c r="D58" s="140"/>
      <c r="E58" s="51"/>
      <c r="F58" s="139"/>
      <c r="G58" s="49"/>
      <c r="H58" s="50"/>
      <c r="I58" s="122"/>
      <c r="J58" s="49"/>
      <c r="K58" s="50">
        <v>2</v>
      </c>
      <c r="L58" s="50"/>
      <c r="M58" s="90">
        <v>48</v>
      </c>
      <c r="N58" s="50"/>
      <c r="O58" s="50"/>
      <c r="P58" s="90"/>
      <c r="Q58" s="52">
        <f t="shared" si="0"/>
        <v>29778.39</v>
      </c>
      <c r="R58" s="52">
        <f t="shared" si="1"/>
        <v>29778.39</v>
      </c>
      <c r="S58" s="53">
        <f t="shared" si="2"/>
        <v>23923</v>
      </c>
      <c r="T58" s="54">
        <f t="shared" si="3"/>
        <v>0</v>
      </c>
      <c r="U58" s="115">
        <f>SUM(Tableau1[[#This Row],[Vente confiserie]:[Vente boisson]])</f>
        <v>0</v>
      </c>
      <c r="V58" s="55"/>
      <c r="W58" s="55"/>
      <c r="X58" s="135">
        <f>SUM(Tableau1[[#This Row],[Vente lunette]:[Location lunette]])</f>
        <v>0</v>
      </c>
      <c r="Y58" s="55"/>
      <c r="Z58" s="55"/>
      <c r="AA58" s="55"/>
      <c r="AB58" s="55"/>
      <c r="AC58" s="56">
        <f t="shared" si="38"/>
        <v>23843</v>
      </c>
      <c r="AD58" s="57">
        <v>23843</v>
      </c>
      <c r="AE58" s="57"/>
      <c r="AF58" s="57"/>
      <c r="AG58" s="57"/>
      <c r="AH58" s="57"/>
      <c r="AI58" s="57"/>
      <c r="AJ58" s="118">
        <f>(Tableau1[[#This Row],[Recette guichet ]]*1.1275177)-Tableau1[[#This Row],[Recette guichet ]]</f>
        <v>3040.4045211000011</v>
      </c>
      <c r="AK58" s="57"/>
      <c r="AL58" s="56">
        <f t="shared" si="39"/>
        <v>80</v>
      </c>
      <c r="AM58" s="58"/>
      <c r="AN58" s="58"/>
      <c r="AO58" s="58"/>
      <c r="AP58" s="115">
        <f t="shared" si="6"/>
        <v>80</v>
      </c>
      <c r="AQ58" s="69"/>
      <c r="AR58" s="69"/>
      <c r="AS58" s="69">
        <v>80</v>
      </c>
      <c r="AT58" s="69"/>
      <c r="AU58" s="59">
        <f t="shared" si="7"/>
        <v>5855.39</v>
      </c>
      <c r="AV58" s="60">
        <f t="shared" si="8"/>
        <v>5793.89</v>
      </c>
      <c r="AW58" s="58"/>
      <c r="AX58" s="58">
        <v>5740</v>
      </c>
      <c r="AY58" s="58">
        <f>-100+153.89</f>
        <v>53.889999999999986</v>
      </c>
      <c r="AZ58" s="60">
        <f t="shared" si="42"/>
        <v>0</v>
      </c>
      <c r="BA58" s="58"/>
      <c r="BB58" s="58"/>
      <c r="BC58" s="58"/>
      <c r="BD58" s="60">
        <f>SUM(Tableau1[[#This Row],[ticket/carte/abonnement périmé]:[Autres ou non précisé 5]])</f>
        <v>61.5</v>
      </c>
      <c r="BE58" s="58"/>
      <c r="BF58" s="58"/>
      <c r="BG58" s="58">
        <f>123/2</f>
        <v>61.5</v>
      </c>
      <c r="BH58" s="61">
        <f t="shared" si="10"/>
        <v>0</v>
      </c>
      <c r="BI58" s="120"/>
      <c r="BJ58" s="120"/>
      <c r="BK58" s="62">
        <f t="shared" si="11"/>
        <v>0</v>
      </c>
      <c r="BL58" s="120"/>
      <c r="BM58" s="120"/>
      <c r="BN58" s="120"/>
      <c r="BO58" s="120"/>
      <c r="BP58" s="120"/>
      <c r="BQ58" s="63"/>
      <c r="BR58" s="52">
        <f t="shared" si="12"/>
        <v>17410.400000000001</v>
      </c>
      <c r="BS58" s="52">
        <f t="shared" si="13"/>
        <v>17410.400000000001</v>
      </c>
      <c r="BT58" s="61">
        <f t="shared" si="14"/>
        <v>0</v>
      </c>
      <c r="BU58" s="64">
        <f t="shared" si="15"/>
        <v>0</v>
      </c>
      <c r="BV58" s="119">
        <f>SUM(Tableau1[[#This Row],[Achats confiserie]:[Achats boisson]])</f>
        <v>0</v>
      </c>
      <c r="BW58" s="58"/>
      <c r="BX58" s="69"/>
      <c r="BY58" s="58"/>
      <c r="BZ58" s="56">
        <f t="shared" si="16"/>
        <v>0</v>
      </c>
      <c r="CA58" s="66"/>
      <c r="CB58" s="66"/>
      <c r="CC58" s="56">
        <f t="shared" si="17"/>
        <v>0</v>
      </c>
      <c r="CD58" s="55"/>
      <c r="CE58" s="65"/>
      <c r="CF58" s="55"/>
      <c r="CG58" s="55"/>
      <c r="CH58" s="67">
        <f t="shared" si="18"/>
        <v>16790</v>
      </c>
      <c r="CI58" s="68">
        <f t="shared" si="37"/>
        <v>12769</v>
      </c>
      <c r="CJ58" s="55"/>
      <c r="CK58" s="55">
        <v>8652</v>
      </c>
      <c r="CL58" s="55"/>
      <c r="CM58" s="55"/>
      <c r="CN58" s="55">
        <f>2500/2+2867</f>
        <v>4117</v>
      </c>
      <c r="CO58" s="68">
        <f t="shared" si="20"/>
        <v>227.5</v>
      </c>
      <c r="CP58" s="75">
        <f>SUM(Tableau1[[#This Row],[Fourniture eau]:[Energie (non précisé)]])</f>
        <v>0</v>
      </c>
      <c r="CQ58" s="55"/>
      <c r="CR58" s="55"/>
      <c r="CS58" s="55"/>
      <c r="CT58" s="55"/>
      <c r="CU58" s="55"/>
      <c r="CV58" s="55">
        <v>0</v>
      </c>
      <c r="CW58" s="55">
        <f>455/2</f>
        <v>227.5</v>
      </c>
      <c r="CX58" s="68">
        <f>SUM(Tableau1[[#This Row],[Sous-traitance]:[Autres ou non précisé 12]])</f>
        <v>0</v>
      </c>
      <c r="CY58" s="65"/>
      <c r="CZ58" s="65"/>
      <c r="DA58" s="65"/>
      <c r="DB58" s="65"/>
      <c r="DC58" s="55"/>
      <c r="DD58" s="68">
        <f t="shared" si="43"/>
        <v>0</v>
      </c>
      <c r="DE58" s="55"/>
      <c r="DF58" s="65"/>
      <c r="DG58" s="65"/>
      <c r="DH58" s="65"/>
      <c r="DI58" s="68">
        <f>SUM(Tableau1[[#This Row],[Entretien et réparation matériel de projection]:[Autres ou non précisé 14]])</f>
        <v>115</v>
      </c>
      <c r="DJ58" s="58"/>
      <c r="DK58" s="58">
        <v>115</v>
      </c>
      <c r="DL58" s="69"/>
      <c r="DM58" s="68">
        <f t="shared" si="22"/>
        <v>930</v>
      </c>
      <c r="DN58" s="58"/>
      <c r="DO58" s="58">
        <v>930</v>
      </c>
      <c r="DP58" s="68">
        <f t="shared" si="23"/>
        <v>695.5</v>
      </c>
      <c r="DQ58" s="65">
        <v>526</v>
      </c>
      <c r="DR58" s="65">
        <v>169.5</v>
      </c>
      <c r="DS58" s="68">
        <f t="shared" si="24"/>
        <v>0</v>
      </c>
      <c r="DT58" s="65"/>
      <c r="DU58" s="65"/>
      <c r="DV58" s="65"/>
      <c r="DW58" s="68">
        <f>SUM(Tableau1[[#This Row],[Comission et courtage sur achats]:[Autres ou honoraires
 non précisé ]])</f>
        <v>0</v>
      </c>
      <c r="DX58" s="57"/>
      <c r="DY58" s="57"/>
      <c r="DZ58" s="65"/>
      <c r="EA58" s="65"/>
      <c r="EB58" s="65"/>
      <c r="EC58" s="68">
        <f t="shared" si="25"/>
        <v>20</v>
      </c>
      <c r="ED58" s="69"/>
      <c r="EE58" s="69">
        <v>20</v>
      </c>
      <c r="EF58" s="69"/>
      <c r="EG58" s="69"/>
      <c r="EH58" s="69"/>
      <c r="EI58" s="84">
        <f>SUM(Tableau1[[#This Row],[Transports sur films]:[autres ]])</f>
        <v>788</v>
      </c>
      <c r="EJ58" s="132">
        <v>788</v>
      </c>
      <c r="EK58" s="132"/>
      <c r="EL58" s="68">
        <f t="shared" si="26"/>
        <v>258</v>
      </c>
      <c r="EM58" s="65"/>
      <c r="EN58" s="65">
        <v>0</v>
      </c>
      <c r="EO58" s="65"/>
      <c r="EP58" s="65"/>
      <c r="EQ58" s="65">
        <v>258</v>
      </c>
      <c r="ER58" s="65"/>
      <c r="ES58" s="65"/>
      <c r="ET58" s="68">
        <f t="shared" si="27"/>
        <v>622</v>
      </c>
      <c r="EU58" s="65">
        <v>622</v>
      </c>
      <c r="EV58" s="65"/>
      <c r="EW58" s="65"/>
      <c r="EX58" s="65"/>
      <c r="EY58" s="65"/>
      <c r="EZ58" s="68">
        <f>SUM(Tableau1[[#This Row],[Frais sur CB]:[Services bancaires]])</f>
        <v>115</v>
      </c>
      <c r="FA58" s="65"/>
      <c r="FB58" s="65">
        <v>115</v>
      </c>
      <c r="FC58" s="70">
        <f t="shared" si="44"/>
        <v>250</v>
      </c>
      <c r="FD58" s="65">
        <v>250</v>
      </c>
      <c r="FE58" s="71">
        <f t="shared" si="29"/>
        <v>202</v>
      </c>
      <c r="FF58" s="72">
        <f t="shared" si="30"/>
        <v>0</v>
      </c>
      <c r="FG58" s="65"/>
      <c r="FH58" s="65"/>
      <c r="FI58" s="65"/>
      <c r="FJ58" s="56">
        <f t="shared" si="31"/>
        <v>202</v>
      </c>
      <c r="FK58" s="65"/>
      <c r="FL58" s="65">
        <v>147</v>
      </c>
      <c r="FM58" s="65">
        <v>55</v>
      </c>
      <c r="FN58" s="65"/>
      <c r="FO58" s="67">
        <f t="shared" si="32"/>
        <v>0</v>
      </c>
      <c r="FP58" s="103"/>
      <c r="FQ58" s="109"/>
      <c r="FR58" s="73"/>
      <c r="FS58" s="71">
        <f t="shared" si="33"/>
        <v>0</v>
      </c>
      <c r="FT58" s="91"/>
      <c r="FU58" s="91"/>
      <c r="FV58" s="67">
        <f>SUM(Tableau1[[#This Row],[Droits d''auteurs SACEM + cotisations SACEM]:[Autres ou non préciés]])</f>
        <v>418.4</v>
      </c>
      <c r="FW58" s="75">
        <f t="shared" si="34"/>
        <v>374</v>
      </c>
      <c r="FX58" s="74">
        <v>374</v>
      </c>
      <c r="FY58" s="74"/>
      <c r="FZ58" s="74"/>
      <c r="GA58" s="74">
        <f>148*0.3</f>
        <v>44.4</v>
      </c>
      <c r="GB58" s="71">
        <f t="shared" si="35"/>
        <v>0</v>
      </c>
      <c r="GC58" s="92"/>
      <c r="GD58" s="92"/>
      <c r="GE58" s="67">
        <f t="shared" si="36"/>
        <v>0</v>
      </c>
      <c r="GF58" s="66"/>
      <c r="GG58" s="66"/>
      <c r="GH58" s="66"/>
      <c r="GI58" s="66"/>
      <c r="GJ58" s="77"/>
    </row>
    <row r="59" spans="1:192" ht="18.600000000000001" customHeight="1" x14ac:dyDescent="0.25">
      <c r="A59" s="89"/>
      <c r="B59" s="17"/>
      <c r="C59" s="50"/>
      <c r="D59" s="140"/>
      <c r="E59" s="51"/>
      <c r="F59" s="139">
        <f t="shared" ref="F59:F105" si="45">DATEDIF(D59,E59,"m")+1</f>
        <v>1</v>
      </c>
      <c r="G59" s="49"/>
      <c r="H59" s="50"/>
      <c r="I59" s="122"/>
      <c r="J59" s="49"/>
      <c r="K59" s="50"/>
      <c r="L59" s="50"/>
      <c r="M59" s="90"/>
      <c r="N59" s="50"/>
      <c r="O59" s="50"/>
      <c r="P59" s="90"/>
      <c r="Q59" s="52">
        <f t="shared" si="0"/>
        <v>0</v>
      </c>
      <c r="R59" s="52">
        <f t="shared" si="1"/>
        <v>0</v>
      </c>
      <c r="S59" s="53">
        <f t="shared" si="2"/>
        <v>0</v>
      </c>
      <c r="T59" s="54">
        <f t="shared" si="3"/>
        <v>0</v>
      </c>
      <c r="U59" s="115">
        <f>SUM(Tableau1[[#This Row],[Vente confiserie]:[Vente boisson]])</f>
        <v>0</v>
      </c>
      <c r="V59" s="55"/>
      <c r="W59" s="55"/>
      <c r="X59" s="135">
        <f>SUM(Tableau1[[#This Row],[Vente lunette]:[Location lunette]])</f>
        <v>0</v>
      </c>
      <c r="Y59" s="55"/>
      <c r="Z59" s="55"/>
      <c r="AA59" s="55"/>
      <c r="AB59" s="55"/>
      <c r="AC59" s="56">
        <f t="shared" si="38"/>
        <v>0</v>
      </c>
      <c r="AD59" s="57"/>
      <c r="AE59" s="57"/>
      <c r="AF59" s="57"/>
      <c r="AG59" s="57"/>
      <c r="AH59" s="57"/>
      <c r="AI59" s="57"/>
      <c r="AJ59" s="118">
        <f>(Tableau1[[#This Row],[Recette guichet ]]*1.1275177)-Tableau1[[#This Row],[Recette guichet ]]</f>
        <v>0</v>
      </c>
      <c r="AK59" s="57"/>
      <c r="AL59" s="56">
        <f t="shared" si="39"/>
        <v>0</v>
      </c>
      <c r="AM59" s="58"/>
      <c r="AN59" s="58"/>
      <c r="AO59" s="58"/>
      <c r="AP59" s="115">
        <f t="shared" si="6"/>
        <v>0</v>
      </c>
      <c r="AQ59" s="69"/>
      <c r="AR59" s="69"/>
      <c r="AS59" s="69"/>
      <c r="AT59" s="69"/>
      <c r="AU59" s="59">
        <f t="shared" si="7"/>
        <v>0</v>
      </c>
      <c r="AV59" s="60">
        <f t="shared" si="8"/>
        <v>0</v>
      </c>
      <c r="AW59" s="58"/>
      <c r="AX59" s="58"/>
      <c r="AY59" s="58"/>
      <c r="AZ59" s="60">
        <f t="shared" si="42"/>
        <v>0</v>
      </c>
      <c r="BA59" s="58"/>
      <c r="BB59" s="58"/>
      <c r="BC59" s="58"/>
      <c r="BD59" s="60">
        <f>SUM(Tableau1[[#This Row],[ticket/carte/abonnement périmé]:[Autres ou non précisé 5]])</f>
        <v>0</v>
      </c>
      <c r="BE59" s="58"/>
      <c r="BF59" s="58"/>
      <c r="BG59" s="58"/>
      <c r="BH59" s="61">
        <f t="shared" si="10"/>
        <v>0</v>
      </c>
      <c r="BI59" s="120"/>
      <c r="BJ59" s="120"/>
      <c r="BK59" s="62">
        <f t="shared" si="11"/>
        <v>0</v>
      </c>
      <c r="BL59" s="120"/>
      <c r="BM59" s="120"/>
      <c r="BN59" s="120"/>
      <c r="BO59" s="120"/>
      <c r="BP59" s="120"/>
      <c r="BQ59" s="63"/>
      <c r="BR59" s="52">
        <f t="shared" si="12"/>
        <v>0</v>
      </c>
      <c r="BS59" s="52">
        <f t="shared" si="13"/>
        <v>0</v>
      </c>
      <c r="BT59" s="61">
        <f t="shared" si="14"/>
        <v>0</v>
      </c>
      <c r="BU59" s="64">
        <f t="shared" si="15"/>
        <v>0</v>
      </c>
      <c r="BV59" s="119">
        <f>SUM(Tableau1[[#This Row],[Achats confiserie]:[Achats boisson]])</f>
        <v>0</v>
      </c>
      <c r="BW59" s="58"/>
      <c r="BX59" s="69"/>
      <c r="BY59" s="58"/>
      <c r="BZ59" s="56">
        <f t="shared" si="16"/>
        <v>0</v>
      </c>
      <c r="CA59" s="66"/>
      <c r="CB59" s="66"/>
      <c r="CC59" s="56">
        <f t="shared" si="17"/>
        <v>0</v>
      </c>
      <c r="CD59" s="55"/>
      <c r="CE59" s="65"/>
      <c r="CF59" s="55"/>
      <c r="CG59" s="55"/>
      <c r="CH59" s="67">
        <f t="shared" si="18"/>
        <v>0</v>
      </c>
      <c r="CI59" s="68">
        <f t="shared" si="37"/>
        <v>0</v>
      </c>
      <c r="CJ59" s="55"/>
      <c r="CK59" s="55"/>
      <c r="CL59" s="55"/>
      <c r="CM59" s="55"/>
      <c r="CN59" s="55"/>
      <c r="CO59" s="68">
        <f t="shared" si="20"/>
        <v>0</v>
      </c>
      <c r="CP59" s="75">
        <f>SUM(Tableau1[[#This Row],[Fourniture eau]:[Energie (non précisé)]])</f>
        <v>0</v>
      </c>
      <c r="CQ59" s="55"/>
      <c r="CR59" s="55"/>
      <c r="CS59" s="55"/>
      <c r="CT59" s="55"/>
      <c r="CU59" s="55"/>
      <c r="CV59" s="55">
        <v>0</v>
      </c>
      <c r="CW59" s="55"/>
      <c r="CX59" s="68">
        <f>SUM(Tableau1[[#This Row],[Sous-traitance]:[Autres ou non précisé 12]])</f>
        <v>0</v>
      </c>
      <c r="CY59" s="65"/>
      <c r="CZ59" s="65"/>
      <c r="DA59" s="65"/>
      <c r="DB59" s="65"/>
      <c r="DC59" s="55"/>
      <c r="DD59" s="68">
        <f t="shared" si="43"/>
        <v>0</v>
      </c>
      <c r="DE59" s="55"/>
      <c r="DF59" s="65"/>
      <c r="DG59" s="65"/>
      <c r="DH59" s="65"/>
      <c r="DI59" s="68">
        <f>SUM(Tableau1[[#This Row],[Entretien et réparation matériel de projection]:[Autres ou non précisé 14]])</f>
        <v>0</v>
      </c>
      <c r="DJ59" s="58"/>
      <c r="DK59" s="58"/>
      <c r="DL59" s="69"/>
      <c r="DM59" s="68">
        <f t="shared" si="22"/>
        <v>0</v>
      </c>
      <c r="DN59" s="58"/>
      <c r="DO59" s="58"/>
      <c r="DP59" s="68">
        <f t="shared" si="23"/>
        <v>0</v>
      </c>
      <c r="DQ59" s="65"/>
      <c r="DR59" s="65"/>
      <c r="DS59" s="68">
        <f t="shared" si="24"/>
        <v>0</v>
      </c>
      <c r="DT59" s="65"/>
      <c r="DU59" s="65"/>
      <c r="DV59" s="65"/>
      <c r="DW59" s="68">
        <f>SUM(Tableau1[[#This Row],[Comission et courtage sur achats]:[Autres ou honoraires
 non précisé ]])</f>
        <v>0</v>
      </c>
      <c r="DX59" s="57"/>
      <c r="DY59" s="57"/>
      <c r="DZ59" s="65"/>
      <c r="EA59" s="65"/>
      <c r="EB59" s="65"/>
      <c r="EC59" s="68">
        <f t="shared" si="25"/>
        <v>0</v>
      </c>
      <c r="ED59" s="69"/>
      <c r="EE59" s="69"/>
      <c r="EF59" s="69"/>
      <c r="EG59" s="69"/>
      <c r="EH59" s="69"/>
      <c r="EI59" s="84">
        <f>SUM(Tableau1[[#This Row],[Transports sur films]:[autres ]])</f>
        <v>0</v>
      </c>
      <c r="EJ59" s="132">
        <v>0</v>
      </c>
      <c r="EK59" s="132"/>
      <c r="EL59" s="68">
        <f t="shared" si="26"/>
        <v>0</v>
      </c>
      <c r="EM59" s="65"/>
      <c r="EN59" s="65">
        <v>0</v>
      </c>
      <c r="EO59" s="65"/>
      <c r="EP59" s="65"/>
      <c r="EQ59" s="65"/>
      <c r="ER59" s="65"/>
      <c r="ES59" s="65"/>
      <c r="ET59" s="68">
        <f t="shared" si="27"/>
        <v>0</v>
      </c>
      <c r="EU59" s="65"/>
      <c r="EV59" s="65"/>
      <c r="EW59" s="65"/>
      <c r="EX59" s="65"/>
      <c r="EY59" s="65"/>
      <c r="EZ59" s="68">
        <f t="shared" ref="EZ59:EZ122" si="46">SUM(FA59:FB59)</f>
        <v>0</v>
      </c>
      <c r="FA59" s="65"/>
      <c r="FB59" s="65"/>
      <c r="FC59" s="70">
        <f t="shared" si="44"/>
        <v>0</v>
      </c>
      <c r="FD59" s="65"/>
      <c r="FE59" s="71">
        <f t="shared" si="29"/>
        <v>0</v>
      </c>
      <c r="FF59" s="72">
        <f t="shared" si="30"/>
        <v>0</v>
      </c>
      <c r="FG59" s="65"/>
      <c r="FH59" s="65"/>
      <c r="FI59" s="65"/>
      <c r="FJ59" s="56">
        <f t="shared" si="31"/>
        <v>0</v>
      </c>
      <c r="FK59" s="65"/>
      <c r="FL59" s="65"/>
      <c r="FM59" s="65"/>
      <c r="FN59" s="65"/>
      <c r="FO59" s="67">
        <f t="shared" si="32"/>
        <v>0</v>
      </c>
      <c r="FP59" s="57"/>
      <c r="FQ59" s="73"/>
      <c r="FR59" s="73"/>
      <c r="FS59" s="71">
        <f t="shared" si="33"/>
        <v>0</v>
      </c>
      <c r="FT59" s="91"/>
      <c r="FU59" s="91"/>
      <c r="FV59" s="67">
        <f>SUM(Tableau1[[#This Row],[Droits d''auteurs SACEM + cotisations SACEM]:[Autres ou non préciés]])</f>
        <v>0</v>
      </c>
      <c r="FW59" s="75">
        <f t="shared" si="34"/>
        <v>0</v>
      </c>
      <c r="FX59" s="74">
        <v>0</v>
      </c>
      <c r="FY59" s="74"/>
      <c r="FZ59" s="74"/>
      <c r="GA59" s="74"/>
      <c r="GB59" s="71">
        <f t="shared" si="35"/>
        <v>0</v>
      </c>
      <c r="GC59" s="92"/>
      <c r="GD59" s="92"/>
      <c r="GE59" s="67">
        <f t="shared" si="36"/>
        <v>0</v>
      </c>
      <c r="GF59" s="66"/>
      <c r="GG59" s="66"/>
      <c r="GH59" s="66"/>
      <c r="GI59" s="66"/>
      <c r="GJ59" s="77"/>
    </row>
    <row r="60" spans="1:192" ht="18.600000000000001" customHeight="1" x14ac:dyDescent="0.25">
      <c r="A60" s="89"/>
      <c r="B60" s="17"/>
      <c r="C60" s="50"/>
      <c r="D60" s="140"/>
      <c r="E60" s="51"/>
      <c r="F60" s="139">
        <f t="shared" si="45"/>
        <v>1</v>
      </c>
      <c r="G60" s="49"/>
      <c r="H60" s="50"/>
      <c r="I60" s="122"/>
      <c r="J60" s="49"/>
      <c r="K60" s="50"/>
      <c r="L60" s="50"/>
      <c r="M60" s="90"/>
      <c r="N60" s="50"/>
      <c r="O60" s="50"/>
      <c r="P60" s="90"/>
      <c r="Q60" s="52">
        <f t="shared" si="0"/>
        <v>0</v>
      </c>
      <c r="R60" s="52">
        <f t="shared" si="1"/>
        <v>0</v>
      </c>
      <c r="S60" s="53">
        <f t="shared" si="2"/>
        <v>0</v>
      </c>
      <c r="T60" s="54">
        <f t="shared" si="3"/>
        <v>0</v>
      </c>
      <c r="U60" s="115">
        <f>SUM(Tableau1[[#This Row],[Vente confiserie]:[Vente boisson]])</f>
        <v>0</v>
      </c>
      <c r="V60" s="55"/>
      <c r="W60" s="55"/>
      <c r="X60" s="135">
        <f>SUM(Tableau1[[#This Row],[Vente lunette]:[Location lunette]])</f>
        <v>0</v>
      </c>
      <c r="Y60" s="55"/>
      <c r="Z60" s="55"/>
      <c r="AA60" s="55"/>
      <c r="AB60" s="55"/>
      <c r="AC60" s="56">
        <f t="shared" si="38"/>
        <v>0</v>
      </c>
      <c r="AD60" s="57"/>
      <c r="AE60" s="57"/>
      <c r="AF60" s="57"/>
      <c r="AG60" s="57"/>
      <c r="AH60" s="57"/>
      <c r="AI60" s="57"/>
      <c r="AJ60" s="118">
        <f>(Tableau1[[#This Row],[Recette guichet ]]*1.1275177)-Tableau1[[#This Row],[Recette guichet ]]</f>
        <v>0</v>
      </c>
      <c r="AK60" s="57"/>
      <c r="AL60" s="56">
        <f t="shared" si="39"/>
        <v>0</v>
      </c>
      <c r="AM60" s="58"/>
      <c r="AN60" s="58"/>
      <c r="AO60" s="58"/>
      <c r="AP60" s="115">
        <f t="shared" si="6"/>
        <v>0</v>
      </c>
      <c r="AQ60" s="69"/>
      <c r="AR60" s="69"/>
      <c r="AS60" s="69"/>
      <c r="AT60" s="69"/>
      <c r="AU60" s="59">
        <f t="shared" si="7"/>
        <v>0</v>
      </c>
      <c r="AV60" s="60">
        <f t="shared" si="8"/>
        <v>0</v>
      </c>
      <c r="AW60" s="58"/>
      <c r="AX60" s="58"/>
      <c r="AY60" s="58"/>
      <c r="AZ60" s="60">
        <f t="shared" si="42"/>
        <v>0</v>
      </c>
      <c r="BA60" s="58"/>
      <c r="BB60" s="58"/>
      <c r="BC60" s="58"/>
      <c r="BD60" s="60">
        <f>SUM(Tableau1[[#This Row],[ticket/carte/abonnement périmé]:[Autres ou non précisé 5]])</f>
        <v>0</v>
      </c>
      <c r="BE60" s="58"/>
      <c r="BF60" s="58"/>
      <c r="BG60" s="58"/>
      <c r="BH60" s="61">
        <f t="shared" si="10"/>
        <v>0</v>
      </c>
      <c r="BI60" s="120"/>
      <c r="BJ60" s="120"/>
      <c r="BK60" s="62">
        <f t="shared" si="11"/>
        <v>0</v>
      </c>
      <c r="BL60" s="120"/>
      <c r="BM60" s="120"/>
      <c r="BN60" s="120"/>
      <c r="BO60" s="120"/>
      <c r="BP60" s="120"/>
      <c r="BQ60" s="63"/>
      <c r="BR60" s="52">
        <f t="shared" si="12"/>
        <v>0</v>
      </c>
      <c r="BS60" s="52">
        <f t="shared" si="13"/>
        <v>0</v>
      </c>
      <c r="BT60" s="61">
        <f t="shared" si="14"/>
        <v>0</v>
      </c>
      <c r="BU60" s="64">
        <f t="shared" si="15"/>
        <v>0</v>
      </c>
      <c r="BV60" s="119">
        <f>SUM(Tableau1[[#This Row],[Achats confiserie]:[Achats boisson]])</f>
        <v>0</v>
      </c>
      <c r="BW60" s="58"/>
      <c r="BX60" s="69"/>
      <c r="BY60" s="58"/>
      <c r="BZ60" s="56">
        <f t="shared" si="16"/>
        <v>0</v>
      </c>
      <c r="CA60" s="66"/>
      <c r="CB60" s="66"/>
      <c r="CC60" s="56">
        <f t="shared" si="17"/>
        <v>0</v>
      </c>
      <c r="CD60" s="55"/>
      <c r="CE60" s="65"/>
      <c r="CF60" s="55"/>
      <c r="CG60" s="55"/>
      <c r="CH60" s="67">
        <f t="shared" si="18"/>
        <v>0</v>
      </c>
      <c r="CI60" s="68">
        <f t="shared" si="37"/>
        <v>0</v>
      </c>
      <c r="CJ60" s="55"/>
      <c r="CK60" s="55"/>
      <c r="CL60" s="55"/>
      <c r="CM60" s="55"/>
      <c r="CN60" s="55"/>
      <c r="CO60" s="68">
        <f t="shared" si="20"/>
        <v>0</v>
      </c>
      <c r="CP60" s="75">
        <f>SUM(Tableau1[[#This Row],[Fourniture eau]:[Energie (non précisé)]])</f>
        <v>0</v>
      </c>
      <c r="CQ60" s="55"/>
      <c r="CR60" s="55"/>
      <c r="CS60" s="55"/>
      <c r="CT60" s="55"/>
      <c r="CU60" s="55"/>
      <c r="CV60" s="55">
        <v>0</v>
      </c>
      <c r="CW60" s="55"/>
      <c r="CX60" s="68">
        <f>SUM(Tableau1[[#This Row],[Sous-traitance]:[Autres ou non précisé 12]])</f>
        <v>0</v>
      </c>
      <c r="CY60" s="65"/>
      <c r="CZ60" s="65"/>
      <c r="DA60" s="65"/>
      <c r="DB60" s="65"/>
      <c r="DC60" s="55"/>
      <c r="DD60" s="68">
        <f t="shared" si="43"/>
        <v>0</v>
      </c>
      <c r="DE60" s="55"/>
      <c r="DF60" s="65"/>
      <c r="DG60" s="65"/>
      <c r="DH60" s="65"/>
      <c r="DI60" s="68">
        <f>SUM(Tableau1[[#This Row],[Entretien et réparation matériel de projection]:[Autres ou non précisé 14]])</f>
        <v>0</v>
      </c>
      <c r="DJ60" s="58"/>
      <c r="DK60" s="58"/>
      <c r="DL60" s="69"/>
      <c r="DM60" s="68">
        <f t="shared" si="22"/>
        <v>0</v>
      </c>
      <c r="DN60" s="58"/>
      <c r="DO60" s="58"/>
      <c r="DP60" s="68">
        <f t="shared" si="23"/>
        <v>0</v>
      </c>
      <c r="DQ60" s="65"/>
      <c r="DR60" s="65"/>
      <c r="DS60" s="68">
        <f t="shared" si="24"/>
        <v>0</v>
      </c>
      <c r="DT60" s="65"/>
      <c r="DU60" s="65"/>
      <c r="DV60" s="65"/>
      <c r="DW60" s="68">
        <f>SUM(Tableau1[[#This Row],[Comission et courtage sur achats]:[Autres ou honoraires
 non précisé ]])</f>
        <v>0</v>
      </c>
      <c r="DX60" s="57"/>
      <c r="DY60" s="57"/>
      <c r="DZ60" s="65"/>
      <c r="EA60" s="65"/>
      <c r="EB60" s="65"/>
      <c r="EC60" s="68">
        <f t="shared" si="25"/>
        <v>0</v>
      </c>
      <c r="ED60" s="69"/>
      <c r="EE60" s="69"/>
      <c r="EF60" s="69"/>
      <c r="EG60" s="69"/>
      <c r="EH60" s="69"/>
      <c r="EI60" s="84">
        <f>SUM(Tableau1[[#This Row],[Transports sur films]:[autres ]])</f>
        <v>0</v>
      </c>
      <c r="EJ60" s="132">
        <v>0</v>
      </c>
      <c r="EK60" s="132"/>
      <c r="EL60" s="68">
        <f t="shared" si="26"/>
        <v>0</v>
      </c>
      <c r="EM60" s="65"/>
      <c r="EN60" s="65">
        <v>0</v>
      </c>
      <c r="EO60" s="65"/>
      <c r="EP60" s="65"/>
      <c r="EQ60" s="65"/>
      <c r="ER60" s="65"/>
      <c r="ES60" s="65"/>
      <c r="ET60" s="68">
        <f t="shared" si="27"/>
        <v>0</v>
      </c>
      <c r="EU60" s="65"/>
      <c r="EV60" s="65"/>
      <c r="EW60" s="65"/>
      <c r="EX60" s="65"/>
      <c r="EY60" s="65"/>
      <c r="EZ60" s="68">
        <f t="shared" si="46"/>
        <v>0</v>
      </c>
      <c r="FA60" s="65"/>
      <c r="FB60" s="65"/>
      <c r="FC60" s="70">
        <f t="shared" si="44"/>
        <v>0</v>
      </c>
      <c r="FD60" s="65"/>
      <c r="FE60" s="71">
        <f t="shared" si="29"/>
        <v>0</v>
      </c>
      <c r="FF60" s="72">
        <f t="shared" si="30"/>
        <v>0</v>
      </c>
      <c r="FG60" s="65"/>
      <c r="FH60" s="65"/>
      <c r="FI60" s="65"/>
      <c r="FJ60" s="56">
        <f t="shared" si="31"/>
        <v>0</v>
      </c>
      <c r="FK60" s="65"/>
      <c r="FL60" s="65"/>
      <c r="FM60" s="65"/>
      <c r="FN60" s="65"/>
      <c r="FO60" s="67">
        <f t="shared" si="32"/>
        <v>0</v>
      </c>
      <c r="FP60" s="57"/>
      <c r="FQ60" s="73"/>
      <c r="FR60" s="73"/>
      <c r="FS60" s="71">
        <f t="shared" si="33"/>
        <v>0</v>
      </c>
      <c r="FT60" s="91"/>
      <c r="FU60" s="91"/>
      <c r="FV60" s="67">
        <f>SUM(Tableau1[[#This Row],[Droits d''auteurs SACEM + cotisations SACEM]:[Autres ou non préciés]])</f>
        <v>0</v>
      </c>
      <c r="FW60" s="75">
        <f t="shared" si="34"/>
        <v>0</v>
      </c>
      <c r="FX60" s="74">
        <v>0</v>
      </c>
      <c r="FY60" s="74"/>
      <c r="FZ60" s="74"/>
      <c r="GA60" s="74"/>
      <c r="GB60" s="71">
        <f t="shared" si="35"/>
        <v>0</v>
      </c>
      <c r="GC60" s="92"/>
      <c r="GD60" s="92"/>
      <c r="GE60" s="67">
        <f t="shared" si="36"/>
        <v>0</v>
      </c>
      <c r="GF60" s="66"/>
      <c r="GG60" s="66"/>
      <c r="GH60" s="66"/>
      <c r="GI60" s="66"/>
      <c r="GJ60" s="77"/>
    </row>
    <row r="61" spans="1:192" ht="18.600000000000001" customHeight="1" x14ac:dyDescent="0.25">
      <c r="A61" s="89"/>
      <c r="B61" s="17"/>
      <c r="C61" s="50"/>
      <c r="D61" s="140"/>
      <c r="E61" s="51"/>
      <c r="F61" s="139">
        <f t="shared" si="45"/>
        <v>1</v>
      </c>
      <c r="G61" s="49"/>
      <c r="H61" s="50"/>
      <c r="I61" s="122"/>
      <c r="J61" s="49"/>
      <c r="K61" s="50"/>
      <c r="L61" s="50"/>
      <c r="M61" s="90"/>
      <c r="N61" s="50"/>
      <c r="O61" s="50"/>
      <c r="P61" s="90"/>
      <c r="Q61" s="52">
        <f t="shared" si="0"/>
        <v>0</v>
      </c>
      <c r="R61" s="52">
        <f t="shared" si="1"/>
        <v>0</v>
      </c>
      <c r="S61" s="53">
        <f t="shared" si="2"/>
        <v>0</v>
      </c>
      <c r="T61" s="54">
        <f t="shared" si="3"/>
        <v>0</v>
      </c>
      <c r="U61" s="115">
        <f>SUM(Tableau1[[#This Row],[Vente confiserie]:[Vente boisson]])</f>
        <v>0</v>
      </c>
      <c r="V61" s="55"/>
      <c r="W61" s="55"/>
      <c r="X61" s="135">
        <f>SUM(Tableau1[[#This Row],[Vente lunette]:[Location lunette]])</f>
        <v>0</v>
      </c>
      <c r="Y61" s="55"/>
      <c r="Z61" s="55"/>
      <c r="AA61" s="55"/>
      <c r="AB61" s="55"/>
      <c r="AC61" s="56">
        <f t="shared" si="38"/>
        <v>0</v>
      </c>
      <c r="AD61" s="57"/>
      <c r="AE61" s="57"/>
      <c r="AF61" s="57"/>
      <c r="AG61" s="57"/>
      <c r="AH61" s="57"/>
      <c r="AI61" s="57"/>
      <c r="AJ61" s="118">
        <f>(Tableau1[[#This Row],[Recette guichet ]]*1.1275177)-Tableau1[[#This Row],[Recette guichet ]]</f>
        <v>0</v>
      </c>
      <c r="AK61" s="57"/>
      <c r="AL61" s="56">
        <f t="shared" si="39"/>
        <v>0</v>
      </c>
      <c r="AM61" s="58"/>
      <c r="AN61" s="58"/>
      <c r="AO61" s="58"/>
      <c r="AP61" s="115">
        <f t="shared" si="6"/>
        <v>0</v>
      </c>
      <c r="AQ61" s="69"/>
      <c r="AR61" s="69"/>
      <c r="AS61" s="69"/>
      <c r="AT61" s="69"/>
      <c r="AU61" s="59">
        <f t="shared" si="7"/>
        <v>0</v>
      </c>
      <c r="AV61" s="60">
        <f t="shared" si="8"/>
        <v>0</v>
      </c>
      <c r="AW61" s="58"/>
      <c r="AX61" s="58"/>
      <c r="AY61" s="58"/>
      <c r="AZ61" s="60">
        <f t="shared" si="42"/>
        <v>0</v>
      </c>
      <c r="BA61" s="58"/>
      <c r="BB61" s="58"/>
      <c r="BC61" s="58"/>
      <c r="BD61" s="60">
        <f>SUM(Tableau1[[#This Row],[ticket/carte/abonnement périmé]:[Autres ou non précisé 5]])</f>
        <v>0</v>
      </c>
      <c r="BE61" s="58"/>
      <c r="BF61" s="58"/>
      <c r="BG61" s="58"/>
      <c r="BH61" s="61">
        <f t="shared" si="10"/>
        <v>0</v>
      </c>
      <c r="BI61" s="120"/>
      <c r="BJ61" s="120"/>
      <c r="BK61" s="62">
        <f t="shared" si="11"/>
        <v>0</v>
      </c>
      <c r="BL61" s="120"/>
      <c r="BM61" s="120"/>
      <c r="BN61" s="120"/>
      <c r="BO61" s="120"/>
      <c r="BP61" s="120"/>
      <c r="BQ61" s="63"/>
      <c r="BR61" s="52">
        <f t="shared" si="12"/>
        <v>0</v>
      </c>
      <c r="BS61" s="52">
        <f t="shared" si="13"/>
        <v>0</v>
      </c>
      <c r="BT61" s="61">
        <f t="shared" si="14"/>
        <v>0</v>
      </c>
      <c r="BU61" s="64">
        <f t="shared" si="15"/>
        <v>0</v>
      </c>
      <c r="BV61" s="119">
        <f>SUM(Tableau1[[#This Row],[Achats confiserie]:[Achats boisson]])</f>
        <v>0</v>
      </c>
      <c r="BW61" s="58"/>
      <c r="BX61" s="69"/>
      <c r="BY61" s="58"/>
      <c r="BZ61" s="56">
        <f t="shared" si="16"/>
        <v>0</v>
      </c>
      <c r="CA61" s="66"/>
      <c r="CB61" s="66"/>
      <c r="CC61" s="56">
        <f t="shared" si="17"/>
        <v>0</v>
      </c>
      <c r="CD61" s="55"/>
      <c r="CE61" s="65"/>
      <c r="CF61" s="55"/>
      <c r="CG61" s="55"/>
      <c r="CH61" s="67">
        <f t="shared" si="18"/>
        <v>0</v>
      </c>
      <c r="CI61" s="68">
        <f t="shared" si="37"/>
        <v>0</v>
      </c>
      <c r="CJ61" s="55"/>
      <c r="CK61" s="55"/>
      <c r="CL61" s="55"/>
      <c r="CM61" s="55"/>
      <c r="CN61" s="55"/>
      <c r="CO61" s="68">
        <f t="shared" si="20"/>
        <v>0</v>
      </c>
      <c r="CP61" s="75">
        <f>SUM(Tableau1[[#This Row],[Fourniture eau]:[Energie (non précisé)]])</f>
        <v>0</v>
      </c>
      <c r="CQ61" s="55"/>
      <c r="CR61" s="55"/>
      <c r="CS61" s="55"/>
      <c r="CT61" s="55"/>
      <c r="CU61" s="55"/>
      <c r="CV61" s="55">
        <v>0</v>
      </c>
      <c r="CW61" s="55"/>
      <c r="CX61" s="68">
        <f>SUM(Tableau1[[#This Row],[Sous-traitance]:[Autres ou non précisé 12]])</f>
        <v>0</v>
      </c>
      <c r="CY61" s="65"/>
      <c r="CZ61" s="65"/>
      <c r="DA61" s="65"/>
      <c r="DB61" s="65"/>
      <c r="DC61" s="55"/>
      <c r="DD61" s="68">
        <f t="shared" si="43"/>
        <v>0</v>
      </c>
      <c r="DE61" s="55"/>
      <c r="DF61" s="65"/>
      <c r="DG61" s="65"/>
      <c r="DH61" s="65"/>
      <c r="DI61" s="68">
        <f>SUM(Tableau1[[#This Row],[Entretien et réparation matériel de projection]:[Autres ou non précisé 14]])</f>
        <v>0</v>
      </c>
      <c r="DJ61" s="58"/>
      <c r="DK61" s="58"/>
      <c r="DL61" s="69"/>
      <c r="DM61" s="68">
        <f t="shared" si="22"/>
        <v>0</v>
      </c>
      <c r="DN61" s="58"/>
      <c r="DO61" s="58"/>
      <c r="DP61" s="68">
        <f t="shared" si="23"/>
        <v>0</v>
      </c>
      <c r="DQ61" s="65"/>
      <c r="DR61" s="65"/>
      <c r="DS61" s="68">
        <f t="shared" si="24"/>
        <v>0</v>
      </c>
      <c r="DT61" s="65"/>
      <c r="DU61" s="65"/>
      <c r="DV61" s="65"/>
      <c r="DW61" s="68">
        <f>SUM(Tableau1[[#This Row],[Comission et courtage sur achats]:[Autres ou honoraires
 non précisé ]])</f>
        <v>0</v>
      </c>
      <c r="DX61" s="57"/>
      <c r="DY61" s="57"/>
      <c r="DZ61" s="65"/>
      <c r="EA61" s="65"/>
      <c r="EB61" s="65"/>
      <c r="EC61" s="68">
        <f t="shared" si="25"/>
        <v>0</v>
      </c>
      <c r="ED61" s="69"/>
      <c r="EE61" s="69"/>
      <c r="EF61" s="69"/>
      <c r="EG61" s="69"/>
      <c r="EH61" s="69"/>
      <c r="EI61" s="84">
        <f>SUM(Tableau1[[#This Row],[Transports sur films]:[autres ]])</f>
        <v>0</v>
      </c>
      <c r="EJ61" s="132">
        <v>0</v>
      </c>
      <c r="EK61" s="132"/>
      <c r="EL61" s="68">
        <f t="shared" si="26"/>
        <v>0</v>
      </c>
      <c r="EM61" s="65"/>
      <c r="EN61" s="65">
        <v>0</v>
      </c>
      <c r="EO61" s="65"/>
      <c r="EP61" s="65"/>
      <c r="EQ61" s="65"/>
      <c r="ER61" s="65"/>
      <c r="ES61" s="65"/>
      <c r="ET61" s="68">
        <f t="shared" si="27"/>
        <v>0</v>
      </c>
      <c r="EU61" s="65"/>
      <c r="EV61" s="65"/>
      <c r="EW61" s="65"/>
      <c r="EX61" s="65"/>
      <c r="EY61" s="65"/>
      <c r="EZ61" s="68">
        <f t="shared" si="46"/>
        <v>0</v>
      </c>
      <c r="FA61" s="65"/>
      <c r="FB61" s="65"/>
      <c r="FC61" s="70">
        <f t="shared" si="44"/>
        <v>0</v>
      </c>
      <c r="FD61" s="65"/>
      <c r="FE61" s="71">
        <f t="shared" si="29"/>
        <v>0</v>
      </c>
      <c r="FF61" s="72">
        <f t="shared" si="30"/>
        <v>0</v>
      </c>
      <c r="FG61" s="65"/>
      <c r="FH61" s="65"/>
      <c r="FI61" s="65"/>
      <c r="FJ61" s="56">
        <f t="shared" si="31"/>
        <v>0</v>
      </c>
      <c r="FK61" s="65"/>
      <c r="FL61" s="65"/>
      <c r="FM61" s="65"/>
      <c r="FN61" s="65"/>
      <c r="FO61" s="67">
        <f t="shared" si="32"/>
        <v>0</v>
      </c>
      <c r="FP61" s="57"/>
      <c r="FQ61" s="73"/>
      <c r="FR61" s="73"/>
      <c r="FS61" s="71">
        <f t="shared" si="33"/>
        <v>0</v>
      </c>
      <c r="FT61" s="91"/>
      <c r="FU61" s="91"/>
      <c r="FV61" s="67">
        <f>SUM(Tableau1[[#This Row],[Droits d''auteurs SACEM + cotisations SACEM]:[Autres ou non préciés]])</f>
        <v>0</v>
      </c>
      <c r="FW61" s="75">
        <f t="shared" si="34"/>
        <v>0</v>
      </c>
      <c r="FX61" s="74">
        <v>0</v>
      </c>
      <c r="FY61" s="74"/>
      <c r="FZ61" s="74"/>
      <c r="GA61" s="74"/>
      <c r="GB61" s="71">
        <f t="shared" si="35"/>
        <v>0</v>
      </c>
      <c r="GC61" s="92"/>
      <c r="GD61" s="92"/>
      <c r="GE61" s="67">
        <f t="shared" si="36"/>
        <v>0</v>
      </c>
      <c r="GF61" s="66"/>
      <c r="GG61" s="66"/>
      <c r="GH61" s="66"/>
      <c r="GI61" s="66"/>
      <c r="GJ61" s="77"/>
    </row>
    <row r="62" spans="1:192" ht="18.600000000000001" customHeight="1" x14ac:dyDescent="0.25">
      <c r="A62" s="89"/>
      <c r="B62" s="17"/>
      <c r="C62" s="50"/>
      <c r="D62" s="140"/>
      <c r="E62" s="51"/>
      <c r="F62" s="139">
        <f t="shared" si="45"/>
        <v>1</v>
      </c>
      <c r="G62" s="49"/>
      <c r="H62" s="50"/>
      <c r="I62" s="122"/>
      <c r="J62" s="49"/>
      <c r="K62" s="50"/>
      <c r="L62" s="50"/>
      <c r="M62" s="90"/>
      <c r="N62" s="50"/>
      <c r="O62" s="50"/>
      <c r="P62" s="90"/>
      <c r="Q62" s="52">
        <f t="shared" si="0"/>
        <v>0</v>
      </c>
      <c r="R62" s="52">
        <f t="shared" si="1"/>
        <v>0</v>
      </c>
      <c r="S62" s="53">
        <f t="shared" si="2"/>
        <v>0</v>
      </c>
      <c r="T62" s="54">
        <f t="shared" si="3"/>
        <v>0</v>
      </c>
      <c r="U62" s="115">
        <f>SUM(Tableau1[[#This Row],[Vente confiserie]:[Vente boisson]])</f>
        <v>0</v>
      </c>
      <c r="V62" s="55"/>
      <c r="W62" s="55"/>
      <c r="X62" s="135">
        <f>SUM(Tableau1[[#This Row],[Vente lunette]:[Location lunette]])</f>
        <v>0</v>
      </c>
      <c r="Y62" s="55"/>
      <c r="Z62" s="55"/>
      <c r="AA62" s="55"/>
      <c r="AB62" s="55"/>
      <c r="AC62" s="56">
        <f t="shared" si="38"/>
        <v>0</v>
      </c>
      <c r="AD62" s="57"/>
      <c r="AE62" s="57"/>
      <c r="AF62" s="57"/>
      <c r="AG62" s="57"/>
      <c r="AH62" s="57"/>
      <c r="AI62" s="57"/>
      <c r="AJ62" s="118">
        <f>(Tableau1[[#This Row],[Recette guichet ]]*1.1275177)-Tableau1[[#This Row],[Recette guichet ]]</f>
        <v>0</v>
      </c>
      <c r="AK62" s="57"/>
      <c r="AL62" s="56">
        <f t="shared" si="39"/>
        <v>0</v>
      </c>
      <c r="AM62" s="58"/>
      <c r="AN62" s="58"/>
      <c r="AO62" s="58"/>
      <c r="AP62" s="115">
        <f t="shared" si="6"/>
        <v>0</v>
      </c>
      <c r="AQ62" s="69"/>
      <c r="AR62" s="69"/>
      <c r="AS62" s="69"/>
      <c r="AT62" s="69"/>
      <c r="AU62" s="59">
        <f t="shared" si="7"/>
        <v>0</v>
      </c>
      <c r="AV62" s="60">
        <f t="shared" si="8"/>
        <v>0</v>
      </c>
      <c r="AW62" s="58"/>
      <c r="AX62" s="58"/>
      <c r="AY62" s="58"/>
      <c r="AZ62" s="60">
        <f t="shared" si="42"/>
        <v>0</v>
      </c>
      <c r="BA62" s="58"/>
      <c r="BB62" s="58"/>
      <c r="BC62" s="58"/>
      <c r="BD62" s="60">
        <f>SUM(Tableau1[[#This Row],[ticket/carte/abonnement périmé]:[Autres ou non précisé 5]])</f>
        <v>0</v>
      </c>
      <c r="BE62" s="58"/>
      <c r="BF62" s="58"/>
      <c r="BG62" s="58"/>
      <c r="BH62" s="61">
        <f t="shared" si="10"/>
        <v>0</v>
      </c>
      <c r="BI62" s="120"/>
      <c r="BJ62" s="120"/>
      <c r="BK62" s="62">
        <f t="shared" si="11"/>
        <v>0</v>
      </c>
      <c r="BL62" s="120"/>
      <c r="BM62" s="120"/>
      <c r="BN62" s="120"/>
      <c r="BO62" s="120"/>
      <c r="BP62" s="120"/>
      <c r="BQ62" s="63"/>
      <c r="BR62" s="52">
        <f t="shared" si="12"/>
        <v>0</v>
      </c>
      <c r="BS62" s="52">
        <f t="shared" si="13"/>
        <v>0</v>
      </c>
      <c r="BT62" s="61">
        <f t="shared" si="14"/>
        <v>0</v>
      </c>
      <c r="BU62" s="64">
        <f t="shared" si="15"/>
        <v>0</v>
      </c>
      <c r="BV62" s="119">
        <f>SUM(Tableau1[[#This Row],[Achats confiserie]:[Achats boisson]])</f>
        <v>0</v>
      </c>
      <c r="BW62" s="58"/>
      <c r="BX62" s="69"/>
      <c r="BY62" s="58"/>
      <c r="BZ62" s="56">
        <f t="shared" si="16"/>
        <v>0</v>
      </c>
      <c r="CA62" s="66"/>
      <c r="CB62" s="66"/>
      <c r="CC62" s="56">
        <f t="shared" si="17"/>
        <v>0</v>
      </c>
      <c r="CD62" s="55"/>
      <c r="CE62" s="65"/>
      <c r="CF62" s="55"/>
      <c r="CG62" s="55"/>
      <c r="CH62" s="67">
        <f t="shared" si="18"/>
        <v>0</v>
      </c>
      <c r="CI62" s="68">
        <f t="shared" si="37"/>
        <v>0</v>
      </c>
      <c r="CJ62" s="55"/>
      <c r="CK62" s="55"/>
      <c r="CL62" s="55"/>
      <c r="CM62" s="55"/>
      <c r="CN62" s="55"/>
      <c r="CO62" s="68">
        <f t="shared" si="20"/>
        <v>0</v>
      </c>
      <c r="CP62" s="75">
        <f>SUM(Tableau1[[#This Row],[Fourniture eau]:[Energie (non précisé)]])</f>
        <v>0</v>
      </c>
      <c r="CQ62" s="55"/>
      <c r="CR62" s="55"/>
      <c r="CS62" s="55"/>
      <c r="CT62" s="55"/>
      <c r="CU62" s="55"/>
      <c r="CV62" s="55">
        <v>0</v>
      </c>
      <c r="CW62" s="55"/>
      <c r="CX62" s="68">
        <f>SUM(Tableau1[[#This Row],[Sous-traitance]:[Autres ou non précisé 12]])</f>
        <v>0</v>
      </c>
      <c r="CY62" s="65"/>
      <c r="CZ62" s="65"/>
      <c r="DA62" s="65"/>
      <c r="DB62" s="65"/>
      <c r="DC62" s="55"/>
      <c r="DD62" s="68">
        <f t="shared" si="43"/>
        <v>0</v>
      </c>
      <c r="DE62" s="55"/>
      <c r="DF62" s="65"/>
      <c r="DG62" s="65"/>
      <c r="DH62" s="65"/>
      <c r="DI62" s="68">
        <f>SUM(Tableau1[[#This Row],[Entretien et réparation matériel de projection]:[Autres ou non précisé 14]])</f>
        <v>0</v>
      </c>
      <c r="DJ62" s="58"/>
      <c r="DK62" s="58"/>
      <c r="DL62" s="69"/>
      <c r="DM62" s="68">
        <f t="shared" si="22"/>
        <v>0</v>
      </c>
      <c r="DN62" s="58"/>
      <c r="DO62" s="58"/>
      <c r="DP62" s="68">
        <f t="shared" si="23"/>
        <v>0</v>
      </c>
      <c r="DQ62" s="65"/>
      <c r="DR62" s="65"/>
      <c r="DS62" s="68">
        <f t="shared" si="24"/>
        <v>0</v>
      </c>
      <c r="DT62" s="65"/>
      <c r="DU62" s="65"/>
      <c r="DV62" s="65"/>
      <c r="DW62" s="68">
        <f>SUM(Tableau1[[#This Row],[Comission et courtage sur achats]:[Autres ou honoraires
 non précisé ]])</f>
        <v>0</v>
      </c>
      <c r="DX62" s="57"/>
      <c r="DY62" s="57"/>
      <c r="DZ62" s="65"/>
      <c r="EA62" s="65"/>
      <c r="EB62" s="65"/>
      <c r="EC62" s="68">
        <f t="shared" si="25"/>
        <v>0</v>
      </c>
      <c r="ED62" s="69"/>
      <c r="EE62" s="69"/>
      <c r="EF62" s="69"/>
      <c r="EG62" s="69"/>
      <c r="EH62" s="69"/>
      <c r="EI62" s="84">
        <f>SUM(Tableau1[[#This Row],[Transports sur films]:[autres ]])</f>
        <v>0</v>
      </c>
      <c r="EJ62" s="132">
        <v>0</v>
      </c>
      <c r="EK62" s="132"/>
      <c r="EL62" s="68">
        <f t="shared" si="26"/>
        <v>0</v>
      </c>
      <c r="EM62" s="65"/>
      <c r="EN62" s="65">
        <v>0</v>
      </c>
      <c r="EO62" s="65"/>
      <c r="EP62" s="65"/>
      <c r="EQ62" s="65"/>
      <c r="ER62" s="65"/>
      <c r="ES62" s="65"/>
      <c r="ET62" s="68">
        <f t="shared" si="27"/>
        <v>0</v>
      </c>
      <c r="EU62" s="65"/>
      <c r="EV62" s="65"/>
      <c r="EW62" s="65"/>
      <c r="EX62" s="65"/>
      <c r="EY62" s="65"/>
      <c r="EZ62" s="68">
        <f t="shared" si="46"/>
        <v>0</v>
      </c>
      <c r="FA62" s="65"/>
      <c r="FB62" s="65"/>
      <c r="FC62" s="70">
        <f t="shared" si="44"/>
        <v>0</v>
      </c>
      <c r="FD62" s="65"/>
      <c r="FE62" s="71">
        <f t="shared" si="29"/>
        <v>0</v>
      </c>
      <c r="FF62" s="72">
        <f t="shared" si="30"/>
        <v>0</v>
      </c>
      <c r="FG62" s="65"/>
      <c r="FH62" s="65"/>
      <c r="FI62" s="65"/>
      <c r="FJ62" s="56">
        <f t="shared" si="31"/>
        <v>0</v>
      </c>
      <c r="FK62" s="65"/>
      <c r="FL62" s="65"/>
      <c r="FM62" s="65"/>
      <c r="FN62" s="65"/>
      <c r="FO62" s="67">
        <f t="shared" si="32"/>
        <v>0</v>
      </c>
      <c r="FP62" s="57"/>
      <c r="FQ62" s="73"/>
      <c r="FR62" s="73"/>
      <c r="FS62" s="71">
        <f t="shared" si="33"/>
        <v>0</v>
      </c>
      <c r="FT62" s="91"/>
      <c r="FU62" s="91"/>
      <c r="FV62" s="67">
        <f>SUM(Tableau1[[#This Row],[Droits d''auteurs SACEM + cotisations SACEM]:[Autres ou non préciés]])</f>
        <v>0</v>
      </c>
      <c r="FW62" s="75">
        <f t="shared" si="34"/>
        <v>0</v>
      </c>
      <c r="FX62" s="74">
        <v>0</v>
      </c>
      <c r="FY62" s="74"/>
      <c r="FZ62" s="74"/>
      <c r="GA62" s="74"/>
      <c r="GB62" s="71">
        <f t="shared" si="35"/>
        <v>0</v>
      </c>
      <c r="GC62" s="92"/>
      <c r="GD62" s="92"/>
      <c r="GE62" s="67">
        <f t="shared" si="36"/>
        <v>0</v>
      </c>
      <c r="GF62" s="66"/>
      <c r="GG62" s="66"/>
      <c r="GH62" s="66"/>
      <c r="GI62" s="66"/>
      <c r="GJ62" s="77"/>
    </row>
    <row r="63" spans="1:192" ht="18.600000000000001" customHeight="1" x14ac:dyDescent="0.25">
      <c r="A63" s="89"/>
      <c r="B63" s="17"/>
      <c r="C63" s="50"/>
      <c r="D63" s="140"/>
      <c r="E63" s="51"/>
      <c r="F63" s="139">
        <f t="shared" si="45"/>
        <v>1</v>
      </c>
      <c r="G63" s="49"/>
      <c r="H63" s="50"/>
      <c r="I63" s="122"/>
      <c r="J63" s="49"/>
      <c r="K63" s="50"/>
      <c r="L63" s="50"/>
      <c r="M63" s="90"/>
      <c r="N63" s="50"/>
      <c r="O63" s="50"/>
      <c r="P63" s="90"/>
      <c r="Q63" s="52">
        <f t="shared" si="0"/>
        <v>0</v>
      </c>
      <c r="R63" s="52">
        <f t="shared" si="1"/>
        <v>0</v>
      </c>
      <c r="S63" s="53">
        <f t="shared" si="2"/>
        <v>0</v>
      </c>
      <c r="T63" s="54">
        <f t="shared" si="3"/>
        <v>0</v>
      </c>
      <c r="U63" s="115">
        <f>SUM(Tableau1[[#This Row],[Vente confiserie]:[Vente boisson]])</f>
        <v>0</v>
      </c>
      <c r="V63" s="55"/>
      <c r="W63" s="55"/>
      <c r="X63" s="135">
        <f>SUM(Tableau1[[#This Row],[Vente lunette]:[Location lunette]])</f>
        <v>0</v>
      </c>
      <c r="Y63" s="55"/>
      <c r="Z63" s="55"/>
      <c r="AA63" s="55"/>
      <c r="AB63" s="55"/>
      <c r="AC63" s="56">
        <f t="shared" si="38"/>
        <v>0</v>
      </c>
      <c r="AD63" s="57"/>
      <c r="AE63" s="57"/>
      <c r="AF63" s="57"/>
      <c r="AG63" s="57"/>
      <c r="AH63" s="57"/>
      <c r="AI63" s="57"/>
      <c r="AJ63" s="118">
        <f>(Tableau1[[#This Row],[Recette guichet ]]*1.1275177)-Tableau1[[#This Row],[Recette guichet ]]</f>
        <v>0</v>
      </c>
      <c r="AK63" s="57"/>
      <c r="AL63" s="56">
        <f t="shared" si="39"/>
        <v>0</v>
      </c>
      <c r="AM63" s="58"/>
      <c r="AN63" s="58"/>
      <c r="AO63" s="58"/>
      <c r="AP63" s="115">
        <f t="shared" si="6"/>
        <v>0</v>
      </c>
      <c r="AQ63" s="69"/>
      <c r="AR63" s="69"/>
      <c r="AS63" s="69"/>
      <c r="AT63" s="69"/>
      <c r="AU63" s="59">
        <f t="shared" si="7"/>
        <v>0</v>
      </c>
      <c r="AV63" s="60">
        <f t="shared" si="8"/>
        <v>0</v>
      </c>
      <c r="AW63" s="58"/>
      <c r="AX63" s="58"/>
      <c r="AY63" s="58"/>
      <c r="AZ63" s="60">
        <f t="shared" si="42"/>
        <v>0</v>
      </c>
      <c r="BA63" s="58"/>
      <c r="BB63" s="58"/>
      <c r="BC63" s="58"/>
      <c r="BD63" s="60">
        <f>SUM(Tableau1[[#This Row],[ticket/carte/abonnement périmé]:[Autres ou non précisé 5]])</f>
        <v>0</v>
      </c>
      <c r="BE63" s="58"/>
      <c r="BF63" s="58"/>
      <c r="BG63" s="58"/>
      <c r="BH63" s="61">
        <f t="shared" si="10"/>
        <v>0</v>
      </c>
      <c r="BI63" s="120"/>
      <c r="BJ63" s="120"/>
      <c r="BK63" s="62">
        <f t="shared" si="11"/>
        <v>0</v>
      </c>
      <c r="BL63" s="120"/>
      <c r="BM63" s="120"/>
      <c r="BN63" s="120"/>
      <c r="BO63" s="120"/>
      <c r="BP63" s="120"/>
      <c r="BQ63" s="63"/>
      <c r="BR63" s="52">
        <f t="shared" si="12"/>
        <v>0</v>
      </c>
      <c r="BS63" s="52">
        <f t="shared" si="13"/>
        <v>0</v>
      </c>
      <c r="BT63" s="61">
        <f t="shared" si="14"/>
        <v>0</v>
      </c>
      <c r="BU63" s="64">
        <f t="shared" si="15"/>
        <v>0</v>
      </c>
      <c r="BV63" s="119">
        <f>SUM(Tableau1[[#This Row],[Achats confiserie]:[Achats boisson]])</f>
        <v>0</v>
      </c>
      <c r="BW63" s="58"/>
      <c r="BX63" s="69"/>
      <c r="BY63" s="58"/>
      <c r="BZ63" s="56">
        <f t="shared" si="16"/>
        <v>0</v>
      </c>
      <c r="CA63" s="66"/>
      <c r="CB63" s="66"/>
      <c r="CC63" s="56">
        <f t="shared" si="17"/>
        <v>0</v>
      </c>
      <c r="CD63" s="55"/>
      <c r="CE63" s="65"/>
      <c r="CF63" s="55"/>
      <c r="CG63" s="55"/>
      <c r="CH63" s="67">
        <f t="shared" si="18"/>
        <v>0</v>
      </c>
      <c r="CI63" s="68">
        <f t="shared" si="37"/>
        <v>0</v>
      </c>
      <c r="CJ63" s="55"/>
      <c r="CK63" s="55"/>
      <c r="CL63" s="55"/>
      <c r="CM63" s="55"/>
      <c r="CN63" s="55"/>
      <c r="CO63" s="68">
        <f t="shared" si="20"/>
        <v>0</v>
      </c>
      <c r="CP63" s="75">
        <f>SUM(Tableau1[[#This Row],[Fourniture eau]:[Energie (non précisé)]])</f>
        <v>0</v>
      </c>
      <c r="CQ63" s="55"/>
      <c r="CR63" s="55"/>
      <c r="CS63" s="55"/>
      <c r="CT63" s="55"/>
      <c r="CU63" s="55"/>
      <c r="CV63" s="55">
        <v>0</v>
      </c>
      <c r="CW63" s="55"/>
      <c r="CX63" s="68">
        <f>SUM(Tableau1[[#This Row],[Sous-traitance]:[Autres ou non précisé 12]])</f>
        <v>0</v>
      </c>
      <c r="CY63" s="65"/>
      <c r="CZ63" s="65"/>
      <c r="DA63" s="65"/>
      <c r="DB63" s="65"/>
      <c r="DC63" s="55"/>
      <c r="DD63" s="68">
        <f t="shared" si="43"/>
        <v>0</v>
      </c>
      <c r="DE63" s="55"/>
      <c r="DF63" s="65"/>
      <c r="DG63" s="65"/>
      <c r="DH63" s="65"/>
      <c r="DI63" s="68">
        <f>SUM(Tableau1[[#This Row],[Entretien et réparation matériel de projection]:[Autres ou non précisé 14]])</f>
        <v>0</v>
      </c>
      <c r="DJ63" s="58"/>
      <c r="DK63" s="58"/>
      <c r="DL63" s="69"/>
      <c r="DM63" s="68">
        <f t="shared" si="22"/>
        <v>0</v>
      </c>
      <c r="DN63" s="58"/>
      <c r="DO63" s="58"/>
      <c r="DP63" s="68">
        <f t="shared" si="23"/>
        <v>0</v>
      </c>
      <c r="DQ63" s="65"/>
      <c r="DR63" s="65"/>
      <c r="DS63" s="68">
        <f t="shared" si="24"/>
        <v>0</v>
      </c>
      <c r="DT63" s="65"/>
      <c r="DU63" s="65"/>
      <c r="DV63" s="65"/>
      <c r="DW63" s="68">
        <f>SUM(Tableau1[[#This Row],[Comission et courtage sur achats]:[Autres ou honoraires
 non précisé ]])</f>
        <v>0</v>
      </c>
      <c r="DX63" s="57"/>
      <c r="DY63" s="57"/>
      <c r="DZ63" s="65"/>
      <c r="EA63" s="65"/>
      <c r="EB63" s="65"/>
      <c r="EC63" s="68">
        <f t="shared" si="25"/>
        <v>0</v>
      </c>
      <c r="ED63" s="69"/>
      <c r="EE63" s="69"/>
      <c r="EF63" s="69"/>
      <c r="EG63" s="69"/>
      <c r="EH63" s="69"/>
      <c r="EI63" s="84">
        <f>SUM(Tableau1[[#This Row],[Transports sur films]:[autres ]])</f>
        <v>0</v>
      </c>
      <c r="EJ63" s="132">
        <v>0</v>
      </c>
      <c r="EK63" s="132"/>
      <c r="EL63" s="68">
        <f t="shared" si="26"/>
        <v>0</v>
      </c>
      <c r="EM63" s="65"/>
      <c r="EN63" s="65">
        <v>0</v>
      </c>
      <c r="EO63" s="65"/>
      <c r="EP63" s="65"/>
      <c r="EQ63" s="65"/>
      <c r="ER63" s="65"/>
      <c r="ES63" s="65"/>
      <c r="ET63" s="68">
        <f t="shared" si="27"/>
        <v>0</v>
      </c>
      <c r="EU63" s="65"/>
      <c r="EV63" s="65"/>
      <c r="EW63" s="65"/>
      <c r="EX63" s="65"/>
      <c r="EY63" s="65"/>
      <c r="EZ63" s="68">
        <f t="shared" si="46"/>
        <v>0</v>
      </c>
      <c r="FA63" s="65"/>
      <c r="FB63" s="65"/>
      <c r="FC63" s="70">
        <f t="shared" si="44"/>
        <v>0</v>
      </c>
      <c r="FD63" s="65"/>
      <c r="FE63" s="71">
        <f t="shared" si="29"/>
        <v>0</v>
      </c>
      <c r="FF63" s="72">
        <f t="shared" si="30"/>
        <v>0</v>
      </c>
      <c r="FG63" s="65"/>
      <c r="FH63" s="65"/>
      <c r="FI63" s="65"/>
      <c r="FJ63" s="56">
        <f t="shared" si="31"/>
        <v>0</v>
      </c>
      <c r="FK63" s="65"/>
      <c r="FL63" s="65"/>
      <c r="FM63" s="65"/>
      <c r="FN63" s="65"/>
      <c r="FO63" s="67">
        <f t="shared" si="32"/>
        <v>0</v>
      </c>
      <c r="FP63" s="57"/>
      <c r="FQ63" s="73"/>
      <c r="FR63" s="73"/>
      <c r="FS63" s="71">
        <f t="shared" si="33"/>
        <v>0</v>
      </c>
      <c r="FT63" s="91"/>
      <c r="FU63" s="91"/>
      <c r="FV63" s="67">
        <f>SUM(Tableau1[[#This Row],[Droits d''auteurs SACEM + cotisations SACEM]:[Autres ou non préciés]])</f>
        <v>0</v>
      </c>
      <c r="FW63" s="75">
        <f t="shared" si="34"/>
        <v>0</v>
      </c>
      <c r="FX63" s="74">
        <v>0</v>
      </c>
      <c r="FY63" s="74"/>
      <c r="FZ63" s="74"/>
      <c r="GA63" s="74"/>
      <c r="GB63" s="71">
        <f t="shared" si="35"/>
        <v>0</v>
      </c>
      <c r="GC63" s="92"/>
      <c r="GD63" s="92"/>
      <c r="GE63" s="67">
        <f t="shared" si="36"/>
        <v>0</v>
      </c>
      <c r="GF63" s="66"/>
      <c r="GG63" s="66"/>
      <c r="GH63" s="66"/>
      <c r="GI63" s="66"/>
      <c r="GJ63" s="77"/>
    </row>
    <row r="64" spans="1:192" ht="18.600000000000001" customHeight="1" x14ac:dyDescent="0.25">
      <c r="A64" s="89"/>
      <c r="B64" s="17"/>
      <c r="C64" s="50"/>
      <c r="D64" s="140"/>
      <c r="E64" s="51"/>
      <c r="F64" s="139">
        <f t="shared" si="45"/>
        <v>1</v>
      </c>
      <c r="G64" s="49"/>
      <c r="H64" s="50"/>
      <c r="I64" s="122"/>
      <c r="J64" s="49"/>
      <c r="K64" s="50"/>
      <c r="L64" s="50"/>
      <c r="M64" s="90"/>
      <c r="N64" s="50"/>
      <c r="O64" s="50"/>
      <c r="P64" s="90"/>
      <c r="Q64" s="52">
        <f t="shared" si="0"/>
        <v>0</v>
      </c>
      <c r="R64" s="52">
        <f t="shared" si="1"/>
        <v>0</v>
      </c>
      <c r="S64" s="53">
        <f t="shared" si="2"/>
        <v>0</v>
      </c>
      <c r="T64" s="54">
        <f t="shared" si="3"/>
        <v>0</v>
      </c>
      <c r="U64" s="115">
        <f>SUM(Tableau1[[#This Row],[Vente confiserie]:[Vente boisson]])</f>
        <v>0</v>
      </c>
      <c r="V64" s="55"/>
      <c r="W64" s="55"/>
      <c r="X64" s="135">
        <f>SUM(Tableau1[[#This Row],[Vente lunette]:[Location lunette]])</f>
        <v>0</v>
      </c>
      <c r="Y64" s="55"/>
      <c r="Z64" s="55"/>
      <c r="AA64" s="55"/>
      <c r="AB64" s="55"/>
      <c r="AC64" s="56">
        <f t="shared" si="38"/>
        <v>0</v>
      </c>
      <c r="AD64" s="57"/>
      <c r="AE64" s="57"/>
      <c r="AF64" s="57"/>
      <c r="AG64" s="57"/>
      <c r="AH64" s="57"/>
      <c r="AI64" s="57"/>
      <c r="AJ64" s="118">
        <f>(Tableau1[[#This Row],[Recette guichet ]]*1.1275177)-Tableau1[[#This Row],[Recette guichet ]]</f>
        <v>0</v>
      </c>
      <c r="AK64" s="57"/>
      <c r="AL64" s="56">
        <f t="shared" si="39"/>
        <v>0</v>
      </c>
      <c r="AM64" s="58"/>
      <c r="AN64" s="58"/>
      <c r="AO64" s="58"/>
      <c r="AP64" s="115">
        <f t="shared" si="6"/>
        <v>0</v>
      </c>
      <c r="AQ64" s="69"/>
      <c r="AR64" s="69"/>
      <c r="AS64" s="69"/>
      <c r="AT64" s="69"/>
      <c r="AU64" s="59">
        <f t="shared" si="7"/>
        <v>0</v>
      </c>
      <c r="AV64" s="60">
        <f t="shared" si="8"/>
        <v>0</v>
      </c>
      <c r="AW64" s="58"/>
      <c r="AX64" s="58"/>
      <c r="AY64" s="58"/>
      <c r="AZ64" s="60">
        <f t="shared" si="42"/>
        <v>0</v>
      </c>
      <c r="BA64" s="58"/>
      <c r="BB64" s="58"/>
      <c r="BC64" s="58"/>
      <c r="BD64" s="60">
        <f>SUM(Tableau1[[#This Row],[ticket/carte/abonnement périmé]:[Autres ou non précisé 5]])</f>
        <v>0</v>
      </c>
      <c r="BE64" s="58"/>
      <c r="BF64" s="58"/>
      <c r="BG64" s="58"/>
      <c r="BH64" s="61">
        <f t="shared" si="10"/>
        <v>0</v>
      </c>
      <c r="BI64" s="120"/>
      <c r="BJ64" s="120"/>
      <c r="BK64" s="62">
        <f t="shared" si="11"/>
        <v>0</v>
      </c>
      <c r="BL64" s="120"/>
      <c r="BM64" s="120"/>
      <c r="BN64" s="120"/>
      <c r="BO64" s="120"/>
      <c r="BP64" s="120"/>
      <c r="BQ64" s="63"/>
      <c r="BR64" s="52">
        <f t="shared" si="12"/>
        <v>0</v>
      </c>
      <c r="BS64" s="52">
        <f t="shared" si="13"/>
        <v>0</v>
      </c>
      <c r="BT64" s="61">
        <f t="shared" si="14"/>
        <v>0</v>
      </c>
      <c r="BU64" s="64">
        <f t="shared" si="15"/>
        <v>0</v>
      </c>
      <c r="BV64" s="119">
        <f>SUM(Tableau1[[#This Row],[Achats confiserie]:[Achats boisson]])</f>
        <v>0</v>
      </c>
      <c r="BW64" s="58"/>
      <c r="BX64" s="69"/>
      <c r="BY64" s="58"/>
      <c r="BZ64" s="56">
        <f t="shared" si="16"/>
        <v>0</v>
      </c>
      <c r="CA64" s="66"/>
      <c r="CB64" s="66"/>
      <c r="CC64" s="56">
        <f t="shared" si="17"/>
        <v>0</v>
      </c>
      <c r="CD64" s="55"/>
      <c r="CE64" s="65"/>
      <c r="CF64" s="55"/>
      <c r="CG64" s="55"/>
      <c r="CH64" s="67">
        <f t="shared" si="18"/>
        <v>0</v>
      </c>
      <c r="CI64" s="68">
        <f t="shared" si="37"/>
        <v>0</v>
      </c>
      <c r="CJ64" s="55"/>
      <c r="CK64" s="55"/>
      <c r="CL64" s="55"/>
      <c r="CM64" s="55"/>
      <c r="CN64" s="55"/>
      <c r="CO64" s="68">
        <f t="shared" si="20"/>
        <v>0</v>
      </c>
      <c r="CP64" s="75">
        <f>SUM(Tableau1[[#This Row],[Fourniture eau]:[Energie (non précisé)]])</f>
        <v>0</v>
      </c>
      <c r="CQ64" s="55"/>
      <c r="CR64" s="55"/>
      <c r="CS64" s="55"/>
      <c r="CT64" s="55"/>
      <c r="CU64" s="55"/>
      <c r="CV64" s="55">
        <v>0</v>
      </c>
      <c r="CW64" s="55"/>
      <c r="CX64" s="68">
        <f>SUM(Tableau1[[#This Row],[Sous-traitance]:[Autres ou non précisé 12]])</f>
        <v>0</v>
      </c>
      <c r="CY64" s="65"/>
      <c r="CZ64" s="65"/>
      <c r="DA64" s="65"/>
      <c r="DB64" s="65"/>
      <c r="DC64" s="55"/>
      <c r="DD64" s="68">
        <f t="shared" si="43"/>
        <v>0</v>
      </c>
      <c r="DE64" s="55"/>
      <c r="DF64" s="65"/>
      <c r="DG64" s="65"/>
      <c r="DH64" s="65"/>
      <c r="DI64" s="68">
        <f>SUM(Tableau1[[#This Row],[Entretien et réparation matériel de projection]:[Autres ou non précisé 14]])</f>
        <v>0</v>
      </c>
      <c r="DJ64" s="58"/>
      <c r="DK64" s="58"/>
      <c r="DL64" s="69"/>
      <c r="DM64" s="68">
        <f t="shared" si="22"/>
        <v>0</v>
      </c>
      <c r="DN64" s="58"/>
      <c r="DO64" s="58"/>
      <c r="DP64" s="68">
        <f t="shared" si="23"/>
        <v>0</v>
      </c>
      <c r="DQ64" s="65"/>
      <c r="DR64" s="65"/>
      <c r="DS64" s="68">
        <f t="shared" si="24"/>
        <v>0</v>
      </c>
      <c r="DT64" s="65"/>
      <c r="DU64" s="65"/>
      <c r="DV64" s="65"/>
      <c r="DW64" s="68">
        <f>SUM(Tableau1[[#This Row],[Comission et courtage sur achats]:[Autres ou honoraires
 non précisé ]])</f>
        <v>0</v>
      </c>
      <c r="DX64" s="57"/>
      <c r="DY64" s="57"/>
      <c r="DZ64" s="65"/>
      <c r="EA64" s="65"/>
      <c r="EB64" s="65"/>
      <c r="EC64" s="68">
        <f t="shared" si="25"/>
        <v>0</v>
      </c>
      <c r="ED64" s="69"/>
      <c r="EE64" s="69"/>
      <c r="EF64" s="69"/>
      <c r="EG64" s="69"/>
      <c r="EH64" s="69"/>
      <c r="EI64" s="84">
        <f>SUM(Tableau1[[#This Row],[Transports sur films]:[autres ]])</f>
        <v>0</v>
      </c>
      <c r="EJ64" s="132">
        <v>0</v>
      </c>
      <c r="EK64" s="132"/>
      <c r="EL64" s="68">
        <f t="shared" si="26"/>
        <v>0</v>
      </c>
      <c r="EM64" s="65"/>
      <c r="EN64" s="65">
        <v>0</v>
      </c>
      <c r="EO64" s="65"/>
      <c r="EP64" s="65"/>
      <c r="EQ64" s="65"/>
      <c r="ER64" s="65"/>
      <c r="ES64" s="65"/>
      <c r="ET64" s="68">
        <f t="shared" si="27"/>
        <v>0</v>
      </c>
      <c r="EU64" s="65"/>
      <c r="EV64" s="65"/>
      <c r="EW64" s="65"/>
      <c r="EX64" s="65"/>
      <c r="EY64" s="65"/>
      <c r="EZ64" s="68">
        <f t="shared" si="46"/>
        <v>0</v>
      </c>
      <c r="FA64" s="65"/>
      <c r="FB64" s="65"/>
      <c r="FC64" s="70">
        <f t="shared" si="44"/>
        <v>0</v>
      </c>
      <c r="FD64" s="65"/>
      <c r="FE64" s="71">
        <f t="shared" si="29"/>
        <v>0</v>
      </c>
      <c r="FF64" s="72">
        <f t="shared" si="30"/>
        <v>0</v>
      </c>
      <c r="FG64" s="65"/>
      <c r="FH64" s="65"/>
      <c r="FI64" s="65"/>
      <c r="FJ64" s="56">
        <f t="shared" si="31"/>
        <v>0</v>
      </c>
      <c r="FK64" s="65"/>
      <c r="FL64" s="65"/>
      <c r="FM64" s="65"/>
      <c r="FN64" s="65"/>
      <c r="FO64" s="67">
        <f t="shared" si="32"/>
        <v>0</v>
      </c>
      <c r="FP64" s="57"/>
      <c r="FQ64" s="73"/>
      <c r="FR64" s="73"/>
      <c r="FS64" s="71">
        <f t="shared" si="33"/>
        <v>0</v>
      </c>
      <c r="FT64" s="91"/>
      <c r="FU64" s="91"/>
      <c r="FV64" s="67">
        <f>SUM(Tableau1[[#This Row],[Droits d''auteurs SACEM + cotisations SACEM]:[Autres ou non préciés]])</f>
        <v>0</v>
      </c>
      <c r="FW64" s="75">
        <f t="shared" si="34"/>
        <v>0</v>
      </c>
      <c r="FX64" s="74">
        <v>0</v>
      </c>
      <c r="FY64" s="74"/>
      <c r="FZ64" s="74"/>
      <c r="GA64" s="74"/>
      <c r="GB64" s="71">
        <f t="shared" si="35"/>
        <v>0</v>
      </c>
      <c r="GC64" s="92"/>
      <c r="GD64" s="92"/>
      <c r="GE64" s="67">
        <f t="shared" si="36"/>
        <v>0</v>
      </c>
      <c r="GF64" s="66"/>
      <c r="GG64" s="66"/>
      <c r="GH64" s="66"/>
      <c r="GI64" s="66"/>
      <c r="GJ64" s="77"/>
    </row>
    <row r="65" spans="1:192" ht="18.600000000000001" customHeight="1" x14ac:dyDescent="0.25">
      <c r="A65" s="89"/>
      <c r="B65" s="17"/>
      <c r="C65" s="50"/>
      <c r="D65" s="140"/>
      <c r="E65" s="51"/>
      <c r="F65" s="139">
        <f t="shared" si="45"/>
        <v>1</v>
      </c>
      <c r="G65" s="49"/>
      <c r="H65" s="50"/>
      <c r="I65" s="122"/>
      <c r="J65" s="49"/>
      <c r="K65" s="50"/>
      <c r="L65" s="50"/>
      <c r="M65" s="90"/>
      <c r="N65" s="50"/>
      <c r="O65" s="50"/>
      <c r="P65" s="90"/>
      <c r="Q65" s="52">
        <f t="shared" si="0"/>
        <v>0</v>
      </c>
      <c r="R65" s="52">
        <f t="shared" si="1"/>
        <v>0</v>
      </c>
      <c r="S65" s="53">
        <f t="shared" si="2"/>
        <v>0</v>
      </c>
      <c r="T65" s="54">
        <f t="shared" si="3"/>
        <v>0</v>
      </c>
      <c r="U65" s="115">
        <f>SUM(Tableau1[[#This Row],[Vente confiserie]:[Vente boisson]])</f>
        <v>0</v>
      </c>
      <c r="V65" s="55"/>
      <c r="W65" s="55"/>
      <c r="X65" s="135">
        <f>SUM(Tableau1[[#This Row],[Vente lunette]:[Location lunette]])</f>
        <v>0</v>
      </c>
      <c r="Y65" s="55"/>
      <c r="Z65" s="55"/>
      <c r="AA65" s="55"/>
      <c r="AB65" s="55"/>
      <c r="AC65" s="56">
        <f t="shared" si="38"/>
        <v>0</v>
      </c>
      <c r="AD65" s="57"/>
      <c r="AE65" s="57"/>
      <c r="AF65" s="57"/>
      <c r="AG65" s="57"/>
      <c r="AH65" s="57"/>
      <c r="AI65" s="57"/>
      <c r="AJ65" s="118">
        <f>(Tableau1[[#This Row],[Recette guichet ]]*1.1275177)-Tableau1[[#This Row],[Recette guichet ]]</f>
        <v>0</v>
      </c>
      <c r="AK65" s="57"/>
      <c r="AL65" s="56">
        <f t="shared" si="39"/>
        <v>0</v>
      </c>
      <c r="AM65" s="58"/>
      <c r="AN65" s="58"/>
      <c r="AO65" s="58"/>
      <c r="AP65" s="115">
        <f t="shared" si="6"/>
        <v>0</v>
      </c>
      <c r="AQ65" s="69"/>
      <c r="AR65" s="69"/>
      <c r="AS65" s="69"/>
      <c r="AT65" s="69"/>
      <c r="AU65" s="59">
        <f t="shared" si="7"/>
        <v>0</v>
      </c>
      <c r="AV65" s="60">
        <f t="shared" si="8"/>
        <v>0</v>
      </c>
      <c r="AW65" s="58"/>
      <c r="AX65" s="58"/>
      <c r="AY65" s="58"/>
      <c r="AZ65" s="60">
        <f t="shared" si="42"/>
        <v>0</v>
      </c>
      <c r="BA65" s="58"/>
      <c r="BB65" s="58"/>
      <c r="BC65" s="58"/>
      <c r="BD65" s="60">
        <f>SUM(Tableau1[[#This Row],[ticket/carte/abonnement périmé]:[Autres ou non précisé 5]])</f>
        <v>0</v>
      </c>
      <c r="BE65" s="58"/>
      <c r="BF65" s="58"/>
      <c r="BG65" s="58"/>
      <c r="BH65" s="61">
        <f t="shared" si="10"/>
        <v>0</v>
      </c>
      <c r="BI65" s="120"/>
      <c r="BJ65" s="120"/>
      <c r="BK65" s="62">
        <f t="shared" si="11"/>
        <v>0</v>
      </c>
      <c r="BL65" s="120"/>
      <c r="BM65" s="120"/>
      <c r="BN65" s="120"/>
      <c r="BO65" s="120"/>
      <c r="BP65" s="120"/>
      <c r="BQ65" s="63"/>
      <c r="BR65" s="52">
        <f t="shared" si="12"/>
        <v>0</v>
      </c>
      <c r="BS65" s="52">
        <f t="shared" si="13"/>
        <v>0</v>
      </c>
      <c r="BT65" s="61">
        <f t="shared" si="14"/>
        <v>0</v>
      </c>
      <c r="BU65" s="64">
        <f t="shared" si="15"/>
        <v>0</v>
      </c>
      <c r="BV65" s="119">
        <f>SUM(Tableau1[[#This Row],[Achats confiserie]:[Achats boisson]])</f>
        <v>0</v>
      </c>
      <c r="BW65" s="58"/>
      <c r="BX65" s="69"/>
      <c r="BY65" s="58"/>
      <c r="BZ65" s="56">
        <f t="shared" si="16"/>
        <v>0</v>
      </c>
      <c r="CA65" s="66"/>
      <c r="CB65" s="66"/>
      <c r="CC65" s="56">
        <f t="shared" si="17"/>
        <v>0</v>
      </c>
      <c r="CD65" s="55"/>
      <c r="CE65" s="65"/>
      <c r="CF65" s="55"/>
      <c r="CG65" s="55"/>
      <c r="CH65" s="67">
        <f t="shared" si="18"/>
        <v>0</v>
      </c>
      <c r="CI65" s="68">
        <f t="shared" si="37"/>
        <v>0</v>
      </c>
      <c r="CJ65" s="55"/>
      <c r="CK65" s="55"/>
      <c r="CL65" s="55"/>
      <c r="CM65" s="55"/>
      <c r="CN65" s="55"/>
      <c r="CO65" s="68">
        <f t="shared" si="20"/>
        <v>0</v>
      </c>
      <c r="CP65" s="75">
        <f>SUM(Tableau1[[#This Row],[Fourniture eau]:[Energie (non précisé)]])</f>
        <v>0</v>
      </c>
      <c r="CQ65" s="55"/>
      <c r="CR65" s="55"/>
      <c r="CS65" s="55"/>
      <c r="CT65" s="55"/>
      <c r="CU65" s="55"/>
      <c r="CV65" s="55">
        <v>0</v>
      </c>
      <c r="CW65" s="55"/>
      <c r="CX65" s="68">
        <f>SUM(Tableau1[[#This Row],[Sous-traitance]:[Autres ou non précisé 12]])</f>
        <v>0</v>
      </c>
      <c r="CY65" s="65"/>
      <c r="CZ65" s="65"/>
      <c r="DA65" s="65"/>
      <c r="DB65" s="65"/>
      <c r="DC65" s="55"/>
      <c r="DD65" s="68">
        <f t="shared" si="43"/>
        <v>0</v>
      </c>
      <c r="DE65" s="55"/>
      <c r="DF65" s="65"/>
      <c r="DG65" s="65"/>
      <c r="DH65" s="65"/>
      <c r="DI65" s="68">
        <f>SUM(Tableau1[[#This Row],[Entretien et réparation matériel de projection]:[Autres ou non précisé 14]])</f>
        <v>0</v>
      </c>
      <c r="DJ65" s="58"/>
      <c r="DK65" s="58"/>
      <c r="DL65" s="69"/>
      <c r="DM65" s="68">
        <f t="shared" si="22"/>
        <v>0</v>
      </c>
      <c r="DN65" s="58"/>
      <c r="DO65" s="58"/>
      <c r="DP65" s="68">
        <f t="shared" si="23"/>
        <v>0</v>
      </c>
      <c r="DQ65" s="65"/>
      <c r="DR65" s="65"/>
      <c r="DS65" s="68">
        <f t="shared" si="24"/>
        <v>0</v>
      </c>
      <c r="DT65" s="65"/>
      <c r="DU65" s="65"/>
      <c r="DV65" s="65"/>
      <c r="DW65" s="68">
        <f>SUM(Tableau1[[#This Row],[Comission et courtage sur achats]:[Autres ou honoraires
 non précisé ]])</f>
        <v>0</v>
      </c>
      <c r="DX65" s="57"/>
      <c r="DY65" s="57"/>
      <c r="DZ65" s="65"/>
      <c r="EA65" s="65"/>
      <c r="EB65" s="65"/>
      <c r="EC65" s="68">
        <f t="shared" si="25"/>
        <v>0</v>
      </c>
      <c r="ED65" s="69"/>
      <c r="EE65" s="69"/>
      <c r="EF65" s="69"/>
      <c r="EG65" s="69"/>
      <c r="EH65" s="69"/>
      <c r="EI65" s="84">
        <f>SUM(Tableau1[[#This Row],[Transports sur films]:[autres ]])</f>
        <v>0</v>
      </c>
      <c r="EJ65" s="132">
        <v>0</v>
      </c>
      <c r="EK65" s="132"/>
      <c r="EL65" s="68">
        <f t="shared" si="26"/>
        <v>0</v>
      </c>
      <c r="EM65" s="65"/>
      <c r="EN65" s="65">
        <v>0</v>
      </c>
      <c r="EO65" s="65"/>
      <c r="EP65" s="65"/>
      <c r="EQ65" s="65"/>
      <c r="ER65" s="65"/>
      <c r="ES65" s="65"/>
      <c r="ET65" s="68">
        <f t="shared" si="27"/>
        <v>0</v>
      </c>
      <c r="EU65" s="65"/>
      <c r="EV65" s="65"/>
      <c r="EW65" s="65"/>
      <c r="EX65" s="65"/>
      <c r="EY65" s="65"/>
      <c r="EZ65" s="68">
        <f t="shared" si="46"/>
        <v>0</v>
      </c>
      <c r="FA65" s="65"/>
      <c r="FB65" s="65"/>
      <c r="FC65" s="70">
        <f t="shared" si="44"/>
        <v>0</v>
      </c>
      <c r="FD65" s="65"/>
      <c r="FE65" s="71">
        <f t="shared" si="29"/>
        <v>0</v>
      </c>
      <c r="FF65" s="72">
        <f t="shared" si="30"/>
        <v>0</v>
      </c>
      <c r="FG65" s="65"/>
      <c r="FH65" s="65"/>
      <c r="FI65" s="65"/>
      <c r="FJ65" s="56">
        <f t="shared" si="31"/>
        <v>0</v>
      </c>
      <c r="FK65" s="65"/>
      <c r="FL65" s="65"/>
      <c r="FM65" s="65"/>
      <c r="FN65" s="65"/>
      <c r="FO65" s="67">
        <f t="shared" si="32"/>
        <v>0</v>
      </c>
      <c r="FP65" s="57"/>
      <c r="FQ65" s="73"/>
      <c r="FR65" s="73"/>
      <c r="FS65" s="71">
        <f t="shared" si="33"/>
        <v>0</v>
      </c>
      <c r="FT65" s="91"/>
      <c r="FU65" s="91"/>
      <c r="FV65" s="67">
        <f>SUM(Tableau1[[#This Row],[Droits d''auteurs SACEM + cotisations SACEM]:[Autres ou non préciés]])</f>
        <v>0</v>
      </c>
      <c r="FW65" s="75">
        <f t="shared" si="34"/>
        <v>0</v>
      </c>
      <c r="FX65" s="74">
        <v>0</v>
      </c>
      <c r="FY65" s="74"/>
      <c r="FZ65" s="74"/>
      <c r="GA65" s="74"/>
      <c r="GB65" s="71">
        <f t="shared" si="35"/>
        <v>0</v>
      </c>
      <c r="GC65" s="92"/>
      <c r="GD65" s="92"/>
      <c r="GE65" s="67">
        <f t="shared" si="36"/>
        <v>0</v>
      </c>
      <c r="GF65" s="66"/>
      <c r="GG65" s="66"/>
      <c r="GH65" s="66"/>
      <c r="GI65" s="66"/>
      <c r="GJ65" s="77"/>
    </row>
    <row r="66" spans="1:192" ht="18.600000000000001" customHeight="1" x14ac:dyDescent="0.25">
      <c r="A66" s="89"/>
      <c r="B66" s="17"/>
      <c r="C66" s="50"/>
      <c r="D66" s="140"/>
      <c r="E66" s="51"/>
      <c r="F66" s="139">
        <f t="shared" si="45"/>
        <v>1</v>
      </c>
      <c r="G66" s="49"/>
      <c r="H66" s="50"/>
      <c r="I66" s="122"/>
      <c r="J66" s="49"/>
      <c r="K66" s="50"/>
      <c r="L66" s="50"/>
      <c r="M66" s="90"/>
      <c r="N66" s="50"/>
      <c r="O66" s="50"/>
      <c r="P66" s="90"/>
      <c r="Q66" s="52">
        <f t="shared" si="0"/>
        <v>0</v>
      </c>
      <c r="R66" s="52">
        <f t="shared" si="1"/>
        <v>0</v>
      </c>
      <c r="S66" s="53">
        <f t="shared" si="2"/>
        <v>0</v>
      </c>
      <c r="T66" s="54">
        <f t="shared" si="3"/>
        <v>0</v>
      </c>
      <c r="U66" s="115">
        <f>SUM(Tableau1[[#This Row],[Vente confiserie]:[Vente boisson]])</f>
        <v>0</v>
      </c>
      <c r="V66" s="55"/>
      <c r="W66" s="55"/>
      <c r="X66" s="135">
        <f>SUM(Tableau1[[#This Row],[Vente lunette]:[Location lunette]])</f>
        <v>0</v>
      </c>
      <c r="Y66" s="55"/>
      <c r="Z66" s="55"/>
      <c r="AA66" s="55"/>
      <c r="AB66" s="55"/>
      <c r="AC66" s="56">
        <f t="shared" si="38"/>
        <v>0</v>
      </c>
      <c r="AD66" s="57"/>
      <c r="AE66" s="57"/>
      <c r="AF66" s="57"/>
      <c r="AG66" s="57"/>
      <c r="AH66" s="57"/>
      <c r="AI66" s="57"/>
      <c r="AJ66" s="118">
        <f>(Tableau1[[#This Row],[Recette guichet ]]*1.1275177)-Tableau1[[#This Row],[Recette guichet ]]</f>
        <v>0</v>
      </c>
      <c r="AK66" s="57"/>
      <c r="AL66" s="56">
        <f t="shared" si="39"/>
        <v>0</v>
      </c>
      <c r="AM66" s="58"/>
      <c r="AN66" s="58"/>
      <c r="AO66" s="58"/>
      <c r="AP66" s="115">
        <f t="shared" si="6"/>
        <v>0</v>
      </c>
      <c r="AQ66" s="69"/>
      <c r="AR66" s="69"/>
      <c r="AS66" s="69"/>
      <c r="AT66" s="69"/>
      <c r="AU66" s="59">
        <f t="shared" si="7"/>
        <v>0</v>
      </c>
      <c r="AV66" s="60">
        <f t="shared" si="8"/>
        <v>0</v>
      </c>
      <c r="AW66" s="58"/>
      <c r="AX66" s="58"/>
      <c r="AY66" s="58"/>
      <c r="AZ66" s="60">
        <f t="shared" si="42"/>
        <v>0</v>
      </c>
      <c r="BA66" s="58"/>
      <c r="BB66" s="58"/>
      <c r="BC66" s="58"/>
      <c r="BD66" s="60">
        <f>SUM(Tableau1[[#This Row],[ticket/carte/abonnement périmé]:[Autres ou non précisé 5]])</f>
        <v>0</v>
      </c>
      <c r="BE66" s="58"/>
      <c r="BF66" s="58"/>
      <c r="BG66" s="58"/>
      <c r="BH66" s="61">
        <f t="shared" si="10"/>
        <v>0</v>
      </c>
      <c r="BI66" s="120"/>
      <c r="BJ66" s="120"/>
      <c r="BK66" s="62">
        <f t="shared" si="11"/>
        <v>0</v>
      </c>
      <c r="BL66" s="120"/>
      <c r="BM66" s="120"/>
      <c r="BN66" s="120"/>
      <c r="BO66" s="120"/>
      <c r="BP66" s="120"/>
      <c r="BQ66" s="63"/>
      <c r="BR66" s="52">
        <f t="shared" si="12"/>
        <v>0</v>
      </c>
      <c r="BS66" s="52">
        <f t="shared" si="13"/>
        <v>0</v>
      </c>
      <c r="BT66" s="61">
        <f t="shared" si="14"/>
        <v>0</v>
      </c>
      <c r="BU66" s="64">
        <f t="shared" si="15"/>
        <v>0</v>
      </c>
      <c r="BV66" s="119">
        <f>SUM(Tableau1[[#This Row],[Achats confiserie]:[Achats boisson]])</f>
        <v>0</v>
      </c>
      <c r="BW66" s="58"/>
      <c r="BX66" s="69"/>
      <c r="BY66" s="58"/>
      <c r="BZ66" s="56">
        <f t="shared" si="16"/>
        <v>0</v>
      </c>
      <c r="CA66" s="66"/>
      <c r="CB66" s="66"/>
      <c r="CC66" s="56">
        <f t="shared" si="17"/>
        <v>0</v>
      </c>
      <c r="CD66" s="55"/>
      <c r="CE66" s="65"/>
      <c r="CF66" s="55"/>
      <c r="CG66" s="55"/>
      <c r="CH66" s="67">
        <f t="shared" si="18"/>
        <v>0</v>
      </c>
      <c r="CI66" s="68">
        <f t="shared" si="37"/>
        <v>0</v>
      </c>
      <c r="CJ66" s="55"/>
      <c r="CK66" s="55"/>
      <c r="CL66" s="55"/>
      <c r="CM66" s="55"/>
      <c r="CN66" s="55"/>
      <c r="CO66" s="68">
        <f t="shared" si="20"/>
        <v>0</v>
      </c>
      <c r="CP66" s="75">
        <f>SUM(Tableau1[[#This Row],[Fourniture eau]:[Energie (non précisé)]])</f>
        <v>0</v>
      </c>
      <c r="CQ66" s="55"/>
      <c r="CR66" s="55"/>
      <c r="CS66" s="55"/>
      <c r="CT66" s="55"/>
      <c r="CU66" s="55"/>
      <c r="CV66" s="55">
        <v>0</v>
      </c>
      <c r="CW66" s="55"/>
      <c r="CX66" s="68">
        <f>SUM(Tableau1[[#This Row],[Sous-traitance]:[Autres ou non précisé 12]])</f>
        <v>0</v>
      </c>
      <c r="CY66" s="65"/>
      <c r="CZ66" s="65"/>
      <c r="DA66" s="65"/>
      <c r="DB66" s="65"/>
      <c r="DC66" s="55"/>
      <c r="DD66" s="68">
        <f t="shared" si="43"/>
        <v>0</v>
      </c>
      <c r="DE66" s="55"/>
      <c r="DF66" s="65"/>
      <c r="DG66" s="65"/>
      <c r="DH66" s="65"/>
      <c r="DI66" s="68">
        <f>SUM(Tableau1[[#This Row],[Entretien et réparation matériel de projection]:[Autres ou non précisé 14]])</f>
        <v>0</v>
      </c>
      <c r="DJ66" s="58"/>
      <c r="DK66" s="58"/>
      <c r="DL66" s="69"/>
      <c r="DM66" s="68">
        <f t="shared" si="22"/>
        <v>0</v>
      </c>
      <c r="DN66" s="58"/>
      <c r="DO66" s="58"/>
      <c r="DP66" s="68">
        <f t="shared" si="23"/>
        <v>0</v>
      </c>
      <c r="DQ66" s="65"/>
      <c r="DR66" s="65"/>
      <c r="DS66" s="68">
        <f t="shared" si="24"/>
        <v>0</v>
      </c>
      <c r="DT66" s="65"/>
      <c r="DU66" s="65"/>
      <c r="DV66" s="65"/>
      <c r="DW66" s="68">
        <f>SUM(Tableau1[[#This Row],[Comission et courtage sur achats]:[Autres ou honoraires
 non précisé ]])</f>
        <v>0</v>
      </c>
      <c r="DX66" s="57"/>
      <c r="DY66" s="57"/>
      <c r="DZ66" s="65"/>
      <c r="EA66" s="65"/>
      <c r="EB66" s="65"/>
      <c r="EC66" s="68">
        <f t="shared" si="25"/>
        <v>0</v>
      </c>
      <c r="ED66" s="69"/>
      <c r="EE66" s="69"/>
      <c r="EF66" s="69"/>
      <c r="EG66" s="69"/>
      <c r="EH66" s="69"/>
      <c r="EI66" s="84">
        <f>SUM(Tableau1[[#This Row],[Transports sur films]:[autres ]])</f>
        <v>0</v>
      </c>
      <c r="EJ66" s="132">
        <v>0</v>
      </c>
      <c r="EK66" s="132"/>
      <c r="EL66" s="68">
        <f t="shared" si="26"/>
        <v>0</v>
      </c>
      <c r="EM66" s="65"/>
      <c r="EN66" s="65">
        <v>0</v>
      </c>
      <c r="EO66" s="65"/>
      <c r="EP66" s="65"/>
      <c r="EQ66" s="65"/>
      <c r="ER66" s="65"/>
      <c r="ES66" s="65"/>
      <c r="ET66" s="68">
        <f t="shared" si="27"/>
        <v>0</v>
      </c>
      <c r="EU66" s="65"/>
      <c r="EV66" s="65"/>
      <c r="EW66" s="65"/>
      <c r="EX66" s="65"/>
      <c r="EY66" s="65"/>
      <c r="EZ66" s="68">
        <f t="shared" si="46"/>
        <v>0</v>
      </c>
      <c r="FA66" s="65"/>
      <c r="FB66" s="65"/>
      <c r="FC66" s="70">
        <f t="shared" si="44"/>
        <v>0</v>
      </c>
      <c r="FD66" s="65"/>
      <c r="FE66" s="71">
        <f t="shared" si="29"/>
        <v>0</v>
      </c>
      <c r="FF66" s="72">
        <f t="shared" si="30"/>
        <v>0</v>
      </c>
      <c r="FG66" s="65"/>
      <c r="FH66" s="65"/>
      <c r="FI66" s="65"/>
      <c r="FJ66" s="56">
        <f t="shared" si="31"/>
        <v>0</v>
      </c>
      <c r="FK66" s="65"/>
      <c r="FL66" s="65"/>
      <c r="FM66" s="65"/>
      <c r="FN66" s="65"/>
      <c r="FO66" s="67">
        <f t="shared" si="32"/>
        <v>0</v>
      </c>
      <c r="FP66" s="57"/>
      <c r="FQ66" s="73"/>
      <c r="FR66" s="73"/>
      <c r="FS66" s="71">
        <f t="shared" si="33"/>
        <v>0</v>
      </c>
      <c r="FT66" s="91"/>
      <c r="FU66" s="91"/>
      <c r="FV66" s="67">
        <f>SUM(Tableau1[[#This Row],[Droits d''auteurs SACEM + cotisations SACEM]:[Autres ou non préciés]])</f>
        <v>0</v>
      </c>
      <c r="FW66" s="75">
        <f t="shared" si="34"/>
        <v>0</v>
      </c>
      <c r="FX66" s="74">
        <v>0</v>
      </c>
      <c r="FY66" s="74"/>
      <c r="FZ66" s="74"/>
      <c r="GA66" s="74"/>
      <c r="GB66" s="71">
        <f t="shared" si="35"/>
        <v>0</v>
      </c>
      <c r="GC66" s="92"/>
      <c r="GD66" s="92"/>
      <c r="GE66" s="67">
        <f t="shared" si="36"/>
        <v>0</v>
      </c>
      <c r="GF66" s="66"/>
      <c r="GG66" s="66"/>
      <c r="GH66" s="66"/>
      <c r="GI66" s="66"/>
      <c r="GJ66" s="77"/>
    </row>
    <row r="67" spans="1:192" ht="18.600000000000001" customHeight="1" x14ac:dyDescent="0.25">
      <c r="A67" s="89"/>
      <c r="B67" s="17"/>
      <c r="C67" s="50"/>
      <c r="D67" s="140"/>
      <c r="E67" s="51"/>
      <c r="F67" s="139">
        <f t="shared" si="45"/>
        <v>1</v>
      </c>
      <c r="G67" s="49"/>
      <c r="H67" s="50"/>
      <c r="I67" s="122"/>
      <c r="J67" s="49"/>
      <c r="K67" s="50"/>
      <c r="L67" s="50"/>
      <c r="M67" s="90"/>
      <c r="N67" s="50"/>
      <c r="O67" s="50"/>
      <c r="P67" s="90"/>
      <c r="Q67" s="52">
        <f t="shared" si="0"/>
        <v>0</v>
      </c>
      <c r="R67" s="52">
        <f t="shared" si="1"/>
        <v>0</v>
      </c>
      <c r="S67" s="53">
        <f t="shared" si="2"/>
        <v>0</v>
      </c>
      <c r="T67" s="54">
        <f t="shared" si="3"/>
        <v>0</v>
      </c>
      <c r="U67" s="115">
        <f>SUM(Tableau1[[#This Row],[Vente confiserie]:[Vente boisson]])</f>
        <v>0</v>
      </c>
      <c r="V67" s="55"/>
      <c r="W67" s="55"/>
      <c r="X67" s="135">
        <f>SUM(Tableau1[[#This Row],[Vente lunette]:[Location lunette]])</f>
        <v>0</v>
      </c>
      <c r="Y67" s="55"/>
      <c r="Z67" s="55"/>
      <c r="AA67" s="55"/>
      <c r="AB67" s="55"/>
      <c r="AC67" s="56">
        <f t="shared" si="38"/>
        <v>0</v>
      </c>
      <c r="AD67" s="57"/>
      <c r="AE67" s="57"/>
      <c r="AF67" s="57"/>
      <c r="AG67" s="57"/>
      <c r="AH67" s="57"/>
      <c r="AI67" s="57"/>
      <c r="AJ67" s="118">
        <f>(Tableau1[[#This Row],[Recette guichet ]]*1.1275177)-Tableau1[[#This Row],[Recette guichet ]]</f>
        <v>0</v>
      </c>
      <c r="AK67" s="57"/>
      <c r="AL67" s="56">
        <f t="shared" si="39"/>
        <v>0</v>
      </c>
      <c r="AM67" s="58"/>
      <c r="AN67" s="58"/>
      <c r="AO67" s="58"/>
      <c r="AP67" s="115">
        <f t="shared" si="6"/>
        <v>0</v>
      </c>
      <c r="AQ67" s="69"/>
      <c r="AR67" s="69"/>
      <c r="AS67" s="69"/>
      <c r="AT67" s="69"/>
      <c r="AU67" s="59">
        <f t="shared" si="7"/>
        <v>0</v>
      </c>
      <c r="AV67" s="60">
        <f t="shared" si="8"/>
        <v>0</v>
      </c>
      <c r="AW67" s="58"/>
      <c r="AX67" s="58"/>
      <c r="AY67" s="58"/>
      <c r="AZ67" s="60">
        <f t="shared" si="42"/>
        <v>0</v>
      </c>
      <c r="BA67" s="58"/>
      <c r="BB67" s="58"/>
      <c r="BC67" s="58"/>
      <c r="BD67" s="60">
        <f>SUM(Tableau1[[#This Row],[ticket/carte/abonnement périmé]:[Autres ou non précisé 5]])</f>
        <v>0</v>
      </c>
      <c r="BE67" s="58"/>
      <c r="BF67" s="58"/>
      <c r="BG67" s="58"/>
      <c r="BH67" s="61">
        <f t="shared" si="10"/>
        <v>0</v>
      </c>
      <c r="BI67" s="120"/>
      <c r="BJ67" s="120"/>
      <c r="BK67" s="62">
        <f t="shared" si="11"/>
        <v>0</v>
      </c>
      <c r="BL67" s="120"/>
      <c r="BM67" s="120"/>
      <c r="BN67" s="120"/>
      <c r="BO67" s="120"/>
      <c r="BP67" s="120"/>
      <c r="BQ67" s="63"/>
      <c r="BR67" s="52">
        <f t="shared" si="12"/>
        <v>0</v>
      </c>
      <c r="BS67" s="52">
        <f t="shared" si="13"/>
        <v>0</v>
      </c>
      <c r="BT67" s="61">
        <f t="shared" si="14"/>
        <v>0</v>
      </c>
      <c r="BU67" s="64">
        <f t="shared" si="15"/>
        <v>0</v>
      </c>
      <c r="BV67" s="119">
        <f>SUM(Tableau1[[#This Row],[Achats confiserie]:[Achats boisson]])</f>
        <v>0</v>
      </c>
      <c r="BW67" s="58"/>
      <c r="BX67" s="69"/>
      <c r="BY67" s="58"/>
      <c r="BZ67" s="56">
        <f t="shared" si="16"/>
        <v>0</v>
      </c>
      <c r="CA67" s="66"/>
      <c r="CB67" s="66"/>
      <c r="CC67" s="56">
        <f t="shared" si="17"/>
        <v>0</v>
      </c>
      <c r="CD67" s="55"/>
      <c r="CE67" s="65"/>
      <c r="CF67" s="55"/>
      <c r="CG67" s="55"/>
      <c r="CH67" s="67">
        <f t="shared" si="18"/>
        <v>0</v>
      </c>
      <c r="CI67" s="68">
        <f t="shared" si="37"/>
        <v>0</v>
      </c>
      <c r="CJ67" s="55"/>
      <c r="CK67" s="55"/>
      <c r="CL67" s="55"/>
      <c r="CM67" s="55"/>
      <c r="CN67" s="55"/>
      <c r="CO67" s="68">
        <f t="shared" si="20"/>
        <v>0</v>
      </c>
      <c r="CP67" s="75">
        <f>SUM(Tableau1[[#This Row],[Fourniture eau]:[Energie (non précisé)]])</f>
        <v>0</v>
      </c>
      <c r="CQ67" s="55"/>
      <c r="CR67" s="55"/>
      <c r="CS67" s="55"/>
      <c r="CT67" s="55"/>
      <c r="CU67" s="55"/>
      <c r="CV67" s="55">
        <v>0</v>
      </c>
      <c r="CW67" s="55"/>
      <c r="CX67" s="68">
        <f>SUM(Tableau1[[#This Row],[Sous-traitance]:[Autres ou non précisé 12]])</f>
        <v>0</v>
      </c>
      <c r="CY67" s="65"/>
      <c r="CZ67" s="65"/>
      <c r="DA67" s="65"/>
      <c r="DB67" s="65"/>
      <c r="DC67" s="55"/>
      <c r="DD67" s="68">
        <f t="shared" si="43"/>
        <v>0</v>
      </c>
      <c r="DE67" s="55"/>
      <c r="DF67" s="65"/>
      <c r="DG67" s="65"/>
      <c r="DH67" s="65"/>
      <c r="DI67" s="68">
        <f>SUM(Tableau1[[#This Row],[Entretien et réparation matériel de projection]:[Autres ou non précisé 14]])</f>
        <v>0</v>
      </c>
      <c r="DJ67" s="58"/>
      <c r="DK67" s="58"/>
      <c r="DL67" s="69"/>
      <c r="DM67" s="68">
        <f t="shared" si="22"/>
        <v>0</v>
      </c>
      <c r="DN67" s="58"/>
      <c r="DO67" s="58"/>
      <c r="DP67" s="68">
        <f t="shared" si="23"/>
        <v>0</v>
      </c>
      <c r="DQ67" s="65"/>
      <c r="DR67" s="65"/>
      <c r="DS67" s="68">
        <f t="shared" si="24"/>
        <v>0</v>
      </c>
      <c r="DT67" s="65"/>
      <c r="DU67" s="65"/>
      <c r="DV67" s="65"/>
      <c r="DW67" s="68">
        <f>SUM(Tableau1[[#This Row],[Comission et courtage sur achats]:[Autres ou honoraires
 non précisé ]])</f>
        <v>0</v>
      </c>
      <c r="DX67" s="57"/>
      <c r="DY67" s="57"/>
      <c r="DZ67" s="65"/>
      <c r="EA67" s="65"/>
      <c r="EB67" s="65"/>
      <c r="EC67" s="68">
        <f t="shared" si="25"/>
        <v>0</v>
      </c>
      <c r="ED67" s="69"/>
      <c r="EE67" s="69"/>
      <c r="EF67" s="69"/>
      <c r="EG67" s="69"/>
      <c r="EH67" s="69"/>
      <c r="EI67" s="84">
        <f>SUM(Tableau1[[#This Row],[Transports sur films]:[autres ]])</f>
        <v>0</v>
      </c>
      <c r="EJ67" s="132">
        <v>0</v>
      </c>
      <c r="EK67" s="132"/>
      <c r="EL67" s="68">
        <f t="shared" si="26"/>
        <v>0</v>
      </c>
      <c r="EM67" s="65"/>
      <c r="EN67" s="65">
        <v>0</v>
      </c>
      <c r="EO67" s="65"/>
      <c r="EP67" s="65"/>
      <c r="EQ67" s="65"/>
      <c r="ER67" s="65"/>
      <c r="ES67" s="65"/>
      <c r="ET67" s="68">
        <f t="shared" si="27"/>
        <v>0</v>
      </c>
      <c r="EU67" s="65"/>
      <c r="EV67" s="65"/>
      <c r="EW67" s="65"/>
      <c r="EX67" s="65"/>
      <c r="EY67" s="65"/>
      <c r="EZ67" s="68">
        <f t="shared" si="46"/>
        <v>0</v>
      </c>
      <c r="FA67" s="65"/>
      <c r="FB67" s="65"/>
      <c r="FC67" s="70">
        <f t="shared" si="44"/>
        <v>0</v>
      </c>
      <c r="FD67" s="65"/>
      <c r="FE67" s="71">
        <f t="shared" si="29"/>
        <v>0</v>
      </c>
      <c r="FF67" s="72">
        <f t="shared" si="30"/>
        <v>0</v>
      </c>
      <c r="FG67" s="65"/>
      <c r="FH67" s="65"/>
      <c r="FI67" s="65"/>
      <c r="FJ67" s="56">
        <f t="shared" si="31"/>
        <v>0</v>
      </c>
      <c r="FK67" s="65"/>
      <c r="FL67" s="65"/>
      <c r="FM67" s="65"/>
      <c r="FN67" s="65"/>
      <c r="FO67" s="67">
        <f t="shared" si="32"/>
        <v>0</v>
      </c>
      <c r="FP67" s="57"/>
      <c r="FQ67" s="73"/>
      <c r="FR67" s="73"/>
      <c r="FS67" s="71">
        <f t="shared" si="33"/>
        <v>0</v>
      </c>
      <c r="FT67" s="91"/>
      <c r="FU67" s="91"/>
      <c r="FV67" s="67">
        <f>SUM(Tableau1[[#This Row],[Droits d''auteurs SACEM + cotisations SACEM]:[Autres ou non préciés]])</f>
        <v>0</v>
      </c>
      <c r="FW67" s="75">
        <f t="shared" si="34"/>
        <v>0</v>
      </c>
      <c r="FX67" s="74">
        <v>0</v>
      </c>
      <c r="FY67" s="74"/>
      <c r="FZ67" s="74"/>
      <c r="GA67" s="74"/>
      <c r="GB67" s="71">
        <f t="shared" si="35"/>
        <v>0</v>
      </c>
      <c r="GC67" s="92"/>
      <c r="GD67" s="92"/>
      <c r="GE67" s="67">
        <f t="shared" si="36"/>
        <v>0</v>
      </c>
      <c r="GF67" s="66"/>
      <c r="GG67" s="66"/>
      <c r="GH67" s="66"/>
      <c r="GI67" s="66"/>
      <c r="GJ67" s="77"/>
    </row>
    <row r="68" spans="1:192" ht="18.600000000000001" customHeight="1" x14ac:dyDescent="0.25">
      <c r="A68" s="89"/>
      <c r="B68" s="17"/>
      <c r="C68" s="50"/>
      <c r="D68" s="140"/>
      <c r="E68" s="51"/>
      <c r="F68" s="139">
        <f t="shared" si="45"/>
        <v>1</v>
      </c>
      <c r="G68" s="49"/>
      <c r="H68" s="50"/>
      <c r="I68" s="122"/>
      <c r="J68" s="49"/>
      <c r="K68" s="50"/>
      <c r="L68" s="50"/>
      <c r="M68" s="90"/>
      <c r="N68" s="50"/>
      <c r="O68" s="50"/>
      <c r="P68" s="90"/>
      <c r="Q68" s="52">
        <f t="shared" si="0"/>
        <v>0</v>
      </c>
      <c r="R68" s="52">
        <f t="shared" si="1"/>
        <v>0</v>
      </c>
      <c r="S68" s="53">
        <f t="shared" si="2"/>
        <v>0</v>
      </c>
      <c r="T68" s="54">
        <f t="shared" si="3"/>
        <v>0</v>
      </c>
      <c r="U68" s="115">
        <f>SUM(Tableau1[[#This Row],[Vente confiserie]:[Vente boisson]])</f>
        <v>0</v>
      </c>
      <c r="V68" s="55"/>
      <c r="W68" s="55"/>
      <c r="X68" s="135">
        <f>SUM(Tableau1[[#This Row],[Vente lunette]:[Location lunette]])</f>
        <v>0</v>
      </c>
      <c r="Y68" s="55"/>
      <c r="Z68" s="55"/>
      <c r="AA68" s="55"/>
      <c r="AB68" s="55"/>
      <c r="AC68" s="56">
        <f t="shared" si="38"/>
        <v>0</v>
      </c>
      <c r="AD68" s="57"/>
      <c r="AE68" s="57"/>
      <c r="AF68" s="57"/>
      <c r="AG68" s="57"/>
      <c r="AH68" s="57"/>
      <c r="AI68" s="57"/>
      <c r="AJ68" s="118">
        <f>(Tableau1[[#This Row],[Recette guichet ]]*1.1275177)-Tableau1[[#This Row],[Recette guichet ]]</f>
        <v>0</v>
      </c>
      <c r="AK68" s="57"/>
      <c r="AL68" s="56">
        <f t="shared" si="39"/>
        <v>0</v>
      </c>
      <c r="AM68" s="58"/>
      <c r="AN68" s="58"/>
      <c r="AO68" s="58"/>
      <c r="AP68" s="115">
        <f t="shared" si="6"/>
        <v>0</v>
      </c>
      <c r="AQ68" s="69"/>
      <c r="AR68" s="69"/>
      <c r="AS68" s="69"/>
      <c r="AT68" s="69"/>
      <c r="AU68" s="59">
        <f t="shared" si="7"/>
        <v>0</v>
      </c>
      <c r="AV68" s="60">
        <f t="shared" si="8"/>
        <v>0</v>
      </c>
      <c r="AW68" s="58"/>
      <c r="AX68" s="58"/>
      <c r="AY68" s="58"/>
      <c r="AZ68" s="60">
        <f t="shared" si="42"/>
        <v>0</v>
      </c>
      <c r="BA68" s="58"/>
      <c r="BB68" s="58"/>
      <c r="BC68" s="58"/>
      <c r="BD68" s="60">
        <f>SUM(Tableau1[[#This Row],[ticket/carte/abonnement périmé]:[Autres ou non précisé 5]])</f>
        <v>0</v>
      </c>
      <c r="BE68" s="58"/>
      <c r="BF68" s="58"/>
      <c r="BG68" s="58"/>
      <c r="BH68" s="61">
        <f t="shared" si="10"/>
        <v>0</v>
      </c>
      <c r="BI68" s="120"/>
      <c r="BJ68" s="120"/>
      <c r="BK68" s="62">
        <f t="shared" si="11"/>
        <v>0</v>
      </c>
      <c r="BL68" s="120"/>
      <c r="BM68" s="120"/>
      <c r="BN68" s="120"/>
      <c r="BO68" s="120"/>
      <c r="BP68" s="120"/>
      <c r="BQ68" s="63"/>
      <c r="BR68" s="52">
        <f t="shared" si="12"/>
        <v>0</v>
      </c>
      <c r="BS68" s="52">
        <f t="shared" si="13"/>
        <v>0</v>
      </c>
      <c r="BT68" s="61">
        <f t="shared" si="14"/>
        <v>0</v>
      </c>
      <c r="BU68" s="64">
        <f t="shared" si="15"/>
        <v>0</v>
      </c>
      <c r="BV68" s="119">
        <f>SUM(Tableau1[[#This Row],[Achats confiserie]:[Achats boisson]])</f>
        <v>0</v>
      </c>
      <c r="BW68" s="58"/>
      <c r="BX68" s="69"/>
      <c r="BY68" s="58"/>
      <c r="BZ68" s="56">
        <f t="shared" si="16"/>
        <v>0</v>
      </c>
      <c r="CA68" s="66"/>
      <c r="CB68" s="66"/>
      <c r="CC68" s="56">
        <f t="shared" si="17"/>
        <v>0</v>
      </c>
      <c r="CD68" s="55"/>
      <c r="CE68" s="65"/>
      <c r="CF68" s="55"/>
      <c r="CG68" s="55"/>
      <c r="CH68" s="67">
        <f t="shared" si="18"/>
        <v>0</v>
      </c>
      <c r="CI68" s="68">
        <f t="shared" si="37"/>
        <v>0</v>
      </c>
      <c r="CJ68" s="55"/>
      <c r="CK68" s="55"/>
      <c r="CL68" s="55"/>
      <c r="CM68" s="55"/>
      <c r="CN68" s="55"/>
      <c r="CO68" s="68">
        <f t="shared" si="20"/>
        <v>0</v>
      </c>
      <c r="CP68" s="75">
        <f>SUM(Tableau1[[#This Row],[Fourniture eau]:[Energie (non précisé)]])</f>
        <v>0</v>
      </c>
      <c r="CQ68" s="55"/>
      <c r="CR68" s="55"/>
      <c r="CS68" s="55"/>
      <c r="CT68" s="55"/>
      <c r="CU68" s="55"/>
      <c r="CV68" s="55">
        <v>0</v>
      </c>
      <c r="CW68" s="55"/>
      <c r="CX68" s="68">
        <f>SUM(Tableau1[[#This Row],[Sous-traitance]:[Autres ou non précisé 12]])</f>
        <v>0</v>
      </c>
      <c r="CY68" s="65"/>
      <c r="CZ68" s="65"/>
      <c r="DA68" s="65"/>
      <c r="DB68" s="65"/>
      <c r="DC68" s="55"/>
      <c r="DD68" s="68">
        <f t="shared" si="43"/>
        <v>0</v>
      </c>
      <c r="DE68" s="55"/>
      <c r="DF68" s="65"/>
      <c r="DG68" s="65"/>
      <c r="DH68" s="65"/>
      <c r="DI68" s="68">
        <f>SUM(Tableau1[[#This Row],[Entretien et réparation matériel de projection]:[Autres ou non précisé 14]])</f>
        <v>0</v>
      </c>
      <c r="DJ68" s="58"/>
      <c r="DK68" s="58"/>
      <c r="DL68" s="69"/>
      <c r="DM68" s="68">
        <f t="shared" si="22"/>
        <v>0</v>
      </c>
      <c r="DN68" s="58"/>
      <c r="DO68" s="58"/>
      <c r="DP68" s="68">
        <f t="shared" si="23"/>
        <v>0</v>
      </c>
      <c r="DQ68" s="65"/>
      <c r="DR68" s="65"/>
      <c r="DS68" s="68">
        <f t="shared" si="24"/>
        <v>0</v>
      </c>
      <c r="DT68" s="65"/>
      <c r="DU68" s="65"/>
      <c r="DV68" s="65"/>
      <c r="DW68" s="68">
        <f>SUM(Tableau1[[#This Row],[Comission et courtage sur achats]:[Autres ou honoraires
 non précisé ]])</f>
        <v>0</v>
      </c>
      <c r="DX68" s="57"/>
      <c r="DY68" s="57"/>
      <c r="DZ68" s="65"/>
      <c r="EA68" s="65"/>
      <c r="EB68" s="65"/>
      <c r="EC68" s="68">
        <f t="shared" si="25"/>
        <v>0</v>
      </c>
      <c r="ED68" s="69"/>
      <c r="EE68" s="69"/>
      <c r="EF68" s="69"/>
      <c r="EG68" s="69"/>
      <c r="EH68" s="69"/>
      <c r="EI68" s="84">
        <f>SUM(Tableau1[[#This Row],[Transports sur films]:[autres ]])</f>
        <v>0</v>
      </c>
      <c r="EJ68" s="132">
        <v>0</v>
      </c>
      <c r="EK68" s="132"/>
      <c r="EL68" s="68">
        <f t="shared" si="26"/>
        <v>0</v>
      </c>
      <c r="EM68" s="65"/>
      <c r="EN68" s="65">
        <v>0</v>
      </c>
      <c r="EO68" s="65"/>
      <c r="EP68" s="65"/>
      <c r="EQ68" s="65"/>
      <c r="ER68" s="65"/>
      <c r="ES68" s="65"/>
      <c r="ET68" s="68">
        <f t="shared" si="27"/>
        <v>0</v>
      </c>
      <c r="EU68" s="65"/>
      <c r="EV68" s="65"/>
      <c r="EW68" s="65"/>
      <c r="EX68" s="65"/>
      <c r="EY68" s="65"/>
      <c r="EZ68" s="68">
        <f t="shared" si="46"/>
        <v>0</v>
      </c>
      <c r="FA68" s="65"/>
      <c r="FB68" s="65"/>
      <c r="FC68" s="70">
        <f t="shared" si="44"/>
        <v>0</v>
      </c>
      <c r="FD68" s="65"/>
      <c r="FE68" s="71">
        <f t="shared" si="29"/>
        <v>0</v>
      </c>
      <c r="FF68" s="72">
        <f t="shared" si="30"/>
        <v>0</v>
      </c>
      <c r="FG68" s="65"/>
      <c r="FH68" s="65"/>
      <c r="FI68" s="65"/>
      <c r="FJ68" s="56">
        <f t="shared" si="31"/>
        <v>0</v>
      </c>
      <c r="FK68" s="65"/>
      <c r="FL68" s="65"/>
      <c r="FM68" s="65"/>
      <c r="FN68" s="65"/>
      <c r="FO68" s="67">
        <f t="shared" si="32"/>
        <v>0</v>
      </c>
      <c r="FP68" s="57"/>
      <c r="FQ68" s="73"/>
      <c r="FR68" s="73"/>
      <c r="FS68" s="71">
        <f t="shared" si="33"/>
        <v>0</v>
      </c>
      <c r="FT68" s="91"/>
      <c r="FU68" s="91"/>
      <c r="FV68" s="67">
        <f>SUM(Tableau1[[#This Row],[Droits d''auteurs SACEM + cotisations SACEM]:[Autres ou non préciés]])</f>
        <v>0</v>
      </c>
      <c r="FW68" s="75">
        <f t="shared" si="34"/>
        <v>0</v>
      </c>
      <c r="FX68" s="74">
        <v>0</v>
      </c>
      <c r="FY68" s="74"/>
      <c r="FZ68" s="74"/>
      <c r="GA68" s="74"/>
      <c r="GB68" s="71">
        <f t="shared" si="35"/>
        <v>0</v>
      </c>
      <c r="GC68" s="92"/>
      <c r="GD68" s="92"/>
      <c r="GE68" s="67">
        <f t="shared" si="36"/>
        <v>0</v>
      </c>
      <c r="GF68" s="66"/>
      <c r="GG68" s="66"/>
      <c r="GH68" s="66"/>
      <c r="GI68" s="66"/>
      <c r="GJ68" s="77"/>
    </row>
    <row r="69" spans="1:192" ht="18.600000000000001" customHeight="1" x14ac:dyDescent="0.25">
      <c r="A69" s="89"/>
      <c r="B69" s="17"/>
      <c r="C69" s="50"/>
      <c r="D69" s="140"/>
      <c r="E69" s="51"/>
      <c r="F69" s="139">
        <f t="shared" si="45"/>
        <v>1</v>
      </c>
      <c r="G69" s="49"/>
      <c r="H69" s="50"/>
      <c r="I69" s="122"/>
      <c r="J69" s="49"/>
      <c r="K69" s="50"/>
      <c r="L69" s="50"/>
      <c r="M69" s="90"/>
      <c r="N69" s="50"/>
      <c r="O69" s="50"/>
      <c r="P69" s="90"/>
      <c r="Q69" s="52">
        <f t="shared" si="0"/>
        <v>0</v>
      </c>
      <c r="R69" s="52">
        <f t="shared" si="1"/>
        <v>0</v>
      </c>
      <c r="S69" s="53">
        <f t="shared" si="2"/>
        <v>0</v>
      </c>
      <c r="T69" s="54">
        <f t="shared" si="3"/>
        <v>0</v>
      </c>
      <c r="U69" s="115">
        <f>SUM(Tableau1[[#This Row],[Vente confiserie]:[Vente boisson]])</f>
        <v>0</v>
      </c>
      <c r="V69" s="55"/>
      <c r="W69" s="55"/>
      <c r="X69" s="135">
        <f>SUM(Tableau1[[#This Row],[Vente lunette]:[Location lunette]])</f>
        <v>0</v>
      </c>
      <c r="Y69" s="55"/>
      <c r="Z69" s="55"/>
      <c r="AA69" s="55"/>
      <c r="AB69" s="55"/>
      <c r="AC69" s="56">
        <f t="shared" si="38"/>
        <v>0</v>
      </c>
      <c r="AD69" s="57"/>
      <c r="AE69" s="57"/>
      <c r="AF69" s="57"/>
      <c r="AG69" s="57"/>
      <c r="AH69" s="57"/>
      <c r="AI69" s="57"/>
      <c r="AJ69" s="118">
        <f>(Tableau1[[#This Row],[Recette guichet ]]*1.1275177)-Tableau1[[#This Row],[Recette guichet ]]</f>
        <v>0</v>
      </c>
      <c r="AK69" s="57"/>
      <c r="AL69" s="56">
        <f t="shared" si="39"/>
        <v>0</v>
      </c>
      <c r="AM69" s="58"/>
      <c r="AN69" s="58"/>
      <c r="AO69" s="58"/>
      <c r="AP69" s="115">
        <f t="shared" si="6"/>
        <v>0</v>
      </c>
      <c r="AQ69" s="69"/>
      <c r="AR69" s="69"/>
      <c r="AS69" s="69"/>
      <c r="AT69" s="69"/>
      <c r="AU69" s="59">
        <f t="shared" si="7"/>
        <v>0</v>
      </c>
      <c r="AV69" s="60">
        <f t="shared" si="8"/>
        <v>0</v>
      </c>
      <c r="AW69" s="58"/>
      <c r="AX69" s="58"/>
      <c r="AY69" s="58"/>
      <c r="AZ69" s="60">
        <f t="shared" si="42"/>
        <v>0</v>
      </c>
      <c r="BA69" s="58"/>
      <c r="BB69" s="58"/>
      <c r="BC69" s="58"/>
      <c r="BD69" s="60">
        <f>SUM(Tableau1[[#This Row],[ticket/carte/abonnement périmé]:[Autres ou non précisé 5]])</f>
        <v>0</v>
      </c>
      <c r="BE69" s="58"/>
      <c r="BF69" s="58"/>
      <c r="BG69" s="58"/>
      <c r="BH69" s="61">
        <f t="shared" si="10"/>
        <v>0</v>
      </c>
      <c r="BI69" s="120"/>
      <c r="BJ69" s="120"/>
      <c r="BK69" s="62">
        <f t="shared" si="11"/>
        <v>0</v>
      </c>
      <c r="BL69" s="120"/>
      <c r="BM69" s="120"/>
      <c r="BN69" s="120"/>
      <c r="BO69" s="120"/>
      <c r="BP69" s="120"/>
      <c r="BQ69" s="63"/>
      <c r="BR69" s="52">
        <f t="shared" si="12"/>
        <v>0</v>
      </c>
      <c r="BS69" s="52">
        <f t="shared" si="13"/>
        <v>0</v>
      </c>
      <c r="BT69" s="61">
        <f t="shared" si="14"/>
        <v>0</v>
      </c>
      <c r="BU69" s="64">
        <f t="shared" si="15"/>
        <v>0</v>
      </c>
      <c r="BV69" s="119">
        <f>SUM(Tableau1[[#This Row],[Achats confiserie]:[Achats boisson]])</f>
        <v>0</v>
      </c>
      <c r="BW69" s="58"/>
      <c r="BX69" s="69"/>
      <c r="BY69" s="58"/>
      <c r="BZ69" s="56">
        <f t="shared" si="16"/>
        <v>0</v>
      </c>
      <c r="CA69" s="66"/>
      <c r="CB69" s="66"/>
      <c r="CC69" s="56">
        <f t="shared" si="17"/>
        <v>0</v>
      </c>
      <c r="CD69" s="55"/>
      <c r="CE69" s="65"/>
      <c r="CF69" s="55"/>
      <c r="CG69" s="55"/>
      <c r="CH69" s="67">
        <f t="shared" si="18"/>
        <v>0</v>
      </c>
      <c r="CI69" s="68">
        <f t="shared" si="37"/>
        <v>0</v>
      </c>
      <c r="CJ69" s="55"/>
      <c r="CK69" s="55"/>
      <c r="CL69" s="55"/>
      <c r="CM69" s="55"/>
      <c r="CN69" s="55"/>
      <c r="CO69" s="68">
        <f t="shared" si="20"/>
        <v>0</v>
      </c>
      <c r="CP69" s="75">
        <f>SUM(Tableau1[[#This Row],[Fourniture eau]:[Energie (non précisé)]])</f>
        <v>0</v>
      </c>
      <c r="CQ69" s="55"/>
      <c r="CR69" s="55"/>
      <c r="CS69" s="55"/>
      <c r="CT69" s="55"/>
      <c r="CU69" s="55"/>
      <c r="CV69" s="55">
        <v>0</v>
      </c>
      <c r="CW69" s="55"/>
      <c r="CX69" s="68">
        <f>SUM(Tableau1[[#This Row],[Sous-traitance]:[Autres ou non précisé 12]])</f>
        <v>0</v>
      </c>
      <c r="CY69" s="65"/>
      <c r="CZ69" s="65"/>
      <c r="DA69" s="65"/>
      <c r="DB69" s="65"/>
      <c r="DC69" s="55"/>
      <c r="DD69" s="68">
        <f t="shared" si="43"/>
        <v>0</v>
      </c>
      <c r="DE69" s="55"/>
      <c r="DF69" s="65"/>
      <c r="DG69" s="65"/>
      <c r="DH69" s="65"/>
      <c r="DI69" s="68">
        <f>SUM(Tableau1[[#This Row],[Entretien et réparation matériel de projection]:[Autres ou non précisé 14]])</f>
        <v>0</v>
      </c>
      <c r="DJ69" s="58"/>
      <c r="DK69" s="58"/>
      <c r="DL69" s="69"/>
      <c r="DM69" s="68">
        <f t="shared" si="22"/>
        <v>0</v>
      </c>
      <c r="DN69" s="58"/>
      <c r="DO69" s="58"/>
      <c r="DP69" s="68">
        <f t="shared" si="23"/>
        <v>0</v>
      </c>
      <c r="DQ69" s="65"/>
      <c r="DR69" s="65"/>
      <c r="DS69" s="68">
        <f t="shared" si="24"/>
        <v>0</v>
      </c>
      <c r="DT69" s="65"/>
      <c r="DU69" s="65"/>
      <c r="DV69" s="65"/>
      <c r="DW69" s="68">
        <f>SUM(Tableau1[[#This Row],[Comission et courtage sur achats]:[Autres ou honoraires
 non précisé ]])</f>
        <v>0</v>
      </c>
      <c r="DX69" s="57"/>
      <c r="DY69" s="57"/>
      <c r="DZ69" s="65"/>
      <c r="EA69" s="65"/>
      <c r="EB69" s="65"/>
      <c r="EC69" s="68">
        <f t="shared" si="25"/>
        <v>0</v>
      </c>
      <c r="ED69" s="69"/>
      <c r="EE69" s="69"/>
      <c r="EF69" s="69"/>
      <c r="EG69" s="69"/>
      <c r="EH69" s="69"/>
      <c r="EI69" s="84">
        <f>SUM(Tableau1[[#This Row],[Transports sur films]:[autres ]])</f>
        <v>0</v>
      </c>
      <c r="EJ69" s="132">
        <v>0</v>
      </c>
      <c r="EK69" s="132"/>
      <c r="EL69" s="68">
        <f t="shared" si="26"/>
        <v>0</v>
      </c>
      <c r="EM69" s="65"/>
      <c r="EN69" s="65">
        <v>0</v>
      </c>
      <c r="EO69" s="65"/>
      <c r="EP69" s="65"/>
      <c r="EQ69" s="65"/>
      <c r="ER69" s="65"/>
      <c r="ES69" s="65"/>
      <c r="ET69" s="68">
        <f t="shared" si="27"/>
        <v>0</v>
      </c>
      <c r="EU69" s="65"/>
      <c r="EV69" s="65"/>
      <c r="EW69" s="65"/>
      <c r="EX69" s="65"/>
      <c r="EY69" s="65"/>
      <c r="EZ69" s="68">
        <f t="shared" si="46"/>
        <v>0</v>
      </c>
      <c r="FA69" s="65"/>
      <c r="FB69" s="65"/>
      <c r="FC69" s="70">
        <f t="shared" si="44"/>
        <v>0</v>
      </c>
      <c r="FD69" s="65"/>
      <c r="FE69" s="71">
        <f t="shared" si="29"/>
        <v>0</v>
      </c>
      <c r="FF69" s="72">
        <f t="shared" si="30"/>
        <v>0</v>
      </c>
      <c r="FG69" s="65"/>
      <c r="FH69" s="65"/>
      <c r="FI69" s="65"/>
      <c r="FJ69" s="56">
        <f t="shared" si="31"/>
        <v>0</v>
      </c>
      <c r="FK69" s="65"/>
      <c r="FL69" s="65"/>
      <c r="FM69" s="65"/>
      <c r="FN69" s="65"/>
      <c r="FO69" s="67">
        <f t="shared" si="32"/>
        <v>0</v>
      </c>
      <c r="FP69" s="57"/>
      <c r="FQ69" s="73"/>
      <c r="FR69" s="73"/>
      <c r="FS69" s="71">
        <f t="shared" si="33"/>
        <v>0</v>
      </c>
      <c r="FT69" s="91"/>
      <c r="FU69" s="91"/>
      <c r="FV69" s="67">
        <f>SUM(Tableau1[[#This Row],[Droits d''auteurs SACEM + cotisations SACEM]:[Autres ou non préciés]])</f>
        <v>0</v>
      </c>
      <c r="FW69" s="75">
        <f t="shared" si="34"/>
        <v>0</v>
      </c>
      <c r="FX69" s="74">
        <v>0</v>
      </c>
      <c r="FY69" s="74"/>
      <c r="FZ69" s="74"/>
      <c r="GA69" s="74"/>
      <c r="GB69" s="71">
        <f t="shared" si="35"/>
        <v>0</v>
      </c>
      <c r="GC69" s="92"/>
      <c r="GD69" s="92"/>
      <c r="GE69" s="67">
        <f t="shared" si="36"/>
        <v>0</v>
      </c>
      <c r="GF69" s="66"/>
      <c r="GG69" s="66"/>
      <c r="GH69" s="66"/>
      <c r="GI69" s="66"/>
      <c r="GJ69" s="77"/>
    </row>
    <row r="70" spans="1:192" ht="18.600000000000001" customHeight="1" x14ac:dyDescent="0.25">
      <c r="A70" s="89"/>
      <c r="B70" s="17"/>
      <c r="C70" s="50"/>
      <c r="D70" s="140"/>
      <c r="E70" s="51"/>
      <c r="F70" s="139">
        <f t="shared" si="45"/>
        <v>1</v>
      </c>
      <c r="G70" s="49"/>
      <c r="H70" s="50"/>
      <c r="I70" s="122"/>
      <c r="J70" s="49"/>
      <c r="K70" s="50"/>
      <c r="L70" s="50"/>
      <c r="M70" s="90"/>
      <c r="N70" s="50"/>
      <c r="O70" s="50"/>
      <c r="P70" s="90"/>
      <c r="Q70" s="52">
        <f t="shared" ref="Q70:Q133" si="47">R70+BH70+BK70</f>
        <v>0</v>
      </c>
      <c r="R70" s="52">
        <f t="shared" ref="R70:R133" si="48">S70+AU70</f>
        <v>0</v>
      </c>
      <c r="S70" s="53">
        <f t="shared" ref="S70:S133" si="49">SUM(T70,AC70,AL70)</f>
        <v>0</v>
      </c>
      <c r="T70" s="54">
        <f t="shared" ref="T70:T133" si="50">SUM(V70:W70,Y70:AB70)</f>
        <v>0</v>
      </c>
      <c r="U70" s="115">
        <f>SUM(Tableau1[[#This Row],[Vente confiserie]:[Vente boisson]])</f>
        <v>0</v>
      </c>
      <c r="V70" s="55"/>
      <c r="W70" s="55"/>
      <c r="X70" s="135">
        <f>SUM(Tableau1[[#This Row],[Vente lunette]:[Location lunette]])</f>
        <v>0</v>
      </c>
      <c r="Y70" s="55"/>
      <c r="Z70" s="55"/>
      <c r="AA70" s="55"/>
      <c r="AB70" s="55"/>
      <c r="AC70" s="56">
        <f t="shared" si="38"/>
        <v>0</v>
      </c>
      <c r="AD70" s="57"/>
      <c r="AE70" s="57"/>
      <c r="AF70" s="57"/>
      <c r="AG70" s="57"/>
      <c r="AH70" s="57"/>
      <c r="AI70" s="57"/>
      <c r="AJ70" s="118">
        <f>(Tableau1[[#This Row],[Recette guichet ]]*1.1275177)-Tableau1[[#This Row],[Recette guichet ]]</f>
        <v>0</v>
      </c>
      <c r="AK70" s="57"/>
      <c r="AL70" s="56">
        <f t="shared" si="39"/>
        <v>0</v>
      </c>
      <c r="AM70" s="58"/>
      <c r="AN70" s="58"/>
      <c r="AO70" s="58"/>
      <c r="AP70" s="115">
        <f t="shared" ref="AP70:AP133" si="51">SUM(AQ70:AS70)</f>
        <v>0</v>
      </c>
      <c r="AQ70" s="69"/>
      <c r="AR70" s="69"/>
      <c r="AS70" s="69"/>
      <c r="AT70" s="69"/>
      <c r="AU70" s="59">
        <f t="shared" ref="AU70:AU133" si="52">SUM(AV70,AZ70,BD70)</f>
        <v>0</v>
      </c>
      <c r="AV70" s="60">
        <f t="shared" ref="AV70:AV133" si="53">SUM(AW70:AY70)</f>
        <v>0</v>
      </c>
      <c r="AW70" s="58"/>
      <c r="AX70" s="58"/>
      <c r="AY70" s="58"/>
      <c r="AZ70" s="60">
        <f t="shared" si="42"/>
        <v>0</v>
      </c>
      <c r="BA70" s="58"/>
      <c r="BB70" s="58"/>
      <c r="BC70" s="58"/>
      <c r="BD70" s="60">
        <f>SUM(Tableau1[[#This Row],[ticket/carte/abonnement périmé]:[Autres ou non précisé 5]])</f>
        <v>0</v>
      </c>
      <c r="BE70" s="58"/>
      <c r="BF70" s="58"/>
      <c r="BG70" s="58"/>
      <c r="BH70" s="61">
        <f t="shared" ref="BH70:BH133" si="54">SUM(BI70:BJ70)</f>
        <v>0</v>
      </c>
      <c r="BI70" s="120"/>
      <c r="BJ70" s="120"/>
      <c r="BK70" s="62">
        <f t="shared" ref="BK70:BK133" si="55">SUM(BL70:BQ70)</f>
        <v>0</v>
      </c>
      <c r="BL70" s="120"/>
      <c r="BM70" s="120"/>
      <c r="BN70" s="120"/>
      <c r="BO70" s="120"/>
      <c r="BP70" s="120"/>
      <c r="BQ70" s="63"/>
      <c r="BR70" s="52">
        <f t="shared" ref="BR70:BR133" si="56">BS70+GB70+GE70+GJ70</f>
        <v>0</v>
      </c>
      <c r="BS70" s="52">
        <f t="shared" ref="BS70:BS133" si="57">BT70+CH70+FE70+FO70+FS70+FV70</f>
        <v>0</v>
      </c>
      <c r="BT70" s="61">
        <f t="shared" ref="BT70:BT133" si="58">SUM(BU70,CC70,BZ70)</f>
        <v>0</v>
      </c>
      <c r="BU70" s="64">
        <f t="shared" ref="BU70:BU133" si="59">SUM(BW70:BY70)</f>
        <v>0</v>
      </c>
      <c r="BV70" s="119">
        <f>SUM(Tableau1[[#This Row],[Achats confiserie]:[Achats boisson]])</f>
        <v>0</v>
      </c>
      <c r="BW70" s="58"/>
      <c r="BX70" s="69"/>
      <c r="BY70" s="58"/>
      <c r="BZ70" s="56">
        <f t="shared" ref="BZ70:BZ133" si="60">SUM(CA70:CB70)</f>
        <v>0</v>
      </c>
      <c r="CA70" s="66"/>
      <c r="CB70" s="66"/>
      <c r="CC70" s="56">
        <f t="shared" ref="CC70:CC133" si="61">SUM(CD70:CG70)</f>
        <v>0</v>
      </c>
      <c r="CD70" s="55"/>
      <c r="CE70" s="65"/>
      <c r="CF70" s="55"/>
      <c r="CG70" s="55"/>
      <c r="CH70" s="67">
        <f t="shared" ref="CH70:CH133" si="62">SUM(CI70,CO70,CX70,DD70,DI70,DM70,DP70,DS70,DW70,EC70,EL70,ET70,EZ70,FC70,EI70)</f>
        <v>0</v>
      </c>
      <c r="CI70" s="68">
        <f t="shared" si="37"/>
        <v>0</v>
      </c>
      <c r="CJ70" s="55"/>
      <c r="CK70" s="55"/>
      <c r="CL70" s="55"/>
      <c r="CM70" s="55"/>
      <c r="CN70" s="55"/>
      <c r="CO70" s="68">
        <f t="shared" ref="CO70:CO133" si="63">SUM(CQ70:CW70)</f>
        <v>0</v>
      </c>
      <c r="CP70" s="75">
        <f>SUM(Tableau1[[#This Row],[Fourniture eau]:[Energie (non précisé)]])</f>
        <v>0</v>
      </c>
      <c r="CQ70" s="55"/>
      <c r="CR70" s="55"/>
      <c r="CS70" s="55"/>
      <c r="CT70" s="55"/>
      <c r="CU70" s="55"/>
      <c r="CV70" s="55">
        <v>0</v>
      </c>
      <c r="CW70" s="55"/>
      <c r="CX70" s="68">
        <f>SUM(Tableau1[[#This Row],[Sous-traitance]:[Autres ou non précisé 12]])</f>
        <v>0</v>
      </c>
      <c r="CY70" s="65"/>
      <c r="CZ70" s="65"/>
      <c r="DA70" s="65"/>
      <c r="DB70" s="65"/>
      <c r="DC70" s="55"/>
      <c r="DD70" s="68">
        <f t="shared" si="43"/>
        <v>0</v>
      </c>
      <c r="DE70" s="55"/>
      <c r="DF70" s="65"/>
      <c r="DG70" s="65"/>
      <c r="DH70" s="65"/>
      <c r="DI70" s="68">
        <f>SUM(Tableau1[[#This Row],[Entretien et réparation matériel de projection]:[Autres ou non précisé 14]])</f>
        <v>0</v>
      </c>
      <c r="DJ70" s="58"/>
      <c r="DK70" s="58"/>
      <c r="DL70" s="69"/>
      <c r="DM70" s="68">
        <f t="shared" ref="DM70:DM133" si="64">SUM(DN70:DO70)</f>
        <v>0</v>
      </c>
      <c r="DN70" s="58"/>
      <c r="DO70" s="58"/>
      <c r="DP70" s="68">
        <f t="shared" ref="DP70:DP133" si="65">SUM(DQ70:DR70)</f>
        <v>0</v>
      </c>
      <c r="DQ70" s="65"/>
      <c r="DR70" s="65"/>
      <c r="DS70" s="68">
        <f t="shared" ref="DS70:DS133" si="66">SUM(DT70:DV70)</f>
        <v>0</v>
      </c>
      <c r="DT70" s="65"/>
      <c r="DU70" s="65"/>
      <c r="DV70" s="65"/>
      <c r="DW70" s="68">
        <f>SUM(Tableau1[[#This Row],[Comission et courtage sur achats]:[Autres ou honoraires
 non précisé ]])</f>
        <v>0</v>
      </c>
      <c r="DX70" s="57"/>
      <c r="DY70" s="57"/>
      <c r="DZ70" s="65"/>
      <c r="EA70" s="65"/>
      <c r="EB70" s="65"/>
      <c r="EC70" s="68">
        <f t="shared" ref="EC70:EC133" si="67">SUM(ED70:EH70)</f>
        <v>0</v>
      </c>
      <c r="ED70" s="69"/>
      <c r="EE70" s="69"/>
      <c r="EF70" s="69"/>
      <c r="EG70" s="69"/>
      <c r="EH70" s="69"/>
      <c r="EI70" s="84">
        <f>SUM(Tableau1[[#This Row],[Transports sur films]:[autres ]])</f>
        <v>0</v>
      </c>
      <c r="EJ70" s="132">
        <v>0</v>
      </c>
      <c r="EK70" s="132"/>
      <c r="EL70" s="68">
        <f t="shared" ref="EL70:EL133" si="68">SUM(EM70:ES70)</f>
        <v>0</v>
      </c>
      <c r="EM70" s="65"/>
      <c r="EN70" s="65">
        <v>0</v>
      </c>
      <c r="EO70" s="65"/>
      <c r="EP70" s="65"/>
      <c r="EQ70" s="65"/>
      <c r="ER70" s="65"/>
      <c r="ES70" s="65"/>
      <c r="ET70" s="68">
        <f t="shared" ref="ET70:ET133" si="69">SUM(EU70:EY70)</f>
        <v>0</v>
      </c>
      <c r="EU70" s="65"/>
      <c r="EV70" s="65"/>
      <c r="EW70" s="65"/>
      <c r="EX70" s="65"/>
      <c r="EY70" s="65"/>
      <c r="EZ70" s="68">
        <f t="shared" si="46"/>
        <v>0</v>
      </c>
      <c r="FA70" s="65"/>
      <c r="FB70" s="65"/>
      <c r="FC70" s="70">
        <f t="shared" si="44"/>
        <v>0</v>
      </c>
      <c r="FD70" s="65"/>
      <c r="FE70" s="71">
        <f t="shared" ref="FE70:FE133" si="70">SUM(FF70,FJ70)</f>
        <v>0</v>
      </c>
      <c r="FF70" s="72">
        <f t="shared" ref="FF70:FF133" si="71">SUM(FG70:FI70)</f>
        <v>0</v>
      </c>
      <c r="FG70" s="65"/>
      <c r="FH70" s="65"/>
      <c r="FI70" s="65"/>
      <c r="FJ70" s="56">
        <f t="shared" ref="FJ70:FJ133" si="72">SUM(FK70:FN70)</f>
        <v>0</v>
      </c>
      <c r="FK70" s="65"/>
      <c r="FL70" s="65"/>
      <c r="FM70" s="65"/>
      <c r="FN70" s="65"/>
      <c r="FO70" s="67">
        <f t="shared" ref="FO70:FO133" si="73">SUM(FP70:FR70)</f>
        <v>0</v>
      </c>
      <c r="FP70" s="57"/>
      <c r="FQ70" s="73"/>
      <c r="FR70" s="73"/>
      <c r="FS70" s="71">
        <f t="shared" ref="FS70:FS133" si="74">SUM(FT70:FU70)</f>
        <v>0</v>
      </c>
      <c r="FT70" s="91"/>
      <c r="FU70" s="91"/>
      <c r="FV70" s="67">
        <f>SUM(Tableau1[[#This Row],[Droits d''auteurs SACEM + cotisations SACEM]:[Autres ou non préciés]])</f>
        <v>0</v>
      </c>
      <c r="FW70" s="75">
        <f t="shared" ref="FW70:FW133" si="75">SUM(FX70:FZ70)</f>
        <v>0</v>
      </c>
      <c r="FX70" s="74">
        <v>0</v>
      </c>
      <c r="FY70" s="74"/>
      <c r="FZ70" s="74"/>
      <c r="GA70" s="74"/>
      <c r="GB70" s="71">
        <f t="shared" ref="GB70:GB133" si="76">SUM(GC70:GD70)</f>
        <v>0</v>
      </c>
      <c r="GC70" s="92"/>
      <c r="GD70" s="92"/>
      <c r="GE70" s="67">
        <f t="shared" ref="GE70:GE133" si="77">SUM(GF70:GI70)</f>
        <v>0</v>
      </c>
      <c r="GF70" s="66"/>
      <c r="GG70" s="66"/>
      <c r="GH70" s="66"/>
      <c r="GI70" s="66"/>
      <c r="GJ70" s="77"/>
    </row>
    <row r="71" spans="1:192" ht="18.600000000000001" customHeight="1" x14ac:dyDescent="0.25">
      <c r="A71" s="89"/>
      <c r="B71" s="17"/>
      <c r="C71" s="50"/>
      <c r="D71" s="140"/>
      <c r="E71" s="51"/>
      <c r="F71" s="139">
        <f t="shared" si="45"/>
        <v>1</v>
      </c>
      <c r="G71" s="49"/>
      <c r="H71" s="50"/>
      <c r="I71" s="122"/>
      <c r="J71" s="49"/>
      <c r="K71" s="50"/>
      <c r="L71" s="50"/>
      <c r="M71" s="90"/>
      <c r="N71" s="50"/>
      <c r="O71" s="50"/>
      <c r="P71" s="90"/>
      <c r="Q71" s="52">
        <f t="shared" si="47"/>
        <v>0</v>
      </c>
      <c r="R71" s="52">
        <f t="shared" si="48"/>
        <v>0</v>
      </c>
      <c r="S71" s="53">
        <f t="shared" si="49"/>
        <v>0</v>
      </c>
      <c r="T71" s="54">
        <f t="shared" si="50"/>
        <v>0</v>
      </c>
      <c r="U71" s="115">
        <f>SUM(Tableau1[[#This Row],[Vente confiserie]:[Vente boisson]])</f>
        <v>0</v>
      </c>
      <c r="V71" s="55"/>
      <c r="W71" s="55"/>
      <c r="X71" s="135">
        <f>SUM(Tableau1[[#This Row],[Vente lunette]:[Location lunette]])</f>
        <v>0</v>
      </c>
      <c r="Y71" s="55"/>
      <c r="Z71" s="55"/>
      <c r="AA71" s="55"/>
      <c r="AB71" s="55"/>
      <c r="AC71" s="56">
        <f t="shared" si="38"/>
        <v>0</v>
      </c>
      <c r="AD71" s="57"/>
      <c r="AE71" s="57"/>
      <c r="AF71" s="57"/>
      <c r="AG71" s="57"/>
      <c r="AH71" s="57"/>
      <c r="AI71" s="57"/>
      <c r="AJ71" s="118">
        <f>(Tableau1[[#This Row],[Recette guichet ]]*1.1275177)-Tableau1[[#This Row],[Recette guichet ]]</f>
        <v>0</v>
      </c>
      <c r="AK71" s="57"/>
      <c r="AL71" s="56">
        <f t="shared" si="39"/>
        <v>0</v>
      </c>
      <c r="AM71" s="58"/>
      <c r="AN71" s="58"/>
      <c r="AO71" s="58"/>
      <c r="AP71" s="115">
        <f t="shared" si="51"/>
        <v>0</v>
      </c>
      <c r="AQ71" s="69"/>
      <c r="AR71" s="69"/>
      <c r="AS71" s="69"/>
      <c r="AT71" s="69"/>
      <c r="AU71" s="59">
        <f t="shared" si="52"/>
        <v>0</v>
      </c>
      <c r="AV71" s="60">
        <f t="shared" si="53"/>
        <v>0</v>
      </c>
      <c r="AW71" s="58"/>
      <c r="AX71" s="58"/>
      <c r="AY71" s="58"/>
      <c r="AZ71" s="60">
        <f t="shared" si="42"/>
        <v>0</v>
      </c>
      <c r="BA71" s="58"/>
      <c r="BB71" s="58"/>
      <c r="BC71" s="58"/>
      <c r="BD71" s="60">
        <f>SUM(Tableau1[[#This Row],[ticket/carte/abonnement périmé]:[Autres ou non précisé 5]])</f>
        <v>0</v>
      </c>
      <c r="BE71" s="58"/>
      <c r="BF71" s="58"/>
      <c r="BG71" s="58"/>
      <c r="BH71" s="61">
        <f t="shared" si="54"/>
        <v>0</v>
      </c>
      <c r="BI71" s="120"/>
      <c r="BJ71" s="120"/>
      <c r="BK71" s="62">
        <f t="shared" si="55"/>
        <v>0</v>
      </c>
      <c r="BL71" s="120"/>
      <c r="BM71" s="120"/>
      <c r="BN71" s="120"/>
      <c r="BO71" s="120"/>
      <c r="BP71" s="120"/>
      <c r="BQ71" s="63"/>
      <c r="BR71" s="52">
        <f t="shared" si="56"/>
        <v>0</v>
      </c>
      <c r="BS71" s="52">
        <f t="shared" si="57"/>
        <v>0</v>
      </c>
      <c r="BT71" s="61">
        <f t="shared" si="58"/>
        <v>0</v>
      </c>
      <c r="BU71" s="64">
        <f t="shared" si="59"/>
        <v>0</v>
      </c>
      <c r="BV71" s="119">
        <f>SUM(Tableau1[[#This Row],[Achats confiserie]:[Achats boisson]])</f>
        <v>0</v>
      </c>
      <c r="BW71" s="58"/>
      <c r="BX71" s="69"/>
      <c r="BY71" s="58"/>
      <c r="BZ71" s="56">
        <f t="shared" si="60"/>
        <v>0</v>
      </c>
      <c r="CA71" s="66"/>
      <c r="CB71" s="66"/>
      <c r="CC71" s="56">
        <f t="shared" si="61"/>
        <v>0</v>
      </c>
      <c r="CD71" s="55"/>
      <c r="CE71" s="65"/>
      <c r="CF71" s="55"/>
      <c r="CG71" s="55"/>
      <c r="CH71" s="67">
        <f t="shared" si="62"/>
        <v>0</v>
      </c>
      <c r="CI71" s="68">
        <f t="shared" si="37"/>
        <v>0</v>
      </c>
      <c r="CJ71" s="55"/>
      <c r="CK71" s="55"/>
      <c r="CL71" s="55"/>
      <c r="CM71" s="55"/>
      <c r="CN71" s="55"/>
      <c r="CO71" s="68">
        <f t="shared" si="63"/>
        <v>0</v>
      </c>
      <c r="CP71" s="75">
        <f>SUM(Tableau1[[#This Row],[Fourniture eau]:[Energie (non précisé)]])</f>
        <v>0</v>
      </c>
      <c r="CQ71" s="55"/>
      <c r="CR71" s="55"/>
      <c r="CS71" s="55"/>
      <c r="CT71" s="55"/>
      <c r="CU71" s="55"/>
      <c r="CV71" s="55">
        <v>0</v>
      </c>
      <c r="CW71" s="55"/>
      <c r="CX71" s="68">
        <f>SUM(Tableau1[[#This Row],[Sous-traitance]:[Autres ou non précisé 12]])</f>
        <v>0</v>
      </c>
      <c r="CY71" s="65"/>
      <c r="CZ71" s="65"/>
      <c r="DA71" s="65"/>
      <c r="DB71" s="65"/>
      <c r="DC71" s="55"/>
      <c r="DD71" s="68">
        <f t="shared" si="43"/>
        <v>0</v>
      </c>
      <c r="DE71" s="55"/>
      <c r="DF71" s="65"/>
      <c r="DG71" s="65"/>
      <c r="DH71" s="65"/>
      <c r="DI71" s="68">
        <f>SUM(Tableau1[[#This Row],[Entretien et réparation matériel de projection]:[Autres ou non précisé 14]])</f>
        <v>0</v>
      </c>
      <c r="DJ71" s="58"/>
      <c r="DK71" s="58"/>
      <c r="DL71" s="69"/>
      <c r="DM71" s="68">
        <f t="shared" si="64"/>
        <v>0</v>
      </c>
      <c r="DN71" s="58"/>
      <c r="DO71" s="58"/>
      <c r="DP71" s="68">
        <f t="shared" si="65"/>
        <v>0</v>
      </c>
      <c r="DQ71" s="65"/>
      <c r="DR71" s="65"/>
      <c r="DS71" s="68">
        <f t="shared" si="66"/>
        <v>0</v>
      </c>
      <c r="DT71" s="65"/>
      <c r="DU71" s="65"/>
      <c r="DV71" s="65"/>
      <c r="DW71" s="68">
        <f>SUM(Tableau1[[#This Row],[Comission et courtage sur achats]:[Autres ou honoraires
 non précisé ]])</f>
        <v>0</v>
      </c>
      <c r="DX71" s="57"/>
      <c r="DY71" s="57"/>
      <c r="DZ71" s="65"/>
      <c r="EA71" s="65"/>
      <c r="EB71" s="65"/>
      <c r="EC71" s="68">
        <f t="shared" si="67"/>
        <v>0</v>
      </c>
      <c r="ED71" s="69"/>
      <c r="EE71" s="69"/>
      <c r="EF71" s="69"/>
      <c r="EG71" s="69"/>
      <c r="EH71" s="69"/>
      <c r="EI71" s="84">
        <f>SUM(Tableau1[[#This Row],[Transports sur films]:[autres ]])</f>
        <v>0</v>
      </c>
      <c r="EJ71" s="132">
        <v>0</v>
      </c>
      <c r="EK71" s="132"/>
      <c r="EL71" s="68">
        <f t="shared" si="68"/>
        <v>0</v>
      </c>
      <c r="EM71" s="65"/>
      <c r="EN71" s="65">
        <v>0</v>
      </c>
      <c r="EO71" s="65"/>
      <c r="EP71" s="65"/>
      <c r="EQ71" s="65"/>
      <c r="ER71" s="65"/>
      <c r="ES71" s="65"/>
      <c r="ET71" s="68">
        <f t="shared" si="69"/>
        <v>0</v>
      </c>
      <c r="EU71" s="65"/>
      <c r="EV71" s="65"/>
      <c r="EW71" s="65"/>
      <c r="EX71" s="65"/>
      <c r="EY71" s="65"/>
      <c r="EZ71" s="68">
        <f t="shared" si="46"/>
        <v>0</v>
      </c>
      <c r="FA71" s="65"/>
      <c r="FB71" s="65"/>
      <c r="FC71" s="70">
        <f t="shared" si="44"/>
        <v>0</v>
      </c>
      <c r="FD71" s="65"/>
      <c r="FE71" s="71">
        <f t="shared" si="70"/>
        <v>0</v>
      </c>
      <c r="FF71" s="72">
        <f t="shared" si="71"/>
        <v>0</v>
      </c>
      <c r="FG71" s="65"/>
      <c r="FH71" s="65"/>
      <c r="FI71" s="65"/>
      <c r="FJ71" s="56">
        <f t="shared" si="72"/>
        <v>0</v>
      </c>
      <c r="FK71" s="65"/>
      <c r="FL71" s="65"/>
      <c r="FM71" s="65"/>
      <c r="FN71" s="65"/>
      <c r="FO71" s="67">
        <f t="shared" si="73"/>
        <v>0</v>
      </c>
      <c r="FP71" s="57"/>
      <c r="FQ71" s="73"/>
      <c r="FR71" s="73"/>
      <c r="FS71" s="71">
        <f t="shared" si="74"/>
        <v>0</v>
      </c>
      <c r="FT71" s="91"/>
      <c r="FU71" s="91"/>
      <c r="FV71" s="67">
        <f>SUM(Tableau1[[#This Row],[Droits d''auteurs SACEM + cotisations SACEM]:[Autres ou non préciés]])</f>
        <v>0</v>
      </c>
      <c r="FW71" s="75">
        <f t="shared" si="75"/>
        <v>0</v>
      </c>
      <c r="FX71" s="74">
        <v>0</v>
      </c>
      <c r="FY71" s="74"/>
      <c r="FZ71" s="74"/>
      <c r="GA71" s="74"/>
      <c r="GB71" s="71">
        <f t="shared" si="76"/>
        <v>0</v>
      </c>
      <c r="GC71" s="92"/>
      <c r="GD71" s="92"/>
      <c r="GE71" s="67">
        <f t="shared" si="77"/>
        <v>0</v>
      </c>
      <c r="GF71" s="66"/>
      <c r="GG71" s="66"/>
      <c r="GH71" s="66"/>
      <c r="GI71" s="66"/>
      <c r="GJ71" s="77"/>
    </row>
    <row r="72" spans="1:192" ht="18.600000000000001" customHeight="1" x14ac:dyDescent="0.25">
      <c r="A72" s="89"/>
      <c r="B72" s="17"/>
      <c r="C72" s="50"/>
      <c r="D72" s="140"/>
      <c r="E72" s="51"/>
      <c r="F72" s="139">
        <f t="shared" si="45"/>
        <v>1</v>
      </c>
      <c r="G72" s="49"/>
      <c r="H72" s="50"/>
      <c r="I72" s="122"/>
      <c r="J72" s="49"/>
      <c r="K72" s="50"/>
      <c r="L72" s="50"/>
      <c r="M72" s="90"/>
      <c r="N72" s="50"/>
      <c r="O72" s="50"/>
      <c r="P72" s="90"/>
      <c r="Q72" s="52">
        <f t="shared" si="47"/>
        <v>0</v>
      </c>
      <c r="R72" s="52">
        <f t="shared" si="48"/>
        <v>0</v>
      </c>
      <c r="S72" s="53">
        <f t="shared" si="49"/>
        <v>0</v>
      </c>
      <c r="T72" s="54">
        <f t="shared" si="50"/>
        <v>0</v>
      </c>
      <c r="U72" s="115">
        <f>SUM(Tableau1[[#This Row],[Vente confiserie]:[Vente boisson]])</f>
        <v>0</v>
      </c>
      <c r="V72" s="55"/>
      <c r="W72" s="55"/>
      <c r="X72" s="135">
        <f>SUM(Tableau1[[#This Row],[Vente lunette]:[Location lunette]])</f>
        <v>0</v>
      </c>
      <c r="Y72" s="55"/>
      <c r="Z72" s="55"/>
      <c r="AA72" s="55"/>
      <c r="AB72" s="55"/>
      <c r="AC72" s="56">
        <f t="shared" si="38"/>
        <v>0</v>
      </c>
      <c r="AD72" s="57"/>
      <c r="AE72" s="57"/>
      <c r="AF72" s="57"/>
      <c r="AG72" s="57"/>
      <c r="AH72" s="57"/>
      <c r="AI72" s="57"/>
      <c r="AJ72" s="118">
        <f>(Tableau1[[#This Row],[Recette guichet ]]*1.1275177)-Tableau1[[#This Row],[Recette guichet ]]</f>
        <v>0</v>
      </c>
      <c r="AK72" s="57"/>
      <c r="AL72" s="56">
        <f t="shared" si="39"/>
        <v>0</v>
      </c>
      <c r="AM72" s="58"/>
      <c r="AN72" s="58"/>
      <c r="AO72" s="58"/>
      <c r="AP72" s="115">
        <f t="shared" si="51"/>
        <v>0</v>
      </c>
      <c r="AQ72" s="69"/>
      <c r="AR72" s="69"/>
      <c r="AS72" s="69"/>
      <c r="AT72" s="69"/>
      <c r="AU72" s="59">
        <f t="shared" si="52"/>
        <v>0</v>
      </c>
      <c r="AV72" s="60">
        <f t="shared" si="53"/>
        <v>0</v>
      </c>
      <c r="AW72" s="58"/>
      <c r="AX72" s="58"/>
      <c r="AY72" s="58"/>
      <c r="AZ72" s="60">
        <f t="shared" si="42"/>
        <v>0</v>
      </c>
      <c r="BA72" s="58"/>
      <c r="BB72" s="58"/>
      <c r="BC72" s="58"/>
      <c r="BD72" s="60">
        <f>SUM(Tableau1[[#This Row],[ticket/carte/abonnement périmé]:[Autres ou non précisé 5]])</f>
        <v>0</v>
      </c>
      <c r="BE72" s="58"/>
      <c r="BF72" s="58"/>
      <c r="BG72" s="58"/>
      <c r="BH72" s="61">
        <f t="shared" si="54"/>
        <v>0</v>
      </c>
      <c r="BI72" s="120"/>
      <c r="BJ72" s="120"/>
      <c r="BK72" s="62">
        <f t="shared" si="55"/>
        <v>0</v>
      </c>
      <c r="BL72" s="120"/>
      <c r="BM72" s="120"/>
      <c r="BN72" s="120"/>
      <c r="BO72" s="120"/>
      <c r="BP72" s="120"/>
      <c r="BQ72" s="63"/>
      <c r="BR72" s="52">
        <f t="shared" si="56"/>
        <v>0</v>
      </c>
      <c r="BS72" s="52">
        <f t="shared" si="57"/>
        <v>0</v>
      </c>
      <c r="BT72" s="61">
        <f t="shared" si="58"/>
        <v>0</v>
      </c>
      <c r="BU72" s="64">
        <f t="shared" si="59"/>
        <v>0</v>
      </c>
      <c r="BV72" s="119">
        <f>SUM(Tableau1[[#This Row],[Achats confiserie]:[Achats boisson]])</f>
        <v>0</v>
      </c>
      <c r="BW72" s="58"/>
      <c r="BX72" s="69"/>
      <c r="BY72" s="58"/>
      <c r="BZ72" s="56">
        <f t="shared" si="60"/>
        <v>0</v>
      </c>
      <c r="CA72" s="66"/>
      <c r="CB72" s="66"/>
      <c r="CC72" s="56">
        <f t="shared" si="61"/>
        <v>0</v>
      </c>
      <c r="CD72" s="55"/>
      <c r="CE72" s="65"/>
      <c r="CF72" s="55"/>
      <c r="CG72" s="55"/>
      <c r="CH72" s="67">
        <f t="shared" si="62"/>
        <v>0</v>
      </c>
      <c r="CI72" s="68">
        <f t="shared" si="37"/>
        <v>0</v>
      </c>
      <c r="CJ72" s="55"/>
      <c r="CK72" s="55"/>
      <c r="CL72" s="55"/>
      <c r="CM72" s="55"/>
      <c r="CN72" s="55"/>
      <c r="CO72" s="68">
        <f t="shared" si="63"/>
        <v>0</v>
      </c>
      <c r="CP72" s="75">
        <f>SUM(Tableau1[[#This Row],[Fourniture eau]:[Energie (non précisé)]])</f>
        <v>0</v>
      </c>
      <c r="CQ72" s="55"/>
      <c r="CR72" s="55"/>
      <c r="CS72" s="55"/>
      <c r="CT72" s="55"/>
      <c r="CU72" s="55"/>
      <c r="CV72" s="55">
        <v>0</v>
      </c>
      <c r="CW72" s="55"/>
      <c r="CX72" s="68">
        <f>SUM(Tableau1[[#This Row],[Sous-traitance]:[Autres ou non précisé 12]])</f>
        <v>0</v>
      </c>
      <c r="CY72" s="65"/>
      <c r="CZ72" s="65"/>
      <c r="DA72" s="65"/>
      <c r="DB72" s="65"/>
      <c r="DC72" s="55"/>
      <c r="DD72" s="68">
        <f t="shared" si="43"/>
        <v>0</v>
      </c>
      <c r="DE72" s="55"/>
      <c r="DF72" s="65"/>
      <c r="DG72" s="65"/>
      <c r="DH72" s="65"/>
      <c r="DI72" s="68">
        <f>SUM(Tableau1[[#This Row],[Entretien et réparation matériel de projection]:[Autres ou non précisé 14]])</f>
        <v>0</v>
      </c>
      <c r="DJ72" s="58"/>
      <c r="DK72" s="58"/>
      <c r="DL72" s="69"/>
      <c r="DM72" s="68">
        <f t="shared" si="64"/>
        <v>0</v>
      </c>
      <c r="DN72" s="58"/>
      <c r="DO72" s="58"/>
      <c r="DP72" s="68">
        <f t="shared" si="65"/>
        <v>0</v>
      </c>
      <c r="DQ72" s="65"/>
      <c r="DR72" s="65"/>
      <c r="DS72" s="68">
        <f t="shared" si="66"/>
        <v>0</v>
      </c>
      <c r="DT72" s="65"/>
      <c r="DU72" s="65"/>
      <c r="DV72" s="65"/>
      <c r="DW72" s="68">
        <f>SUM(Tableau1[[#This Row],[Comission et courtage sur achats]:[Autres ou honoraires
 non précisé ]])</f>
        <v>0</v>
      </c>
      <c r="DX72" s="57"/>
      <c r="DY72" s="57"/>
      <c r="DZ72" s="65"/>
      <c r="EA72" s="65"/>
      <c r="EB72" s="65"/>
      <c r="EC72" s="68">
        <f t="shared" si="67"/>
        <v>0</v>
      </c>
      <c r="ED72" s="69"/>
      <c r="EE72" s="69"/>
      <c r="EF72" s="69"/>
      <c r="EG72" s="69"/>
      <c r="EH72" s="69"/>
      <c r="EI72" s="84">
        <f>SUM(Tableau1[[#This Row],[Transports sur films]:[autres ]])</f>
        <v>0</v>
      </c>
      <c r="EJ72" s="132">
        <v>0</v>
      </c>
      <c r="EK72" s="132"/>
      <c r="EL72" s="68">
        <f t="shared" si="68"/>
        <v>0</v>
      </c>
      <c r="EM72" s="65"/>
      <c r="EN72" s="65">
        <v>0</v>
      </c>
      <c r="EO72" s="65"/>
      <c r="EP72" s="65"/>
      <c r="EQ72" s="65"/>
      <c r="ER72" s="65"/>
      <c r="ES72" s="65"/>
      <c r="ET72" s="68">
        <f t="shared" si="69"/>
        <v>0</v>
      </c>
      <c r="EU72" s="65"/>
      <c r="EV72" s="65"/>
      <c r="EW72" s="65"/>
      <c r="EX72" s="65"/>
      <c r="EY72" s="65"/>
      <c r="EZ72" s="68">
        <f t="shared" si="46"/>
        <v>0</v>
      </c>
      <c r="FA72" s="65"/>
      <c r="FB72" s="65"/>
      <c r="FC72" s="70">
        <f t="shared" si="44"/>
        <v>0</v>
      </c>
      <c r="FD72" s="65"/>
      <c r="FE72" s="71">
        <f t="shared" si="70"/>
        <v>0</v>
      </c>
      <c r="FF72" s="72">
        <f t="shared" si="71"/>
        <v>0</v>
      </c>
      <c r="FG72" s="65"/>
      <c r="FH72" s="65"/>
      <c r="FI72" s="65"/>
      <c r="FJ72" s="56">
        <f t="shared" si="72"/>
        <v>0</v>
      </c>
      <c r="FK72" s="65"/>
      <c r="FL72" s="65"/>
      <c r="FM72" s="65"/>
      <c r="FN72" s="65"/>
      <c r="FO72" s="67">
        <f t="shared" si="73"/>
        <v>0</v>
      </c>
      <c r="FP72" s="57"/>
      <c r="FQ72" s="73"/>
      <c r="FR72" s="73"/>
      <c r="FS72" s="71">
        <f t="shared" si="74"/>
        <v>0</v>
      </c>
      <c r="FT72" s="91"/>
      <c r="FU72" s="91"/>
      <c r="FV72" s="67">
        <f>SUM(Tableau1[[#This Row],[Droits d''auteurs SACEM + cotisations SACEM]:[Autres ou non préciés]])</f>
        <v>0</v>
      </c>
      <c r="FW72" s="75">
        <f t="shared" si="75"/>
        <v>0</v>
      </c>
      <c r="FX72" s="74">
        <v>0</v>
      </c>
      <c r="FY72" s="74"/>
      <c r="FZ72" s="74"/>
      <c r="GA72" s="74"/>
      <c r="GB72" s="71">
        <f t="shared" si="76"/>
        <v>0</v>
      </c>
      <c r="GC72" s="92"/>
      <c r="GD72" s="92"/>
      <c r="GE72" s="67">
        <f t="shared" si="77"/>
        <v>0</v>
      </c>
      <c r="GF72" s="66"/>
      <c r="GG72" s="66"/>
      <c r="GH72" s="66"/>
      <c r="GI72" s="66"/>
      <c r="GJ72" s="77"/>
    </row>
    <row r="73" spans="1:192" ht="18.600000000000001" customHeight="1" x14ac:dyDescent="0.25">
      <c r="A73" s="89"/>
      <c r="B73" s="17"/>
      <c r="C73" s="50"/>
      <c r="D73" s="140"/>
      <c r="E73" s="51"/>
      <c r="F73" s="139">
        <f t="shared" si="45"/>
        <v>1</v>
      </c>
      <c r="G73" s="49"/>
      <c r="H73" s="50"/>
      <c r="I73" s="122"/>
      <c r="J73" s="49"/>
      <c r="K73" s="50"/>
      <c r="L73" s="50"/>
      <c r="M73" s="90"/>
      <c r="N73" s="50"/>
      <c r="O73" s="50"/>
      <c r="P73" s="90"/>
      <c r="Q73" s="52">
        <f t="shared" si="47"/>
        <v>0</v>
      </c>
      <c r="R73" s="52">
        <f t="shared" si="48"/>
        <v>0</v>
      </c>
      <c r="S73" s="53">
        <f t="shared" si="49"/>
        <v>0</v>
      </c>
      <c r="T73" s="54">
        <f t="shared" si="50"/>
        <v>0</v>
      </c>
      <c r="U73" s="115">
        <f>SUM(Tableau1[[#This Row],[Vente confiserie]:[Vente boisson]])</f>
        <v>0</v>
      </c>
      <c r="V73" s="55"/>
      <c r="W73" s="55"/>
      <c r="X73" s="135">
        <f>SUM(Tableau1[[#This Row],[Vente lunette]:[Location lunette]])</f>
        <v>0</v>
      </c>
      <c r="Y73" s="55"/>
      <c r="Z73" s="55"/>
      <c r="AA73" s="55"/>
      <c r="AB73" s="55"/>
      <c r="AC73" s="56">
        <f t="shared" si="38"/>
        <v>0</v>
      </c>
      <c r="AD73" s="57"/>
      <c r="AE73" s="57"/>
      <c r="AF73" s="57"/>
      <c r="AG73" s="57"/>
      <c r="AH73" s="57"/>
      <c r="AI73" s="57"/>
      <c r="AJ73" s="118">
        <f>(Tableau1[[#This Row],[Recette guichet ]]*1.1275177)-Tableau1[[#This Row],[Recette guichet ]]</f>
        <v>0</v>
      </c>
      <c r="AK73" s="57"/>
      <c r="AL73" s="56">
        <f t="shared" si="39"/>
        <v>0</v>
      </c>
      <c r="AM73" s="58"/>
      <c r="AN73" s="58"/>
      <c r="AO73" s="58"/>
      <c r="AP73" s="115">
        <f t="shared" si="51"/>
        <v>0</v>
      </c>
      <c r="AQ73" s="69"/>
      <c r="AR73" s="69"/>
      <c r="AS73" s="69"/>
      <c r="AT73" s="69"/>
      <c r="AU73" s="59">
        <f t="shared" si="52"/>
        <v>0</v>
      </c>
      <c r="AV73" s="60">
        <f t="shared" si="53"/>
        <v>0</v>
      </c>
      <c r="AW73" s="58"/>
      <c r="AX73" s="58"/>
      <c r="AY73" s="58"/>
      <c r="AZ73" s="60">
        <f t="shared" si="42"/>
        <v>0</v>
      </c>
      <c r="BA73" s="58"/>
      <c r="BB73" s="58"/>
      <c r="BC73" s="58"/>
      <c r="BD73" s="60">
        <f>SUM(Tableau1[[#This Row],[ticket/carte/abonnement périmé]:[Autres ou non précisé 5]])</f>
        <v>0</v>
      </c>
      <c r="BE73" s="58"/>
      <c r="BF73" s="58"/>
      <c r="BG73" s="58"/>
      <c r="BH73" s="61">
        <f t="shared" si="54"/>
        <v>0</v>
      </c>
      <c r="BI73" s="120"/>
      <c r="BJ73" s="120"/>
      <c r="BK73" s="62">
        <f t="shared" si="55"/>
        <v>0</v>
      </c>
      <c r="BL73" s="120"/>
      <c r="BM73" s="120"/>
      <c r="BN73" s="120"/>
      <c r="BO73" s="120"/>
      <c r="BP73" s="120"/>
      <c r="BQ73" s="63"/>
      <c r="BR73" s="52">
        <f t="shared" si="56"/>
        <v>0</v>
      </c>
      <c r="BS73" s="52">
        <f t="shared" si="57"/>
        <v>0</v>
      </c>
      <c r="BT73" s="61">
        <f t="shared" si="58"/>
        <v>0</v>
      </c>
      <c r="BU73" s="64">
        <f t="shared" si="59"/>
        <v>0</v>
      </c>
      <c r="BV73" s="119">
        <f>SUM(Tableau1[[#This Row],[Achats confiserie]:[Achats boisson]])</f>
        <v>0</v>
      </c>
      <c r="BW73" s="58"/>
      <c r="BX73" s="69"/>
      <c r="BY73" s="58"/>
      <c r="BZ73" s="56">
        <f t="shared" si="60"/>
        <v>0</v>
      </c>
      <c r="CA73" s="66"/>
      <c r="CB73" s="66"/>
      <c r="CC73" s="56">
        <f t="shared" si="61"/>
        <v>0</v>
      </c>
      <c r="CD73" s="55"/>
      <c r="CE73" s="65"/>
      <c r="CF73" s="55"/>
      <c r="CG73" s="55"/>
      <c r="CH73" s="67">
        <f t="shared" si="62"/>
        <v>0</v>
      </c>
      <c r="CI73" s="68">
        <f t="shared" si="37"/>
        <v>0</v>
      </c>
      <c r="CJ73" s="55"/>
      <c r="CK73" s="55"/>
      <c r="CL73" s="55"/>
      <c r="CM73" s="55"/>
      <c r="CN73" s="55"/>
      <c r="CO73" s="68">
        <f t="shared" si="63"/>
        <v>0</v>
      </c>
      <c r="CP73" s="75">
        <f>SUM(Tableau1[[#This Row],[Fourniture eau]:[Energie (non précisé)]])</f>
        <v>0</v>
      </c>
      <c r="CQ73" s="55"/>
      <c r="CR73" s="55"/>
      <c r="CS73" s="55"/>
      <c r="CT73" s="55"/>
      <c r="CU73" s="55"/>
      <c r="CV73" s="55">
        <v>0</v>
      </c>
      <c r="CW73" s="55"/>
      <c r="CX73" s="68">
        <f>SUM(Tableau1[[#This Row],[Sous-traitance]:[Autres ou non précisé 12]])</f>
        <v>0</v>
      </c>
      <c r="CY73" s="65"/>
      <c r="CZ73" s="65"/>
      <c r="DA73" s="65"/>
      <c r="DB73" s="65"/>
      <c r="DC73" s="55"/>
      <c r="DD73" s="68">
        <f t="shared" si="43"/>
        <v>0</v>
      </c>
      <c r="DE73" s="55"/>
      <c r="DF73" s="65"/>
      <c r="DG73" s="65"/>
      <c r="DH73" s="65"/>
      <c r="DI73" s="68">
        <f>SUM(Tableau1[[#This Row],[Entretien et réparation matériel de projection]:[Autres ou non précisé 14]])</f>
        <v>0</v>
      </c>
      <c r="DJ73" s="58"/>
      <c r="DK73" s="58"/>
      <c r="DL73" s="69"/>
      <c r="DM73" s="68">
        <f t="shared" si="64"/>
        <v>0</v>
      </c>
      <c r="DN73" s="58"/>
      <c r="DO73" s="58"/>
      <c r="DP73" s="68">
        <f t="shared" si="65"/>
        <v>0</v>
      </c>
      <c r="DQ73" s="65"/>
      <c r="DR73" s="65"/>
      <c r="DS73" s="68">
        <f t="shared" si="66"/>
        <v>0</v>
      </c>
      <c r="DT73" s="65"/>
      <c r="DU73" s="65"/>
      <c r="DV73" s="65"/>
      <c r="DW73" s="68">
        <f>SUM(Tableau1[[#This Row],[Comission et courtage sur achats]:[Autres ou honoraires
 non précisé ]])</f>
        <v>0</v>
      </c>
      <c r="DX73" s="57"/>
      <c r="DY73" s="57"/>
      <c r="DZ73" s="65"/>
      <c r="EA73" s="65"/>
      <c r="EB73" s="65"/>
      <c r="EC73" s="68">
        <f t="shared" si="67"/>
        <v>0</v>
      </c>
      <c r="ED73" s="69"/>
      <c r="EE73" s="69"/>
      <c r="EF73" s="69"/>
      <c r="EG73" s="69"/>
      <c r="EH73" s="69"/>
      <c r="EI73" s="84">
        <f>SUM(Tableau1[[#This Row],[Transports sur films]:[autres ]])</f>
        <v>0</v>
      </c>
      <c r="EJ73" s="132">
        <v>0</v>
      </c>
      <c r="EK73" s="132"/>
      <c r="EL73" s="68">
        <f t="shared" si="68"/>
        <v>0</v>
      </c>
      <c r="EM73" s="65"/>
      <c r="EN73" s="65">
        <v>0</v>
      </c>
      <c r="EO73" s="65"/>
      <c r="EP73" s="65"/>
      <c r="EQ73" s="65"/>
      <c r="ER73" s="65"/>
      <c r="ES73" s="65"/>
      <c r="ET73" s="68">
        <f t="shared" si="69"/>
        <v>0</v>
      </c>
      <c r="EU73" s="65"/>
      <c r="EV73" s="65"/>
      <c r="EW73" s="65"/>
      <c r="EX73" s="65"/>
      <c r="EY73" s="65"/>
      <c r="EZ73" s="68">
        <f t="shared" si="46"/>
        <v>0</v>
      </c>
      <c r="FA73" s="65"/>
      <c r="FB73" s="65"/>
      <c r="FC73" s="70">
        <f t="shared" si="44"/>
        <v>0</v>
      </c>
      <c r="FD73" s="65"/>
      <c r="FE73" s="71">
        <f t="shared" si="70"/>
        <v>0</v>
      </c>
      <c r="FF73" s="72">
        <f t="shared" si="71"/>
        <v>0</v>
      </c>
      <c r="FG73" s="65"/>
      <c r="FH73" s="65"/>
      <c r="FI73" s="65"/>
      <c r="FJ73" s="56">
        <f t="shared" si="72"/>
        <v>0</v>
      </c>
      <c r="FK73" s="65"/>
      <c r="FL73" s="65"/>
      <c r="FM73" s="65"/>
      <c r="FN73" s="65"/>
      <c r="FO73" s="67">
        <f t="shared" si="73"/>
        <v>0</v>
      </c>
      <c r="FP73" s="57"/>
      <c r="FQ73" s="73"/>
      <c r="FR73" s="73"/>
      <c r="FS73" s="71">
        <f t="shared" si="74"/>
        <v>0</v>
      </c>
      <c r="FT73" s="91"/>
      <c r="FU73" s="91"/>
      <c r="FV73" s="67">
        <f>SUM(Tableau1[[#This Row],[Droits d''auteurs SACEM + cotisations SACEM]:[Autres ou non préciés]])</f>
        <v>0</v>
      </c>
      <c r="FW73" s="75">
        <f t="shared" si="75"/>
        <v>0</v>
      </c>
      <c r="FX73" s="74">
        <v>0</v>
      </c>
      <c r="FY73" s="74"/>
      <c r="FZ73" s="74"/>
      <c r="GA73" s="74"/>
      <c r="GB73" s="71">
        <f t="shared" si="76"/>
        <v>0</v>
      </c>
      <c r="GC73" s="92"/>
      <c r="GD73" s="92"/>
      <c r="GE73" s="67">
        <f t="shared" si="77"/>
        <v>0</v>
      </c>
      <c r="GF73" s="66"/>
      <c r="GG73" s="66"/>
      <c r="GH73" s="66"/>
      <c r="GI73" s="66"/>
      <c r="GJ73" s="77"/>
    </row>
    <row r="74" spans="1:192" ht="18.600000000000001" customHeight="1" x14ac:dyDescent="0.25">
      <c r="A74" s="89"/>
      <c r="B74" s="17"/>
      <c r="C74" s="50"/>
      <c r="D74" s="140"/>
      <c r="E74" s="51"/>
      <c r="F74" s="139">
        <f t="shared" si="45"/>
        <v>1</v>
      </c>
      <c r="G74" s="49"/>
      <c r="H74" s="50"/>
      <c r="I74" s="122"/>
      <c r="J74" s="49"/>
      <c r="K74" s="50"/>
      <c r="L74" s="50"/>
      <c r="M74" s="90"/>
      <c r="N74" s="50"/>
      <c r="O74" s="50"/>
      <c r="P74" s="90"/>
      <c r="Q74" s="52">
        <f t="shared" si="47"/>
        <v>0</v>
      </c>
      <c r="R74" s="52">
        <f t="shared" si="48"/>
        <v>0</v>
      </c>
      <c r="S74" s="53">
        <f t="shared" si="49"/>
        <v>0</v>
      </c>
      <c r="T74" s="54">
        <f t="shared" si="50"/>
        <v>0</v>
      </c>
      <c r="U74" s="115">
        <f>SUM(Tableau1[[#This Row],[Vente confiserie]:[Vente boisson]])</f>
        <v>0</v>
      </c>
      <c r="V74" s="55"/>
      <c r="W74" s="55"/>
      <c r="X74" s="135">
        <f>SUM(Tableau1[[#This Row],[Vente lunette]:[Location lunette]])</f>
        <v>0</v>
      </c>
      <c r="Y74" s="55"/>
      <c r="Z74" s="55"/>
      <c r="AA74" s="55"/>
      <c r="AB74" s="55"/>
      <c r="AC74" s="56">
        <f t="shared" si="38"/>
        <v>0</v>
      </c>
      <c r="AD74" s="57"/>
      <c r="AE74" s="57"/>
      <c r="AF74" s="57"/>
      <c r="AG74" s="57"/>
      <c r="AH74" s="57"/>
      <c r="AI74" s="57"/>
      <c r="AJ74" s="118">
        <f>(Tableau1[[#This Row],[Recette guichet ]]*1.1275177)-Tableau1[[#This Row],[Recette guichet ]]</f>
        <v>0</v>
      </c>
      <c r="AK74" s="57"/>
      <c r="AL74" s="56">
        <f t="shared" si="39"/>
        <v>0</v>
      </c>
      <c r="AM74" s="58"/>
      <c r="AN74" s="58"/>
      <c r="AO74" s="58"/>
      <c r="AP74" s="115">
        <f t="shared" si="51"/>
        <v>0</v>
      </c>
      <c r="AQ74" s="69"/>
      <c r="AR74" s="69"/>
      <c r="AS74" s="69"/>
      <c r="AT74" s="69"/>
      <c r="AU74" s="59">
        <f t="shared" si="52"/>
        <v>0</v>
      </c>
      <c r="AV74" s="60">
        <f t="shared" si="53"/>
        <v>0</v>
      </c>
      <c r="AW74" s="58"/>
      <c r="AX74" s="58"/>
      <c r="AY74" s="58"/>
      <c r="AZ74" s="60">
        <f t="shared" si="42"/>
        <v>0</v>
      </c>
      <c r="BA74" s="58"/>
      <c r="BB74" s="58"/>
      <c r="BC74" s="58"/>
      <c r="BD74" s="60">
        <f>SUM(Tableau1[[#This Row],[ticket/carte/abonnement périmé]:[Autres ou non précisé 5]])</f>
        <v>0</v>
      </c>
      <c r="BE74" s="58"/>
      <c r="BF74" s="58"/>
      <c r="BG74" s="58"/>
      <c r="BH74" s="61">
        <f t="shared" si="54"/>
        <v>0</v>
      </c>
      <c r="BI74" s="120"/>
      <c r="BJ74" s="120"/>
      <c r="BK74" s="62">
        <f t="shared" si="55"/>
        <v>0</v>
      </c>
      <c r="BL74" s="120"/>
      <c r="BM74" s="120"/>
      <c r="BN74" s="120"/>
      <c r="BO74" s="120"/>
      <c r="BP74" s="120"/>
      <c r="BQ74" s="63"/>
      <c r="BR74" s="52">
        <f t="shared" si="56"/>
        <v>0</v>
      </c>
      <c r="BS74" s="52">
        <f t="shared" si="57"/>
        <v>0</v>
      </c>
      <c r="BT74" s="61">
        <f t="shared" si="58"/>
        <v>0</v>
      </c>
      <c r="BU74" s="64">
        <f t="shared" si="59"/>
        <v>0</v>
      </c>
      <c r="BV74" s="119">
        <f>SUM(Tableau1[[#This Row],[Achats confiserie]:[Achats boisson]])</f>
        <v>0</v>
      </c>
      <c r="BW74" s="58"/>
      <c r="BX74" s="69"/>
      <c r="BY74" s="58"/>
      <c r="BZ74" s="56">
        <f t="shared" si="60"/>
        <v>0</v>
      </c>
      <c r="CA74" s="66"/>
      <c r="CB74" s="66"/>
      <c r="CC74" s="56">
        <f t="shared" si="61"/>
        <v>0</v>
      </c>
      <c r="CD74" s="55"/>
      <c r="CE74" s="65"/>
      <c r="CF74" s="55"/>
      <c r="CG74" s="55"/>
      <c r="CH74" s="67">
        <f t="shared" si="62"/>
        <v>0</v>
      </c>
      <c r="CI74" s="68">
        <f t="shared" si="37"/>
        <v>0</v>
      </c>
      <c r="CJ74" s="55"/>
      <c r="CK74" s="55"/>
      <c r="CL74" s="55"/>
      <c r="CM74" s="55"/>
      <c r="CN74" s="55"/>
      <c r="CO74" s="68">
        <f t="shared" si="63"/>
        <v>0</v>
      </c>
      <c r="CP74" s="75">
        <f>SUM(Tableau1[[#This Row],[Fourniture eau]:[Energie (non précisé)]])</f>
        <v>0</v>
      </c>
      <c r="CQ74" s="55"/>
      <c r="CR74" s="55"/>
      <c r="CS74" s="55"/>
      <c r="CT74" s="55"/>
      <c r="CU74" s="55"/>
      <c r="CV74" s="55">
        <v>0</v>
      </c>
      <c r="CW74" s="55"/>
      <c r="CX74" s="68">
        <f>SUM(Tableau1[[#This Row],[Sous-traitance]:[Autres ou non précisé 12]])</f>
        <v>0</v>
      </c>
      <c r="CY74" s="65"/>
      <c r="CZ74" s="65"/>
      <c r="DA74" s="65"/>
      <c r="DB74" s="65"/>
      <c r="DC74" s="55"/>
      <c r="DD74" s="68">
        <f t="shared" si="43"/>
        <v>0</v>
      </c>
      <c r="DE74" s="55"/>
      <c r="DF74" s="65"/>
      <c r="DG74" s="65"/>
      <c r="DH74" s="65"/>
      <c r="DI74" s="68">
        <f>SUM(Tableau1[[#This Row],[Entretien et réparation matériel de projection]:[Autres ou non précisé 14]])</f>
        <v>0</v>
      </c>
      <c r="DJ74" s="58"/>
      <c r="DK74" s="58"/>
      <c r="DL74" s="69"/>
      <c r="DM74" s="68">
        <f t="shared" si="64"/>
        <v>0</v>
      </c>
      <c r="DN74" s="58"/>
      <c r="DO74" s="58"/>
      <c r="DP74" s="68">
        <f t="shared" si="65"/>
        <v>0</v>
      </c>
      <c r="DQ74" s="65"/>
      <c r="DR74" s="65"/>
      <c r="DS74" s="68">
        <f t="shared" si="66"/>
        <v>0</v>
      </c>
      <c r="DT74" s="65"/>
      <c r="DU74" s="65"/>
      <c r="DV74" s="65"/>
      <c r="DW74" s="68">
        <f>SUM(Tableau1[[#This Row],[Comission et courtage sur achats]:[Autres ou honoraires
 non précisé ]])</f>
        <v>0</v>
      </c>
      <c r="DX74" s="57"/>
      <c r="DY74" s="57"/>
      <c r="DZ74" s="65"/>
      <c r="EA74" s="65"/>
      <c r="EB74" s="65"/>
      <c r="EC74" s="68">
        <f t="shared" si="67"/>
        <v>0</v>
      </c>
      <c r="ED74" s="69"/>
      <c r="EE74" s="69"/>
      <c r="EF74" s="69"/>
      <c r="EG74" s="69"/>
      <c r="EH74" s="69"/>
      <c r="EI74" s="84">
        <f>SUM(Tableau1[[#This Row],[Transports sur films]:[autres ]])</f>
        <v>0</v>
      </c>
      <c r="EJ74" s="132">
        <v>0</v>
      </c>
      <c r="EK74" s="132"/>
      <c r="EL74" s="68">
        <f t="shared" si="68"/>
        <v>0</v>
      </c>
      <c r="EM74" s="65"/>
      <c r="EN74" s="65">
        <v>0</v>
      </c>
      <c r="EO74" s="65"/>
      <c r="EP74" s="65"/>
      <c r="EQ74" s="65"/>
      <c r="ER74" s="65"/>
      <c r="ES74" s="65"/>
      <c r="ET74" s="68">
        <f t="shared" si="69"/>
        <v>0</v>
      </c>
      <c r="EU74" s="65"/>
      <c r="EV74" s="65"/>
      <c r="EW74" s="65"/>
      <c r="EX74" s="65"/>
      <c r="EY74" s="65"/>
      <c r="EZ74" s="68">
        <f t="shared" si="46"/>
        <v>0</v>
      </c>
      <c r="FA74" s="65"/>
      <c r="FB74" s="65"/>
      <c r="FC74" s="70">
        <f t="shared" si="44"/>
        <v>0</v>
      </c>
      <c r="FD74" s="65"/>
      <c r="FE74" s="71">
        <f t="shared" si="70"/>
        <v>0</v>
      </c>
      <c r="FF74" s="72">
        <f t="shared" si="71"/>
        <v>0</v>
      </c>
      <c r="FG74" s="65"/>
      <c r="FH74" s="65"/>
      <c r="FI74" s="65"/>
      <c r="FJ74" s="56">
        <f t="shared" si="72"/>
        <v>0</v>
      </c>
      <c r="FK74" s="65"/>
      <c r="FL74" s="65"/>
      <c r="FM74" s="65"/>
      <c r="FN74" s="65"/>
      <c r="FO74" s="67">
        <f t="shared" si="73"/>
        <v>0</v>
      </c>
      <c r="FP74" s="57"/>
      <c r="FQ74" s="73"/>
      <c r="FR74" s="73"/>
      <c r="FS74" s="71">
        <f t="shared" si="74"/>
        <v>0</v>
      </c>
      <c r="FT74" s="91"/>
      <c r="FU74" s="91"/>
      <c r="FV74" s="67">
        <f>SUM(Tableau1[[#This Row],[Droits d''auteurs SACEM + cotisations SACEM]:[Autres ou non préciés]])</f>
        <v>0</v>
      </c>
      <c r="FW74" s="75">
        <f t="shared" si="75"/>
        <v>0</v>
      </c>
      <c r="FX74" s="74">
        <v>0</v>
      </c>
      <c r="FY74" s="74"/>
      <c r="FZ74" s="74"/>
      <c r="GA74" s="74"/>
      <c r="GB74" s="71">
        <f t="shared" si="76"/>
        <v>0</v>
      </c>
      <c r="GC74" s="92"/>
      <c r="GD74" s="92"/>
      <c r="GE74" s="67">
        <f t="shared" si="77"/>
        <v>0</v>
      </c>
      <c r="GF74" s="66"/>
      <c r="GG74" s="66"/>
      <c r="GH74" s="66"/>
      <c r="GI74" s="66"/>
      <c r="GJ74" s="77"/>
    </row>
    <row r="75" spans="1:192" ht="18.600000000000001" customHeight="1" x14ac:dyDescent="0.25">
      <c r="A75" s="89"/>
      <c r="B75" s="17"/>
      <c r="C75" s="50"/>
      <c r="D75" s="140"/>
      <c r="E75" s="51"/>
      <c r="F75" s="139">
        <f t="shared" si="45"/>
        <v>1</v>
      </c>
      <c r="G75" s="49"/>
      <c r="H75" s="50"/>
      <c r="I75" s="122"/>
      <c r="J75" s="49"/>
      <c r="K75" s="50"/>
      <c r="L75" s="50"/>
      <c r="M75" s="90"/>
      <c r="N75" s="50"/>
      <c r="O75" s="50"/>
      <c r="P75" s="90"/>
      <c r="Q75" s="52">
        <f t="shared" si="47"/>
        <v>0</v>
      </c>
      <c r="R75" s="52">
        <f t="shared" si="48"/>
        <v>0</v>
      </c>
      <c r="S75" s="53">
        <f t="shared" si="49"/>
        <v>0</v>
      </c>
      <c r="T75" s="54">
        <f t="shared" si="50"/>
        <v>0</v>
      </c>
      <c r="U75" s="115">
        <f>SUM(Tableau1[[#This Row],[Vente confiserie]:[Vente boisson]])</f>
        <v>0</v>
      </c>
      <c r="V75" s="55"/>
      <c r="W75" s="55"/>
      <c r="X75" s="135">
        <f>SUM(Tableau1[[#This Row],[Vente lunette]:[Location lunette]])</f>
        <v>0</v>
      </c>
      <c r="Y75" s="55"/>
      <c r="Z75" s="55"/>
      <c r="AA75" s="55"/>
      <c r="AB75" s="55"/>
      <c r="AC75" s="56">
        <f t="shared" si="38"/>
        <v>0</v>
      </c>
      <c r="AD75" s="57"/>
      <c r="AE75" s="57"/>
      <c r="AF75" s="57"/>
      <c r="AG75" s="57"/>
      <c r="AH75" s="57"/>
      <c r="AI75" s="57"/>
      <c r="AJ75" s="118">
        <f>(Tableau1[[#This Row],[Recette guichet ]]*1.1275177)-Tableau1[[#This Row],[Recette guichet ]]</f>
        <v>0</v>
      </c>
      <c r="AK75" s="57"/>
      <c r="AL75" s="56">
        <f t="shared" si="39"/>
        <v>0</v>
      </c>
      <c r="AM75" s="58"/>
      <c r="AN75" s="58"/>
      <c r="AO75" s="58"/>
      <c r="AP75" s="115">
        <f t="shared" si="51"/>
        <v>0</v>
      </c>
      <c r="AQ75" s="69"/>
      <c r="AR75" s="69"/>
      <c r="AS75" s="69"/>
      <c r="AT75" s="69"/>
      <c r="AU75" s="59">
        <f t="shared" si="52"/>
        <v>0</v>
      </c>
      <c r="AV75" s="60">
        <f t="shared" si="53"/>
        <v>0</v>
      </c>
      <c r="AW75" s="58"/>
      <c r="AX75" s="58"/>
      <c r="AY75" s="58"/>
      <c r="AZ75" s="60">
        <f t="shared" si="42"/>
        <v>0</v>
      </c>
      <c r="BA75" s="58"/>
      <c r="BB75" s="58"/>
      <c r="BC75" s="58"/>
      <c r="BD75" s="60">
        <f>SUM(Tableau1[[#This Row],[ticket/carte/abonnement périmé]:[Autres ou non précisé 5]])</f>
        <v>0</v>
      </c>
      <c r="BE75" s="58"/>
      <c r="BF75" s="58"/>
      <c r="BG75" s="58"/>
      <c r="BH75" s="61">
        <f t="shared" si="54"/>
        <v>0</v>
      </c>
      <c r="BI75" s="120"/>
      <c r="BJ75" s="120"/>
      <c r="BK75" s="62">
        <f t="shared" si="55"/>
        <v>0</v>
      </c>
      <c r="BL75" s="120"/>
      <c r="BM75" s="120"/>
      <c r="BN75" s="120"/>
      <c r="BO75" s="120"/>
      <c r="BP75" s="120"/>
      <c r="BQ75" s="63"/>
      <c r="BR75" s="52">
        <f t="shared" si="56"/>
        <v>0</v>
      </c>
      <c r="BS75" s="52">
        <f t="shared" si="57"/>
        <v>0</v>
      </c>
      <c r="BT75" s="61">
        <f t="shared" si="58"/>
        <v>0</v>
      </c>
      <c r="BU75" s="64">
        <f t="shared" si="59"/>
        <v>0</v>
      </c>
      <c r="BV75" s="119">
        <f>SUM(Tableau1[[#This Row],[Achats confiserie]:[Achats boisson]])</f>
        <v>0</v>
      </c>
      <c r="BW75" s="58"/>
      <c r="BX75" s="69"/>
      <c r="BY75" s="58"/>
      <c r="BZ75" s="56">
        <f t="shared" si="60"/>
        <v>0</v>
      </c>
      <c r="CA75" s="66"/>
      <c r="CB75" s="66"/>
      <c r="CC75" s="56">
        <f t="shared" si="61"/>
        <v>0</v>
      </c>
      <c r="CD75" s="55"/>
      <c r="CE75" s="65"/>
      <c r="CF75" s="55"/>
      <c r="CG75" s="55"/>
      <c r="CH75" s="67">
        <f t="shared" si="62"/>
        <v>0</v>
      </c>
      <c r="CI75" s="68">
        <f t="shared" si="37"/>
        <v>0</v>
      </c>
      <c r="CJ75" s="55"/>
      <c r="CK75" s="55"/>
      <c r="CL75" s="55"/>
      <c r="CM75" s="55"/>
      <c r="CN75" s="55"/>
      <c r="CO75" s="68">
        <f t="shared" si="63"/>
        <v>0</v>
      </c>
      <c r="CP75" s="75">
        <f>SUM(Tableau1[[#This Row],[Fourniture eau]:[Energie (non précisé)]])</f>
        <v>0</v>
      </c>
      <c r="CQ75" s="55"/>
      <c r="CR75" s="55"/>
      <c r="CS75" s="55"/>
      <c r="CT75" s="55"/>
      <c r="CU75" s="55"/>
      <c r="CV75" s="55">
        <v>0</v>
      </c>
      <c r="CW75" s="55"/>
      <c r="CX75" s="68">
        <f>SUM(Tableau1[[#This Row],[Sous-traitance]:[Autres ou non précisé 12]])</f>
        <v>0</v>
      </c>
      <c r="CY75" s="65"/>
      <c r="CZ75" s="65"/>
      <c r="DA75" s="65"/>
      <c r="DB75" s="65"/>
      <c r="DC75" s="55"/>
      <c r="DD75" s="68">
        <f t="shared" si="43"/>
        <v>0</v>
      </c>
      <c r="DE75" s="55"/>
      <c r="DF75" s="65"/>
      <c r="DG75" s="65"/>
      <c r="DH75" s="65"/>
      <c r="DI75" s="68">
        <f>SUM(Tableau1[[#This Row],[Entretien et réparation matériel de projection]:[Autres ou non précisé 14]])</f>
        <v>0</v>
      </c>
      <c r="DJ75" s="58"/>
      <c r="DK75" s="58"/>
      <c r="DL75" s="69"/>
      <c r="DM75" s="68">
        <f t="shared" si="64"/>
        <v>0</v>
      </c>
      <c r="DN75" s="58"/>
      <c r="DO75" s="58"/>
      <c r="DP75" s="68">
        <f t="shared" si="65"/>
        <v>0</v>
      </c>
      <c r="DQ75" s="65"/>
      <c r="DR75" s="65"/>
      <c r="DS75" s="68">
        <f t="shared" si="66"/>
        <v>0</v>
      </c>
      <c r="DT75" s="65"/>
      <c r="DU75" s="65"/>
      <c r="DV75" s="65"/>
      <c r="DW75" s="68">
        <f>SUM(Tableau1[[#This Row],[Comission et courtage sur achats]:[Autres ou honoraires
 non précisé ]])</f>
        <v>0</v>
      </c>
      <c r="DX75" s="57"/>
      <c r="DY75" s="57"/>
      <c r="DZ75" s="65"/>
      <c r="EA75" s="65"/>
      <c r="EB75" s="65"/>
      <c r="EC75" s="68">
        <f t="shared" si="67"/>
        <v>0</v>
      </c>
      <c r="ED75" s="69"/>
      <c r="EE75" s="69"/>
      <c r="EF75" s="69"/>
      <c r="EG75" s="69"/>
      <c r="EH75" s="69"/>
      <c r="EI75" s="84">
        <f>SUM(Tableau1[[#This Row],[Transports sur films]:[autres ]])</f>
        <v>0</v>
      </c>
      <c r="EJ75" s="132">
        <v>0</v>
      </c>
      <c r="EK75" s="132"/>
      <c r="EL75" s="68">
        <f t="shared" si="68"/>
        <v>0</v>
      </c>
      <c r="EM75" s="65"/>
      <c r="EN75" s="65">
        <v>0</v>
      </c>
      <c r="EO75" s="65"/>
      <c r="EP75" s="65"/>
      <c r="EQ75" s="65"/>
      <c r="ER75" s="65"/>
      <c r="ES75" s="65"/>
      <c r="ET75" s="68">
        <f t="shared" si="69"/>
        <v>0</v>
      </c>
      <c r="EU75" s="65"/>
      <c r="EV75" s="65"/>
      <c r="EW75" s="65"/>
      <c r="EX75" s="65"/>
      <c r="EY75" s="65"/>
      <c r="EZ75" s="68">
        <f t="shared" si="46"/>
        <v>0</v>
      </c>
      <c r="FA75" s="65"/>
      <c r="FB75" s="65"/>
      <c r="FC75" s="70">
        <f t="shared" si="44"/>
        <v>0</v>
      </c>
      <c r="FD75" s="65"/>
      <c r="FE75" s="71">
        <f t="shared" si="70"/>
        <v>0</v>
      </c>
      <c r="FF75" s="72">
        <f t="shared" si="71"/>
        <v>0</v>
      </c>
      <c r="FG75" s="65"/>
      <c r="FH75" s="65"/>
      <c r="FI75" s="65"/>
      <c r="FJ75" s="56">
        <f t="shared" si="72"/>
        <v>0</v>
      </c>
      <c r="FK75" s="65"/>
      <c r="FL75" s="65"/>
      <c r="FM75" s="65"/>
      <c r="FN75" s="65"/>
      <c r="FO75" s="67">
        <f t="shared" si="73"/>
        <v>0</v>
      </c>
      <c r="FP75" s="57"/>
      <c r="FQ75" s="73"/>
      <c r="FR75" s="73"/>
      <c r="FS75" s="71">
        <f t="shared" si="74"/>
        <v>0</v>
      </c>
      <c r="FT75" s="91"/>
      <c r="FU75" s="91"/>
      <c r="FV75" s="67">
        <f>SUM(Tableau1[[#This Row],[Droits d''auteurs SACEM + cotisations SACEM]:[Autres ou non préciés]])</f>
        <v>0</v>
      </c>
      <c r="FW75" s="75">
        <f t="shared" si="75"/>
        <v>0</v>
      </c>
      <c r="FX75" s="74">
        <v>0</v>
      </c>
      <c r="FY75" s="74"/>
      <c r="FZ75" s="74"/>
      <c r="GA75" s="74"/>
      <c r="GB75" s="71">
        <f t="shared" si="76"/>
        <v>0</v>
      </c>
      <c r="GC75" s="92"/>
      <c r="GD75" s="92"/>
      <c r="GE75" s="67">
        <f t="shared" si="77"/>
        <v>0</v>
      </c>
      <c r="GF75" s="66"/>
      <c r="GG75" s="66"/>
      <c r="GH75" s="66"/>
      <c r="GI75" s="66"/>
      <c r="GJ75" s="77"/>
    </row>
    <row r="76" spans="1:192" ht="18.600000000000001" customHeight="1" x14ac:dyDescent="0.25">
      <c r="A76" s="89"/>
      <c r="B76" s="17"/>
      <c r="C76" s="50"/>
      <c r="D76" s="140"/>
      <c r="E76" s="51"/>
      <c r="F76" s="139">
        <f t="shared" si="45"/>
        <v>1</v>
      </c>
      <c r="G76" s="49"/>
      <c r="H76" s="50"/>
      <c r="I76" s="122"/>
      <c r="J76" s="49"/>
      <c r="K76" s="50"/>
      <c r="L76" s="50"/>
      <c r="M76" s="90"/>
      <c r="N76" s="50"/>
      <c r="O76" s="50"/>
      <c r="P76" s="90"/>
      <c r="Q76" s="52">
        <f t="shared" si="47"/>
        <v>0</v>
      </c>
      <c r="R76" s="52">
        <f t="shared" si="48"/>
        <v>0</v>
      </c>
      <c r="S76" s="53">
        <f t="shared" si="49"/>
        <v>0</v>
      </c>
      <c r="T76" s="54">
        <f t="shared" si="50"/>
        <v>0</v>
      </c>
      <c r="U76" s="115">
        <f>SUM(Tableau1[[#This Row],[Vente confiserie]:[Vente boisson]])</f>
        <v>0</v>
      </c>
      <c r="V76" s="55"/>
      <c r="W76" s="55"/>
      <c r="X76" s="135">
        <f>SUM(Tableau1[[#This Row],[Vente lunette]:[Location lunette]])</f>
        <v>0</v>
      </c>
      <c r="Y76" s="55"/>
      <c r="Z76" s="55"/>
      <c r="AA76" s="55"/>
      <c r="AB76" s="55"/>
      <c r="AC76" s="56">
        <f t="shared" si="38"/>
        <v>0</v>
      </c>
      <c r="AD76" s="57"/>
      <c r="AE76" s="57"/>
      <c r="AF76" s="57"/>
      <c r="AG76" s="57"/>
      <c r="AH76" s="57"/>
      <c r="AI76" s="57"/>
      <c r="AJ76" s="118">
        <f>(Tableau1[[#This Row],[Recette guichet ]]*1.1275177)-Tableau1[[#This Row],[Recette guichet ]]</f>
        <v>0</v>
      </c>
      <c r="AK76" s="57"/>
      <c r="AL76" s="56">
        <f t="shared" si="39"/>
        <v>0</v>
      </c>
      <c r="AM76" s="58"/>
      <c r="AN76" s="58"/>
      <c r="AO76" s="58"/>
      <c r="AP76" s="115">
        <f t="shared" si="51"/>
        <v>0</v>
      </c>
      <c r="AQ76" s="69"/>
      <c r="AR76" s="69"/>
      <c r="AS76" s="69"/>
      <c r="AT76" s="69"/>
      <c r="AU76" s="59">
        <f t="shared" si="52"/>
        <v>0</v>
      </c>
      <c r="AV76" s="60">
        <f t="shared" si="53"/>
        <v>0</v>
      </c>
      <c r="AW76" s="58"/>
      <c r="AX76" s="58"/>
      <c r="AY76" s="58"/>
      <c r="AZ76" s="60">
        <f t="shared" si="42"/>
        <v>0</v>
      </c>
      <c r="BA76" s="58"/>
      <c r="BB76" s="58"/>
      <c r="BC76" s="58"/>
      <c r="BD76" s="60">
        <f>SUM(Tableau1[[#This Row],[ticket/carte/abonnement périmé]:[Autres ou non précisé 5]])</f>
        <v>0</v>
      </c>
      <c r="BE76" s="58"/>
      <c r="BF76" s="58"/>
      <c r="BG76" s="58"/>
      <c r="BH76" s="61">
        <f t="shared" si="54"/>
        <v>0</v>
      </c>
      <c r="BI76" s="120"/>
      <c r="BJ76" s="120"/>
      <c r="BK76" s="62">
        <f t="shared" si="55"/>
        <v>0</v>
      </c>
      <c r="BL76" s="120"/>
      <c r="BM76" s="120"/>
      <c r="BN76" s="120"/>
      <c r="BO76" s="120"/>
      <c r="BP76" s="120"/>
      <c r="BQ76" s="63"/>
      <c r="BR76" s="52">
        <f t="shared" si="56"/>
        <v>0</v>
      </c>
      <c r="BS76" s="52">
        <f t="shared" si="57"/>
        <v>0</v>
      </c>
      <c r="BT76" s="61">
        <f t="shared" si="58"/>
        <v>0</v>
      </c>
      <c r="BU76" s="64">
        <f t="shared" si="59"/>
        <v>0</v>
      </c>
      <c r="BV76" s="119">
        <f>SUM(Tableau1[[#This Row],[Achats confiserie]:[Achats boisson]])</f>
        <v>0</v>
      </c>
      <c r="BW76" s="58"/>
      <c r="BX76" s="69"/>
      <c r="BY76" s="58"/>
      <c r="BZ76" s="56">
        <f t="shared" si="60"/>
        <v>0</v>
      </c>
      <c r="CA76" s="66"/>
      <c r="CB76" s="66"/>
      <c r="CC76" s="56">
        <f t="shared" si="61"/>
        <v>0</v>
      </c>
      <c r="CD76" s="55"/>
      <c r="CE76" s="65"/>
      <c r="CF76" s="55"/>
      <c r="CG76" s="55"/>
      <c r="CH76" s="67">
        <f t="shared" si="62"/>
        <v>0</v>
      </c>
      <c r="CI76" s="68">
        <f t="shared" si="37"/>
        <v>0</v>
      </c>
      <c r="CJ76" s="55"/>
      <c r="CK76" s="55"/>
      <c r="CL76" s="55"/>
      <c r="CM76" s="55"/>
      <c r="CN76" s="55"/>
      <c r="CO76" s="68">
        <f t="shared" si="63"/>
        <v>0</v>
      </c>
      <c r="CP76" s="75">
        <f>SUM(Tableau1[[#This Row],[Fourniture eau]:[Energie (non précisé)]])</f>
        <v>0</v>
      </c>
      <c r="CQ76" s="55"/>
      <c r="CR76" s="55"/>
      <c r="CS76" s="55"/>
      <c r="CT76" s="55"/>
      <c r="CU76" s="55"/>
      <c r="CV76" s="55">
        <v>0</v>
      </c>
      <c r="CW76" s="55"/>
      <c r="CX76" s="68">
        <f>SUM(Tableau1[[#This Row],[Sous-traitance]:[Autres ou non précisé 12]])</f>
        <v>0</v>
      </c>
      <c r="CY76" s="65"/>
      <c r="CZ76" s="65"/>
      <c r="DA76" s="65"/>
      <c r="DB76" s="65"/>
      <c r="DC76" s="55"/>
      <c r="DD76" s="68">
        <f t="shared" si="43"/>
        <v>0</v>
      </c>
      <c r="DE76" s="55"/>
      <c r="DF76" s="65"/>
      <c r="DG76" s="65"/>
      <c r="DH76" s="65"/>
      <c r="DI76" s="68">
        <f>SUM(Tableau1[[#This Row],[Entretien et réparation matériel de projection]:[Autres ou non précisé 14]])</f>
        <v>0</v>
      </c>
      <c r="DJ76" s="58"/>
      <c r="DK76" s="58"/>
      <c r="DL76" s="69"/>
      <c r="DM76" s="68">
        <f t="shared" si="64"/>
        <v>0</v>
      </c>
      <c r="DN76" s="58"/>
      <c r="DO76" s="58"/>
      <c r="DP76" s="68">
        <f t="shared" si="65"/>
        <v>0</v>
      </c>
      <c r="DQ76" s="65"/>
      <c r="DR76" s="65"/>
      <c r="DS76" s="68">
        <f t="shared" si="66"/>
        <v>0</v>
      </c>
      <c r="DT76" s="65"/>
      <c r="DU76" s="65"/>
      <c r="DV76" s="65"/>
      <c r="DW76" s="68">
        <f>SUM(Tableau1[[#This Row],[Comission et courtage sur achats]:[Autres ou honoraires
 non précisé ]])</f>
        <v>0</v>
      </c>
      <c r="DX76" s="57"/>
      <c r="DY76" s="57"/>
      <c r="DZ76" s="65"/>
      <c r="EA76" s="65"/>
      <c r="EB76" s="65"/>
      <c r="EC76" s="68">
        <f t="shared" si="67"/>
        <v>0</v>
      </c>
      <c r="ED76" s="69"/>
      <c r="EE76" s="69"/>
      <c r="EF76" s="69"/>
      <c r="EG76" s="69"/>
      <c r="EH76" s="69"/>
      <c r="EI76" s="84">
        <f>SUM(Tableau1[[#This Row],[Transports sur films]:[autres ]])</f>
        <v>0</v>
      </c>
      <c r="EJ76" s="132">
        <v>0</v>
      </c>
      <c r="EK76" s="132"/>
      <c r="EL76" s="68">
        <f t="shared" si="68"/>
        <v>0</v>
      </c>
      <c r="EM76" s="65"/>
      <c r="EN76" s="65">
        <v>0</v>
      </c>
      <c r="EO76" s="65"/>
      <c r="EP76" s="65"/>
      <c r="EQ76" s="65"/>
      <c r="ER76" s="65"/>
      <c r="ES76" s="65"/>
      <c r="ET76" s="68">
        <f t="shared" si="69"/>
        <v>0</v>
      </c>
      <c r="EU76" s="65"/>
      <c r="EV76" s="65"/>
      <c r="EW76" s="65"/>
      <c r="EX76" s="65"/>
      <c r="EY76" s="65"/>
      <c r="EZ76" s="68">
        <f t="shared" si="46"/>
        <v>0</v>
      </c>
      <c r="FA76" s="65"/>
      <c r="FB76" s="65"/>
      <c r="FC76" s="70">
        <f t="shared" si="44"/>
        <v>0</v>
      </c>
      <c r="FD76" s="65"/>
      <c r="FE76" s="71">
        <f t="shared" si="70"/>
        <v>0</v>
      </c>
      <c r="FF76" s="72">
        <f t="shared" si="71"/>
        <v>0</v>
      </c>
      <c r="FG76" s="65"/>
      <c r="FH76" s="65"/>
      <c r="FI76" s="65"/>
      <c r="FJ76" s="56">
        <f t="shared" si="72"/>
        <v>0</v>
      </c>
      <c r="FK76" s="65"/>
      <c r="FL76" s="65"/>
      <c r="FM76" s="65"/>
      <c r="FN76" s="65"/>
      <c r="FO76" s="67">
        <f t="shared" si="73"/>
        <v>0</v>
      </c>
      <c r="FP76" s="57"/>
      <c r="FQ76" s="73"/>
      <c r="FR76" s="73"/>
      <c r="FS76" s="71">
        <f t="shared" si="74"/>
        <v>0</v>
      </c>
      <c r="FT76" s="91"/>
      <c r="FU76" s="91"/>
      <c r="FV76" s="67">
        <f>SUM(Tableau1[[#This Row],[Droits d''auteurs SACEM + cotisations SACEM]:[Autres ou non préciés]])</f>
        <v>0</v>
      </c>
      <c r="FW76" s="75">
        <f t="shared" si="75"/>
        <v>0</v>
      </c>
      <c r="FX76" s="74">
        <v>0</v>
      </c>
      <c r="FY76" s="74"/>
      <c r="FZ76" s="74"/>
      <c r="GA76" s="74"/>
      <c r="GB76" s="71">
        <f t="shared" si="76"/>
        <v>0</v>
      </c>
      <c r="GC76" s="92"/>
      <c r="GD76" s="92"/>
      <c r="GE76" s="67">
        <f t="shared" si="77"/>
        <v>0</v>
      </c>
      <c r="GF76" s="66"/>
      <c r="GG76" s="66"/>
      <c r="GH76" s="66"/>
      <c r="GI76" s="66"/>
      <c r="GJ76" s="77"/>
    </row>
    <row r="77" spans="1:192" ht="18.600000000000001" customHeight="1" x14ac:dyDescent="0.25">
      <c r="A77" s="89"/>
      <c r="B77" s="17"/>
      <c r="C77" s="50"/>
      <c r="D77" s="140"/>
      <c r="E77" s="51"/>
      <c r="F77" s="139">
        <f t="shared" si="45"/>
        <v>1</v>
      </c>
      <c r="G77" s="49"/>
      <c r="H77" s="50"/>
      <c r="I77" s="122"/>
      <c r="J77" s="49"/>
      <c r="K77" s="50"/>
      <c r="L77" s="50"/>
      <c r="M77" s="90"/>
      <c r="N77" s="50"/>
      <c r="O77" s="50"/>
      <c r="P77" s="90"/>
      <c r="Q77" s="52">
        <f t="shared" si="47"/>
        <v>0</v>
      </c>
      <c r="R77" s="52">
        <f t="shared" si="48"/>
        <v>0</v>
      </c>
      <c r="S77" s="53">
        <f t="shared" si="49"/>
        <v>0</v>
      </c>
      <c r="T77" s="54">
        <f t="shared" si="50"/>
        <v>0</v>
      </c>
      <c r="U77" s="115">
        <f>SUM(Tableau1[[#This Row],[Vente confiserie]:[Vente boisson]])</f>
        <v>0</v>
      </c>
      <c r="V77" s="55"/>
      <c r="W77" s="55"/>
      <c r="X77" s="135">
        <f>SUM(Tableau1[[#This Row],[Vente lunette]:[Location lunette]])</f>
        <v>0</v>
      </c>
      <c r="Y77" s="55"/>
      <c r="Z77" s="55"/>
      <c r="AA77" s="55"/>
      <c r="AB77" s="55"/>
      <c r="AC77" s="56">
        <f t="shared" si="38"/>
        <v>0</v>
      </c>
      <c r="AD77" s="57"/>
      <c r="AE77" s="57"/>
      <c r="AF77" s="57"/>
      <c r="AG77" s="57"/>
      <c r="AH77" s="57"/>
      <c r="AI77" s="57"/>
      <c r="AJ77" s="118">
        <f>(Tableau1[[#This Row],[Recette guichet ]]*1.1275177)-Tableau1[[#This Row],[Recette guichet ]]</f>
        <v>0</v>
      </c>
      <c r="AK77" s="57"/>
      <c r="AL77" s="56">
        <f t="shared" si="39"/>
        <v>0</v>
      </c>
      <c r="AM77" s="58"/>
      <c r="AN77" s="58"/>
      <c r="AO77" s="58"/>
      <c r="AP77" s="115">
        <f t="shared" si="51"/>
        <v>0</v>
      </c>
      <c r="AQ77" s="69"/>
      <c r="AR77" s="69"/>
      <c r="AS77" s="69"/>
      <c r="AT77" s="69"/>
      <c r="AU77" s="59">
        <f t="shared" si="52"/>
        <v>0</v>
      </c>
      <c r="AV77" s="60">
        <f t="shared" si="53"/>
        <v>0</v>
      </c>
      <c r="AW77" s="58"/>
      <c r="AX77" s="58"/>
      <c r="AY77" s="58"/>
      <c r="AZ77" s="60">
        <f t="shared" si="42"/>
        <v>0</v>
      </c>
      <c r="BA77" s="58"/>
      <c r="BB77" s="58"/>
      <c r="BC77" s="58"/>
      <c r="BD77" s="60">
        <f>SUM(Tableau1[[#This Row],[ticket/carte/abonnement périmé]:[Autres ou non précisé 5]])</f>
        <v>0</v>
      </c>
      <c r="BE77" s="58"/>
      <c r="BF77" s="58"/>
      <c r="BG77" s="58"/>
      <c r="BH77" s="61">
        <f t="shared" si="54"/>
        <v>0</v>
      </c>
      <c r="BI77" s="120"/>
      <c r="BJ77" s="120"/>
      <c r="BK77" s="62">
        <f t="shared" si="55"/>
        <v>0</v>
      </c>
      <c r="BL77" s="120"/>
      <c r="BM77" s="120"/>
      <c r="BN77" s="120"/>
      <c r="BO77" s="120"/>
      <c r="BP77" s="120"/>
      <c r="BQ77" s="63"/>
      <c r="BR77" s="52">
        <f t="shared" si="56"/>
        <v>0</v>
      </c>
      <c r="BS77" s="52">
        <f t="shared" si="57"/>
        <v>0</v>
      </c>
      <c r="BT77" s="61">
        <f t="shared" si="58"/>
        <v>0</v>
      </c>
      <c r="BU77" s="64">
        <f t="shared" si="59"/>
        <v>0</v>
      </c>
      <c r="BV77" s="119">
        <f>SUM(Tableau1[[#This Row],[Achats confiserie]:[Achats boisson]])</f>
        <v>0</v>
      </c>
      <c r="BW77" s="58"/>
      <c r="BX77" s="69"/>
      <c r="BY77" s="58"/>
      <c r="BZ77" s="56">
        <f t="shared" si="60"/>
        <v>0</v>
      </c>
      <c r="CA77" s="66"/>
      <c r="CB77" s="66"/>
      <c r="CC77" s="56">
        <f t="shared" si="61"/>
        <v>0</v>
      </c>
      <c r="CD77" s="55"/>
      <c r="CE77" s="65"/>
      <c r="CF77" s="55"/>
      <c r="CG77" s="55"/>
      <c r="CH77" s="67">
        <f t="shared" si="62"/>
        <v>0</v>
      </c>
      <c r="CI77" s="68">
        <f t="shared" si="37"/>
        <v>0</v>
      </c>
      <c r="CJ77" s="55"/>
      <c r="CK77" s="55"/>
      <c r="CL77" s="55"/>
      <c r="CM77" s="55"/>
      <c r="CN77" s="55"/>
      <c r="CO77" s="68">
        <f t="shared" si="63"/>
        <v>0</v>
      </c>
      <c r="CP77" s="75">
        <f>SUM(Tableau1[[#This Row],[Fourniture eau]:[Energie (non précisé)]])</f>
        <v>0</v>
      </c>
      <c r="CQ77" s="55"/>
      <c r="CR77" s="55"/>
      <c r="CS77" s="55"/>
      <c r="CT77" s="55"/>
      <c r="CU77" s="55"/>
      <c r="CV77" s="55">
        <v>0</v>
      </c>
      <c r="CW77" s="55"/>
      <c r="CX77" s="68">
        <f>SUM(Tableau1[[#This Row],[Sous-traitance]:[Autres ou non précisé 12]])</f>
        <v>0</v>
      </c>
      <c r="CY77" s="65"/>
      <c r="CZ77" s="65"/>
      <c r="DA77" s="65"/>
      <c r="DB77" s="65"/>
      <c r="DC77" s="55"/>
      <c r="DD77" s="68">
        <f t="shared" si="43"/>
        <v>0</v>
      </c>
      <c r="DE77" s="55"/>
      <c r="DF77" s="65"/>
      <c r="DG77" s="65"/>
      <c r="DH77" s="65"/>
      <c r="DI77" s="68">
        <f>SUM(Tableau1[[#This Row],[Entretien et réparation matériel de projection]:[Autres ou non précisé 14]])</f>
        <v>0</v>
      </c>
      <c r="DJ77" s="58"/>
      <c r="DK77" s="58"/>
      <c r="DL77" s="69"/>
      <c r="DM77" s="68">
        <f t="shared" si="64"/>
        <v>0</v>
      </c>
      <c r="DN77" s="58"/>
      <c r="DO77" s="58"/>
      <c r="DP77" s="68">
        <f t="shared" si="65"/>
        <v>0</v>
      </c>
      <c r="DQ77" s="65"/>
      <c r="DR77" s="65"/>
      <c r="DS77" s="68">
        <f t="shared" si="66"/>
        <v>0</v>
      </c>
      <c r="DT77" s="65"/>
      <c r="DU77" s="65"/>
      <c r="DV77" s="65"/>
      <c r="DW77" s="68">
        <f>SUM(Tableau1[[#This Row],[Comission et courtage sur achats]:[Autres ou honoraires
 non précisé ]])</f>
        <v>0</v>
      </c>
      <c r="DX77" s="57"/>
      <c r="DY77" s="57"/>
      <c r="DZ77" s="65"/>
      <c r="EA77" s="65"/>
      <c r="EB77" s="65"/>
      <c r="EC77" s="68">
        <f t="shared" si="67"/>
        <v>0</v>
      </c>
      <c r="ED77" s="69"/>
      <c r="EE77" s="69"/>
      <c r="EF77" s="69"/>
      <c r="EG77" s="69"/>
      <c r="EH77" s="69"/>
      <c r="EI77" s="84">
        <f>SUM(Tableau1[[#This Row],[Transports sur films]:[autres ]])</f>
        <v>0</v>
      </c>
      <c r="EJ77" s="132">
        <v>0</v>
      </c>
      <c r="EK77" s="132"/>
      <c r="EL77" s="68">
        <f t="shared" si="68"/>
        <v>0</v>
      </c>
      <c r="EM77" s="65"/>
      <c r="EN77" s="65">
        <v>0</v>
      </c>
      <c r="EO77" s="65"/>
      <c r="EP77" s="65"/>
      <c r="EQ77" s="65"/>
      <c r="ER77" s="65"/>
      <c r="ES77" s="65"/>
      <c r="ET77" s="68">
        <f t="shared" si="69"/>
        <v>0</v>
      </c>
      <c r="EU77" s="65"/>
      <c r="EV77" s="65"/>
      <c r="EW77" s="65"/>
      <c r="EX77" s="65"/>
      <c r="EY77" s="65"/>
      <c r="EZ77" s="68">
        <f t="shared" si="46"/>
        <v>0</v>
      </c>
      <c r="FA77" s="65"/>
      <c r="FB77" s="65"/>
      <c r="FC77" s="70">
        <f t="shared" si="44"/>
        <v>0</v>
      </c>
      <c r="FD77" s="65"/>
      <c r="FE77" s="71">
        <f t="shared" si="70"/>
        <v>0</v>
      </c>
      <c r="FF77" s="72">
        <f t="shared" si="71"/>
        <v>0</v>
      </c>
      <c r="FG77" s="65"/>
      <c r="FH77" s="65"/>
      <c r="FI77" s="65"/>
      <c r="FJ77" s="56">
        <f t="shared" si="72"/>
        <v>0</v>
      </c>
      <c r="FK77" s="65"/>
      <c r="FL77" s="65"/>
      <c r="FM77" s="65"/>
      <c r="FN77" s="65"/>
      <c r="FO77" s="67">
        <f t="shared" si="73"/>
        <v>0</v>
      </c>
      <c r="FP77" s="57"/>
      <c r="FQ77" s="73"/>
      <c r="FR77" s="73"/>
      <c r="FS77" s="71">
        <f t="shared" si="74"/>
        <v>0</v>
      </c>
      <c r="FT77" s="91"/>
      <c r="FU77" s="91"/>
      <c r="FV77" s="67">
        <f>SUM(Tableau1[[#This Row],[Droits d''auteurs SACEM + cotisations SACEM]:[Autres ou non préciés]])</f>
        <v>0</v>
      </c>
      <c r="FW77" s="75">
        <f t="shared" si="75"/>
        <v>0</v>
      </c>
      <c r="FX77" s="74">
        <v>0</v>
      </c>
      <c r="FY77" s="74"/>
      <c r="FZ77" s="74"/>
      <c r="GA77" s="74"/>
      <c r="GB77" s="71">
        <f t="shared" si="76"/>
        <v>0</v>
      </c>
      <c r="GC77" s="92"/>
      <c r="GD77" s="92"/>
      <c r="GE77" s="67">
        <f t="shared" si="77"/>
        <v>0</v>
      </c>
      <c r="GF77" s="66"/>
      <c r="GG77" s="66"/>
      <c r="GH77" s="66"/>
      <c r="GI77" s="66"/>
      <c r="GJ77" s="77"/>
    </row>
    <row r="78" spans="1:192" ht="18.600000000000001" customHeight="1" x14ac:dyDescent="0.25">
      <c r="A78" s="89"/>
      <c r="B78" s="17"/>
      <c r="C78" s="50"/>
      <c r="D78" s="140"/>
      <c r="E78" s="51"/>
      <c r="F78" s="139">
        <f t="shared" si="45"/>
        <v>1</v>
      </c>
      <c r="G78" s="49"/>
      <c r="H78" s="50"/>
      <c r="I78" s="122"/>
      <c r="J78" s="49"/>
      <c r="K78" s="50"/>
      <c r="L78" s="50"/>
      <c r="M78" s="90"/>
      <c r="N78" s="50"/>
      <c r="O78" s="50"/>
      <c r="P78" s="90"/>
      <c r="Q78" s="52">
        <f t="shared" si="47"/>
        <v>0</v>
      </c>
      <c r="R78" s="52">
        <f t="shared" si="48"/>
        <v>0</v>
      </c>
      <c r="S78" s="53">
        <f t="shared" si="49"/>
        <v>0</v>
      </c>
      <c r="T78" s="54">
        <f t="shared" si="50"/>
        <v>0</v>
      </c>
      <c r="U78" s="115">
        <f>SUM(Tableau1[[#This Row],[Vente confiserie]:[Vente boisson]])</f>
        <v>0</v>
      </c>
      <c r="V78" s="55"/>
      <c r="W78" s="55"/>
      <c r="X78" s="135">
        <f>SUM(Tableau1[[#This Row],[Vente lunette]:[Location lunette]])</f>
        <v>0</v>
      </c>
      <c r="Y78" s="55"/>
      <c r="Z78" s="55"/>
      <c r="AA78" s="55"/>
      <c r="AB78" s="55"/>
      <c r="AC78" s="56">
        <f t="shared" si="38"/>
        <v>0</v>
      </c>
      <c r="AD78" s="57"/>
      <c r="AE78" s="57"/>
      <c r="AF78" s="57"/>
      <c r="AG78" s="57"/>
      <c r="AH78" s="57"/>
      <c r="AI78" s="57"/>
      <c r="AJ78" s="118">
        <f>(Tableau1[[#This Row],[Recette guichet ]]*1.1275177)-Tableau1[[#This Row],[Recette guichet ]]</f>
        <v>0</v>
      </c>
      <c r="AK78" s="57"/>
      <c r="AL78" s="56">
        <f t="shared" si="39"/>
        <v>0</v>
      </c>
      <c r="AM78" s="58"/>
      <c r="AN78" s="58"/>
      <c r="AO78" s="58"/>
      <c r="AP78" s="115">
        <f t="shared" si="51"/>
        <v>0</v>
      </c>
      <c r="AQ78" s="69"/>
      <c r="AR78" s="69"/>
      <c r="AS78" s="69"/>
      <c r="AT78" s="69"/>
      <c r="AU78" s="59">
        <f t="shared" si="52"/>
        <v>0</v>
      </c>
      <c r="AV78" s="60">
        <f t="shared" si="53"/>
        <v>0</v>
      </c>
      <c r="AW78" s="58"/>
      <c r="AX78" s="58"/>
      <c r="AY78" s="58"/>
      <c r="AZ78" s="60">
        <f t="shared" si="42"/>
        <v>0</v>
      </c>
      <c r="BA78" s="58"/>
      <c r="BB78" s="58"/>
      <c r="BC78" s="58"/>
      <c r="BD78" s="60">
        <f>SUM(Tableau1[[#This Row],[ticket/carte/abonnement périmé]:[Autres ou non précisé 5]])</f>
        <v>0</v>
      </c>
      <c r="BE78" s="58"/>
      <c r="BF78" s="58"/>
      <c r="BG78" s="58"/>
      <c r="BH78" s="61">
        <f t="shared" si="54"/>
        <v>0</v>
      </c>
      <c r="BI78" s="120"/>
      <c r="BJ78" s="120"/>
      <c r="BK78" s="62">
        <f t="shared" si="55"/>
        <v>0</v>
      </c>
      <c r="BL78" s="120"/>
      <c r="BM78" s="120"/>
      <c r="BN78" s="120"/>
      <c r="BO78" s="120"/>
      <c r="BP78" s="120"/>
      <c r="BQ78" s="63"/>
      <c r="BR78" s="52">
        <f t="shared" si="56"/>
        <v>0</v>
      </c>
      <c r="BS78" s="52">
        <f t="shared" si="57"/>
        <v>0</v>
      </c>
      <c r="BT78" s="61">
        <f t="shared" si="58"/>
        <v>0</v>
      </c>
      <c r="BU78" s="64">
        <f t="shared" si="59"/>
        <v>0</v>
      </c>
      <c r="BV78" s="119">
        <f>SUM(Tableau1[[#This Row],[Achats confiserie]:[Achats boisson]])</f>
        <v>0</v>
      </c>
      <c r="BW78" s="58"/>
      <c r="BX78" s="69"/>
      <c r="BY78" s="58"/>
      <c r="BZ78" s="56">
        <f t="shared" si="60"/>
        <v>0</v>
      </c>
      <c r="CA78" s="66"/>
      <c r="CB78" s="66"/>
      <c r="CC78" s="56">
        <f t="shared" si="61"/>
        <v>0</v>
      </c>
      <c r="CD78" s="55"/>
      <c r="CE78" s="65"/>
      <c r="CF78" s="55"/>
      <c r="CG78" s="55"/>
      <c r="CH78" s="67">
        <f t="shared" si="62"/>
        <v>0</v>
      </c>
      <c r="CI78" s="68">
        <f t="shared" si="37"/>
        <v>0</v>
      </c>
      <c r="CJ78" s="55"/>
      <c r="CK78" s="55"/>
      <c r="CL78" s="55"/>
      <c r="CM78" s="55"/>
      <c r="CN78" s="55"/>
      <c r="CO78" s="68">
        <f t="shared" si="63"/>
        <v>0</v>
      </c>
      <c r="CP78" s="75">
        <f>SUM(Tableau1[[#This Row],[Fourniture eau]:[Energie (non précisé)]])</f>
        <v>0</v>
      </c>
      <c r="CQ78" s="55"/>
      <c r="CR78" s="55"/>
      <c r="CS78" s="55"/>
      <c r="CT78" s="55"/>
      <c r="CU78" s="55"/>
      <c r="CV78" s="55">
        <v>0</v>
      </c>
      <c r="CW78" s="55"/>
      <c r="CX78" s="68">
        <f>SUM(Tableau1[[#This Row],[Sous-traitance]:[Autres ou non précisé 12]])</f>
        <v>0</v>
      </c>
      <c r="CY78" s="65"/>
      <c r="CZ78" s="65"/>
      <c r="DA78" s="65"/>
      <c r="DB78" s="65"/>
      <c r="DC78" s="55"/>
      <c r="DD78" s="68">
        <f t="shared" si="43"/>
        <v>0</v>
      </c>
      <c r="DE78" s="55"/>
      <c r="DF78" s="65"/>
      <c r="DG78" s="65"/>
      <c r="DH78" s="65"/>
      <c r="DI78" s="68">
        <f>SUM(Tableau1[[#This Row],[Entretien et réparation matériel de projection]:[Autres ou non précisé 14]])</f>
        <v>0</v>
      </c>
      <c r="DJ78" s="58"/>
      <c r="DK78" s="58"/>
      <c r="DL78" s="69"/>
      <c r="DM78" s="68">
        <f t="shared" si="64"/>
        <v>0</v>
      </c>
      <c r="DN78" s="58"/>
      <c r="DO78" s="58"/>
      <c r="DP78" s="68">
        <f t="shared" si="65"/>
        <v>0</v>
      </c>
      <c r="DQ78" s="65"/>
      <c r="DR78" s="65"/>
      <c r="DS78" s="68">
        <f t="shared" si="66"/>
        <v>0</v>
      </c>
      <c r="DT78" s="65"/>
      <c r="DU78" s="65"/>
      <c r="DV78" s="65"/>
      <c r="DW78" s="68">
        <f>SUM(Tableau1[[#This Row],[Comission et courtage sur achats]:[Autres ou honoraires
 non précisé ]])</f>
        <v>0</v>
      </c>
      <c r="DX78" s="57"/>
      <c r="DY78" s="57"/>
      <c r="DZ78" s="65"/>
      <c r="EA78" s="65"/>
      <c r="EB78" s="65"/>
      <c r="EC78" s="68">
        <f t="shared" si="67"/>
        <v>0</v>
      </c>
      <c r="ED78" s="69"/>
      <c r="EE78" s="69"/>
      <c r="EF78" s="69"/>
      <c r="EG78" s="69"/>
      <c r="EH78" s="69"/>
      <c r="EI78" s="84">
        <f>SUM(Tableau1[[#This Row],[Transports sur films]:[autres ]])</f>
        <v>0</v>
      </c>
      <c r="EJ78" s="132">
        <v>0</v>
      </c>
      <c r="EK78" s="132"/>
      <c r="EL78" s="68">
        <f t="shared" si="68"/>
        <v>0</v>
      </c>
      <c r="EM78" s="65"/>
      <c r="EN78" s="65">
        <v>0</v>
      </c>
      <c r="EO78" s="65"/>
      <c r="EP78" s="65"/>
      <c r="EQ78" s="65"/>
      <c r="ER78" s="65"/>
      <c r="ES78" s="65"/>
      <c r="ET78" s="68">
        <f t="shared" si="69"/>
        <v>0</v>
      </c>
      <c r="EU78" s="65"/>
      <c r="EV78" s="65"/>
      <c r="EW78" s="65"/>
      <c r="EX78" s="65"/>
      <c r="EY78" s="65"/>
      <c r="EZ78" s="68">
        <f t="shared" si="46"/>
        <v>0</v>
      </c>
      <c r="FA78" s="65"/>
      <c r="FB78" s="65"/>
      <c r="FC78" s="70">
        <f t="shared" si="44"/>
        <v>0</v>
      </c>
      <c r="FD78" s="65"/>
      <c r="FE78" s="71">
        <f t="shared" si="70"/>
        <v>0</v>
      </c>
      <c r="FF78" s="72">
        <f t="shared" si="71"/>
        <v>0</v>
      </c>
      <c r="FG78" s="65"/>
      <c r="FH78" s="65"/>
      <c r="FI78" s="65"/>
      <c r="FJ78" s="56">
        <f t="shared" si="72"/>
        <v>0</v>
      </c>
      <c r="FK78" s="65"/>
      <c r="FL78" s="65"/>
      <c r="FM78" s="65"/>
      <c r="FN78" s="65"/>
      <c r="FO78" s="67">
        <f t="shared" si="73"/>
        <v>0</v>
      </c>
      <c r="FP78" s="57"/>
      <c r="FQ78" s="73"/>
      <c r="FR78" s="73"/>
      <c r="FS78" s="71">
        <f t="shared" si="74"/>
        <v>0</v>
      </c>
      <c r="FT78" s="91"/>
      <c r="FU78" s="91"/>
      <c r="FV78" s="67">
        <f>SUM(Tableau1[[#This Row],[Droits d''auteurs SACEM + cotisations SACEM]:[Autres ou non préciés]])</f>
        <v>0</v>
      </c>
      <c r="FW78" s="75">
        <f t="shared" si="75"/>
        <v>0</v>
      </c>
      <c r="FX78" s="74">
        <v>0</v>
      </c>
      <c r="FY78" s="74"/>
      <c r="FZ78" s="74"/>
      <c r="GA78" s="74"/>
      <c r="GB78" s="71">
        <f t="shared" si="76"/>
        <v>0</v>
      </c>
      <c r="GC78" s="92"/>
      <c r="GD78" s="92"/>
      <c r="GE78" s="67">
        <f t="shared" si="77"/>
        <v>0</v>
      </c>
      <c r="GF78" s="66"/>
      <c r="GG78" s="66"/>
      <c r="GH78" s="66"/>
      <c r="GI78" s="66"/>
      <c r="GJ78" s="77"/>
    </row>
    <row r="79" spans="1:192" ht="18.600000000000001" customHeight="1" x14ac:dyDescent="0.25">
      <c r="A79" s="89"/>
      <c r="B79" s="17"/>
      <c r="C79" s="50"/>
      <c r="D79" s="140"/>
      <c r="E79" s="51"/>
      <c r="F79" s="139">
        <f t="shared" si="45"/>
        <v>1</v>
      </c>
      <c r="G79" s="49"/>
      <c r="H79" s="50"/>
      <c r="I79" s="122"/>
      <c r="J79" s="49"/>
      <c r="K79" s="50"/>
      <c r="L79" s="50"/>
      <c r="M79" s="90"/>
      <c r="N79" s="50"/>
      <c r="O79" s="50"/>
      <c r="P79" s="90"/>
      <c r="Q79" s="52">
        <f t="shared" si="47"/>
        <v>0</v>
      </c>
      <c r="R79" s="52">
        <f t="shared" si="48"/>
        <v>0</v>
      </c>
      <c r="S79" s="53">
        <f t="shared" si="49"/>
        <v>0</v>
      </c>
      <c r="T79" s="54">
        <f t="shared" si="50"/>
        <v>0</v>
      </c>
      <c r="U79" s="115">
        <f>SUM(Tableau1[[#This Row],[Vente confiserie]:[Vente boisson]])</f>
        <v>0</v>
      </c>
      <c r="V79" s="55"/>
      <c r="W79" s="55"/>
      <c r="X79" s="135">
        <f>SUM(Tableau1[[#This Row],[Vente lunette]:[Location lunette]])</f>
        <v>0</v>
      </c>
      <c r="Y79" s="55"/>
      <c r="Z79" s="55"/>
      <c r="AA79" s="55"/>
      <c r="AB79" s="55"/>
      <c r="AC79" s="56">
        <f t="shared" si="38"/>
        <v>0</v>
      </c>
      <c r="AD79" s="57"/>
      <c r="AE79" s="57"/>
      <c r="AF79" s="57"/>
      <c r="AG79" s="57"/>
      <c r="AH79" s="57"/>
      <c r="AI79" s="57"/>
      <c r="AJ79" s="118">
        <f>(Tableau1[[#This Row],[Recette guichet ]]*1.1275177)-Tableau1[[#This Row],[Recette guichet ]]</f>
        <v>0</v>
      </c>
      <c r="AK79" s="57"/>
      <c r="AL79" s="56">
        <f t="shared" si="39"/>
        <v>0</v>
      </c>
      <c r="AM79" s="58"/>
      <c r="AN79" s="58"/>
      <c r="AO79" s="58"/>
      <c r="AP79" s="115">
        <f t="shared" si="51"/>
        <v>0</v>
      </c>
      <c r="AQ79" s="69"/>
      <c r="AR79" s="69"/>
      <c r="AS79" s="69"/>
      <c r="AT79" s="69"/>
      <c r="AU79" s="59">
        <f t="shared" si="52"/>
        <v>0</v>
      </c>
      <c r="AV79" s="60">
        <f t="shared" si="53"/>
        <v>0</v>
      </c>
      <c r="AW79" s="58"/>
      <c r="AX79" s="58"/>
      <c r="AY79" s="58"/>
      <c r="AZ79" s="60">
        <f t="shared" si="42"/>
        <v>0</v>
      </c>
      <c r="BA79" s="58"/>
      <c r="BB79" s="58"/>
      <c r="BC79" s="58"/>
      <c r="BD79" s="60">
        <f>SUM(Tableau1[[#This Row],[ticket/carte/abonnement périmé]:[Autres ou non précisé 5]])</f>
        <v>0</v>
      </c>
      <c r="BE79" s="58"/>
      <c r="BF79" s="58"/>
      <c r="BG79" s="58"/>
      <c r="BH79" s="61">
        <f t="shared" si="54"/>
        <v>0</v>
      </c>
      <c r="BI79" s="120"/>
      <c r="BJ79" s="120"/>
      <c r="BK79" s="62">
        <f t="shared" si="55"/>
        <v>0</v>
      </c>
      <c r="BL79" s="120"/>
      <c r="BM79" s="120"/>
      <c r="BN79" s="120"/>
      <c r="BO79" s="120"/>
      <c r="BP79" s="120"/>
      <c r="BQ79" s="63"/>
      <c r="BR79" s="52">
        <f t="shared" si="56"/>
        <v>0</v>
      </c>
      <c r="BS79" s="52">
        <f t="shared" si="57"/>
        <v>0</v>
      </c>
      <c r="BT79" s="61">
        <f t="shared" si="58"/>
        <v>0</v>
      </c>
      <c r="BU79" s="64">
        <f t="shared" si="59"/>
        <v>0</v>
      </c>
      <c r="BV79" s="119">
        <f>SUM(Tableau1[[#This Row],[Achats confiserie]:[Achats boisson]])</f>
        <v>0</v>
      </c>
      <c r="BW79" s="58"/>
      <c r="BX79" s="69"/>
      <c r="BY79" s="58"/>
      <c r="BZ79" s="56">
        <f t="shared" si="60"/>
        <v>0</v>
      </c>
      <c r="CA79" s="66"/>
      <c r="CB79" s="66"/>
      <c r="CC79" s="56">
        <f t="shared" si="61"/>
        <v>0</v>
      </c>
      <c r="CD79" s="55"/>
      <c r="CE79" s="65"/>
      <c r="CF79" s="55"/>
      <c r="CG79" s="55"/>
      <c r="CH79" s="67">
        <f t="shared" si="62"/>
        <v>0</v>
      </c>
      <c r="CI79" s="68">
        <f t="shared" si="37"/>
        <v>0</v>
      </c>
      <c r="CJ79" s="55"/>
      <c r="CK79" s="55"/>
      <c r="CL79" s="55"/>
      <c r="CM79" s="55"/>
      <c r="CN79" s="55"/>
      <c r="CO79" s="68">
        <f t="shared" si="63"/>
        <v>0</v>
      </c>
      <c r="CP79" s="75">
        <f>SUM(Tableau1[[#This Row],[Fourniture eau]:[Energie (non précisé)]])</f>
        <v>0</v>
      </c>
      <c r="CQ79" s="55"/>
      <c r="CR79" s="55"/>
      <c r="CS79" s="55"/>
      <c r="CT79" s="55"/>
      <c r="CU79" s="55"/>
      <c r="CV79" s="55">
        <v>0</v>
      </c>
      <c r="CW79" s="55"/>
      <c r="CX79" s="68">
        <f>SUM(Tableau1[[#This Row],[Sous-traitance]:[Autres ou non précisé 12]])</f>
        <v>0</v>
      </c>
      <c r="CY79" s="65"/>
      <c r="CZ79" s="65"/>
      <c r="DA79" s="65"/>
      <c r="DB79" s="65"/>
      <c r="DC79" s="55"/>
      <c r="DD79" s="68">
        <f t="shared" si="43"/>
        <v>0</v>
      </c>
      <c r="DE79" s="55"/>
      <c r="DF79" s="65"/>
      <c r="DG79" s="65"/>
      <c r="DH79" s="65"/>
      <c r="DI79" s="68">
        <f>SUM(Tableau1[[#This Row],[Entretien et réparation matériel de projection]:[Autres ou non précisé 14]])</f>
        <v>0</v>
      </c>
      <c r="DJ79" s="58"/>
      <c r="DK79" s="58"/>
      <c r="DL79" s="69"/>
      <c r="DM79" s="68">
        <f t="shared" si="64"/>
        <v>0</v>
      </c>
      <c r="DN79" s="58"/>
      <c r="DO79" s="58"/>
      <c r="DP79" s="68">
        <f t="shared" si="65"/>
        <v>0</v>
      </c>
      <c r="DQ79" s="65"/>
      <c r="DR79" s="65"/>
      <c r="DS79" s="68">
        <f t="shared" si="66"/>
        <v>0</v>
      </c>
      <c r="DT79" s="65"/>
      <c r="DU79" s="65"/>
      <c r="DV79" s="65"/>
      <c r="DW79" s="68">
        <f>SUM(Tableau1[[#This Row],[Comission et courtage sur achats]:[Autres ou honoraires
 non précisé ]])</f>
        <v>0</v>
      </c>
      <c r="DX79" s="57"/>
      <c r="DY79" s="57"/>
      <c r="DZ79" s="65"/>
      <c r="EA79" s="65"/>
      <c r="EB79" s="65"/>
      <c r="EC79" s="68">
        <f t="shared" si="67"/>
        <v>0</v>
      </c>
      <c r="ED79" s="69"/>
      <c r="EE79" s="69"/>
      <c r="EF79" s="69"/>
      <c r="EG79" s="69"/>
      <c r="EH79" s="69"/>
      <c r="EI79" s="84">
        <f>SUM(Tableau1[[#This Row],[Transports sur films]:[autres ]])</f>
        <v>0</v>
      </c>
      <c r="EJ79" s="132">
        <v>0</v>
      </c>
      <c r="EK79" s="132"/>
      <c r="EL79" s="68">
        <f t="shared" si="68"/>
        <v>0</v>
      </c>
      <c r="EM79" s="65"/>
      <c r="EN79" s="65">
        <v>0</v>
      </c>
      <c r="EO79" s="65"/>
      <c r="EP79" s="65"/>
      <c r="EQ79" s="65"/>
      <c r="ER79" s="65"/>
      <c r="ES79" s="65"/>
      <c r="ET79" s="68">
        <f t="shared" si="69"/>
        <v>0</v>
      </c>
      <c r="EU79" s="65"/>
      <c r="EV79" s="65"/>
      <c r="EW79" s="65"/>
      <c r="EX79" s="65"/>
      <c r="EY79" s="65"/>
      <c r="EZ79" s="68">
        <f t="shared" si="46"/>
        <v>0</v>
      </c>
      <c r="FA79" s="65"/>
      <c r="FB79" s="65"/>
      <c r="FC79" s="70">
        <f t="shared" si="44"/>
        <v>0</v>
      </c>
      <c r="FD79" s="65"/>
      <c r="FE79" s="71">
        <f t="shared" si="70"/>
        <v>0</v>
      </c>
      <c r="FF79" s="72">
        <f t="shared" si="71"/>
        <v>0</v>
      </c>
      <c r="FG79" s="65"/>
      <c r="FH79" s="65"/>
      <c r="FI79" s="65"/>
      <c r="FJ79" s="56">
        <f t="shared" si="72"/>
        <v>0</v>
      </c>
      <c r="FK79" s="65"/>
      <c r="FL79" s="65"/>
      <c r="FM79" s="65"/>
      <c r="FN79" s="65"/>
      <c r="FO79" s="67">
        <f t="shared" si="73"/>
        <v>0</v>
      </c>
      <c r="FP79" s="57"/>
      <c r="FQ79" s="73"/>
      <c r="FR79" s="73"/>
      <c r="FS79" s="71">
        <f t="shared" si="74"/>
        <v>0</v>
      </c>
      <c r="FT79" s="91"/>
      <c r="FU79" s="91"/>
      <c r="FV79" s="67">
        <f>SUM(Tableau1[[#This Row],[Droits d''auteurs SACEM + cotisations SACEM]:[Autres ou non préciés]])</f>
        <v>0</v>
      </c>
      <c r="FW79" s="75">
        <f t="shared" si="75"/>
        <v>0</v>
      </c>
      <c r="FX79" s="74">
        <v>0</v>
      </c>
      <c r="FY79" s="74"/>
      <c r="FZ79" s="74"/>
      <c r="GA79" s="74"/>
      <c r="GB79" s="71">
        <f t="shared" si="76"/>
        <v>0</v>
      </c>
      <c r="GC79" s="92"/>
      <c r="GD79" s="92"/>
      <c r="GE79" s="67">
        <f t="shared" si="77"/>
        <v>0</v>
      </c>
      <c r="GF79" s="66"/>
      <c r="GG79" s="66"/>
      <c r="GH79" s="66"/>
      <c r="GI79" s="66"/>
      <c r="GJ79" s="77"/>
    </row>
    <row r="80" spans="1:192" ht="18.600000000000001" customHeight="1" x14ac:dyDescent="0.25">
      <c r="A80" s="89"/>
      <c r="B80" s="17"/>
      <c r="C80" s="50"/>
      <c r="D80" s="140"/>
      <c r="E80" s="51"/>
      <c r="F80" s="139">
        <f t="shared" si="45"/>
        <v>1</v>
      </c>
      <c r="G80" s="49"/>
      <c r="H80" s="50"/>
      <c r="I80" s="122"/>
      <c r="J80" s="49"/>
      <c r="K80" s="50"/>
      <c r="L80" s="50"/>
      <c r="M80" s="90"/>
      <c r="N80" s="50"/>
      <c r="O80" s="50"/>
      <c r="P80" s="90"/>
      <c r="Q80" s="52">
        <f t="shared" si="47"/>
        <v>0</v>
      </c>
      <c r="R80" s="52">
        <f t="shared" si="48"/>
        <v>0</v>
      </c>
      <c r="S80" s="53">
        <f t="shared" si="49"/>
        <v>0</v>
      </c>
      <c r="T80" s="54">
        <f t="shared" si="50"/>
        <v>0</v>
      </c>
      <c r="U80" s="115">
        <f>SUM(Tableau1[[#This Row],[Vente confiserie]:[Vente boisson]])</f>
        <v>0</v>
      </c>
      <c r="V80" s="55"/>
      <c r="W80" s="55"/>
      <c r="X80" s="135">
        <f>SUM(Tableau1[[#This Row],[Vente lunette]:[Location lunette]])</f>
        <v>0</v>
      </c>
      <c r="Y80" s="55"/>
      <c r="Z80" s="55"/>
      <c r="AA80" s="55"/>
      <c r="AB80" s="55"/>
      <c r="AC80" s="56">
        <f t="shared" si="38"/>
        <v>0</v>
      </c>
      <c r="AD80" s="57"/>
      <c r="AE80" s="57"/>
      <c r="AF80" s="57"/>
      <c r="AG80" s="57"/>
      <c r="AH80" s="57"/>
      <c r="AI80" s="57"/>
      <c r="AJ80" s="118">
        <f>(Tableau1[[#This Row],[Recette guichet ]]*1.1275177)-Tableau1[[#This Row],[Recette guichet ]]</f>
        <v>0</v>
      </c>
      <c r="AK80" s="57"/>
      <c r="AL80" s="56">
        <f t="shared" si="39"/>
        <v>0</v>
      </c>
      <c r="AM80" s="58"/>
      <c r="AN80" s="58"/>
      <c r="AO80" s="58"/>
      <c r="AP80" s="115">
        <f t="shared" si="51"/>
        <v>0</v>
      </c>
      <c r="AQ80" s="69"/>
      <c r="AR80" s="69"/>
      <c r="AS80" s="69"/>
      <c r="AT80" s="69"/>
      <c r="AU80" s="59">
        <f t="shared" si="52"/>
        <v>0</v>
      </c>
      <c r="AV80" s="60">
        <f t="shared" si="53"/>
        <v>0</v>
      </c>
      <c r="AW80" s="58"/>
      <c r="AX80" s="58"/>
      <c r="AY80" s="58"/>
      <c r="AZ80" s="60">
        <f t="shared" si="42"/>
        <v>0</v>
      </c>
      <c r="BA80" s="58"/>
      <c r="BB80" s="58"/>
      <c r="BC80" s="58"/>
      <c r="BD80" s="60">
        <f>SUM(Tableau1[[#This Row],[ticket/carte/abonnement périmé]:[Autres ou non précisé 5]])</f>
        <v>0</v>
      </c>
      <c r="BE80" s="58"/>
      <c r="BF80" s="58"/>
      <c r="BG80" s="58"/>
      <c r="BH80" s="61">
        <f t="shared" si="54"/>
        <v>0</v>
      </c>
      <c r="BI80" s="120"/>
      <c r="BJ80" s="120"/>
      <c r="BK80" s="62">
        <f t="shared" si="55"/>
        <v>0</v>
      </c>
      <c r="BL80" s="120"/>
      <c r="BM80" s="120"/>
      <c r="BN80" s="120"/>
      <c r="BO80" s="120"/>
      <c r="BP80" s="120"/>
      <c r="BQ80" s="63"/>
      <c r="BR80" s="52">
        <f t="shared" si="56"/>
        <v>0</v>
      </c>
      <c r="BS80" s="52">
        <f t="shared" si="57"/>
        <v>0</v>
      </c>
      <c r="BT80" s="61">
        <f t="shared" si="58"/>
        <v>0</v>
      </c>
      <c r="BU80" s="64">
        <f t="shared" si="59"/>
        <v>0</v>
      </c>
      <c r="BV80" s="119">
        <f>SUM(Tableau1[[#This Row],[Achats confiserie]:[Achats boisson]])</f>
        <v>0</v>
      </c>
      <c r="BW80" s="58"/>
      <c r="BX80" s="69"/>
      <c r="BY80" s="58"/>
      <c r="BZ80" s="56">
        <f t="shared" si="60"/>
        <v>0</v>
      </c>
      <c r="CA80" s="66"/>
      <c r="CB80" s="66"/>
      <c r="CC80" s="56">
        <f t="shared" si="61"/>
        <v>0</v>
      </c>
      <c r="CD80" s="55"/>
      <c r="CE80" s="65"/>
      <c r="CF80" s="55"/>
      <c r="CG80" s="55"/>
      <c r="CH80" s="67">
        <f t="shared" si="62"/>
        <v>0</v>
      </c>
      <c r="CI80" s="68">
        <f t="shared" si="37"/>
        <v>0</v>
      </c>
      <c r="CJ80" s="55"/>
      <c r="CK80" s="55"/>
      <c r="CL80" s="55"/>
      <c r="CM80" s="55"/>
      <c r="CN80" s="55"/>
      <c r="CO80" s="68">
        <f t="shared" si="63"/>
        <v>0</v>
      </c>
      <c r="CP80" s="75">
        <f>SUM(Tableau1[[#This Row],[Fourniture eau]:[Energie (non précisé)]])</f>
        <v>0</v>
      </c>
      <c r="CQ80" s="55"/>
      <c r="CR80" s="55"/>
      <c r="CS80" s="55"/>
      <c r="CT80" s="55"/>
      <c r="CU80" s="55"/>
      <c r="CV80" s="55">
        <v>0</v>
      </c>
      <c r="CW80" s="55"/>
      <c r="CX80" s="68">
        <f>SUM(Tableau1[[#This Row],[Sous-traitance]:[Autres ou non précisé 12]])</f>
        <v>0</v>
      </c>
      <c r="CY80" s="65"/>
      <c r="CZ80" s="65"/>
      <c r="DA80" s="65"/>
      <c r="DB80" s="65"/>
      <c r="DC80" s="55"/>
      <c r="DD80" s="68">
        <f t="shared" si="43"/>
        <v>0</v>
      </c>
      <c r="DE80" s="55"/>
      <c r="DF80" s="65"/>
      <c r="DG80" s="65"/>
      <c r="DH80" s="65"/>
      <c r="DI80" s="68">
        <f>SUM(Tableau1[[#This Row],[Entretien et réparation matériel de projection]:[Autres ou non précisé 14]])</f>
        <v>0</v>
      </c>
      <c r="DJ80" s="58"/>
      <c r="DK80" s="58"/>
      <c r="DL80" s="69"/>
      <c r="DM80" s="68">
        <f t="shared" si="64"/>
        <v>0</v>
      </c>
      <c r="DN80" s="58"/>
      <c r="DO80" s="58"/>
      <c r="DP80" s="68">
        <f t="shared" si="65"/>
        <v>0</v>
      </c>
      <c r="DQ80" s="65"/>
      <c r="DR80" s="65"/>
      <c r="DS80" s="68">
        <f t="shared" si="66"/>
        <v>0</v>
      </c>
      <c r="DT80" s="65"/>
      <c r="DU80" s="65"/>
      <c r="DV80" s="65"/>
      <c r="DW80" s="68">
        <f>SUM(Tableau1[[#This Row],[Comission et courtage sur achats]:[Autres ou honoraires
 non précisé ]])</f>
        <v>0</v>
      </c>
      <c r="DX80" s="57"/>
      <c r="DY80" s="57"/>
      <c r="DZ80" s="65"/>
      <c r="EA80" s="65"/>
      <c r="EB80" s="65"/>
      <c r="EC80" s="68">
        <f t="shared" si="67"/>
        <v>0</v>
      </c>
      <c r="ED80" s="69"/>
      <c r="EE80" s="69"/>
      <c r="EF80" s="69"/>
      <c r="EG80" s="69"/>
      <c r="EH80" s="69"/>
      <c r="EI80" s="84">
        <f>SUM(Tableau1[[#This Row],[Transports sur films]:[autres ]])</f>
        <v>0</v>
      </c>
      <c r="EJ80" s="132">
        <v>0</v>
      </c>
      <c r="EK80" s="132"/>
      <c r="EL80" s="68">
        <f t="shared" si="68"/>
        <v>0</v>
      </c>
      <c r="EM80" s="65"/>
      <c r="EN80" s="65">
        <v>0</v>
      </c>
      <c r="EO80" s="65"/>
      <c r="EP80" s="65"/>
      <c r="EQ80" s="65"/>
      <c r="ER80" s="65"/>
      <c r="ES80" s="65"/>
      <c r="ET80" s="68">
        <f t="shared" si="69"/>
        <v>0</v>
      </c>
      <c r="EU80" s="65"/>
      <c r="EV80" s="65"/>
      <c r="EW80" s="65"/>
      <c r="EX80" s="65"/>
      <c r="EY80" s="65"/>
      <c r="EZ80" s="68">
        <f t="shared" si="46"/>
        <v>0</v>
      </c>
      <c r="FA80" s="65"/>
      <c r="FB80" s="65"/>
      <c r="FC80" s="70">
        <f t="shared" si="44"/>
        <v>0</v>
      </c>
      <c r="FD80" s="65"/>
      <c r="FE80" s="71">
        <f t="shared" si="70"/>
        <v>0</v>
      </c>
      <c r="FF80" s="72">
        <f t="shared" si="71"/>
        <v>0</v>
      </c>
      <c r="FG80" s="65"/>
      <c r="FH80" s="65"/>
      <c r="FI80" s="65"/>
      <c r="FJ80" s="56">
        <f t="shared" si="72"/>
        <v>0</v>
      </c>
      <c r="FK80" s="65"/>
      <c r="FL80" s="65"/>
      <c r="FM80" s="65"/>
      <c r="FN80" s="65"/>
      <c r="FO80" s="67">
        <f t="shared" si="73"/>
        <v>0</v>
      </c>
      <c r="FP80" s="57"/>
      <c r="FQ80" s="73"/>
      <c r="FR80" s="73"/>
      <c r="FS80" s="71">
        <f t="shared" si="74"/>
        <v>0</v>
      </c>
      <c r="FT80" s="91"/>
      <c r="FU80" s="91"/>
      <c r="FV80" s="67">
        <f>SUM(Tableau1[[#This Row],[Droits d''auteurs SACEM + cotisations SACEM]:[Autres ou non préciés]])</f>
        <v>0</v>
      </c>
      <c r="FW80" s="75">
        <f t="shared" si="75"/>
        <v>0</v>
      </c>
      <c r="FX80" s="74">
        <v>0</v>
      </c>
      <c r="FY80" s="74"/>
      <c r="FZ80" s="74"/>
      <c r="GA80" s="74"/>
      <c r="GB80" s="71">
        <f t="shared" si="76"/>
        <v>0</v>
      </c>
      <c r="GC80" s="92"/>
      <c r="GD80" s="92"/>
      <c r="GE80" s="67">
        <f t="shared" si="77"/>
        <v>0</v>
      </c>
      <c r="GF80" s="66"/>
      <c r="GG80" s="66"/>
      <c r="GH80" s="66"/>
      <c r="GI80" s="66"/>
      <c r="GJ80" s="77"/>
    </row>
    <row r="81" spans="1:192" ht="18.600000000000001" customHeight="1" x14ac:dyDescent="0.25">
      <c r="A81" s="89"/>
      <c r="B81" s="17"/>
      <c r="C81" s="50"/>
      <c r="D81" s="140"/>
      <c r="E81" s="51"/>
      <c r="F81" s="139">
        <f t="shared" si="45"/>
        <v>1</v>
      </c>
      <c r="G81" s="49"/>
      <c r="H81" s="50"/>
      <c r="I81" s="122"/>
      <c r="J81" s="49"/>
      <c r="K81" s="50"/>
      <c r="L81" s="50"/>
      <c r="M81" s="90"/>
      <c r="N81" s="50"/>
      <c r="O81" s="50"/>
      <c r="P81" s="90"/>
      <c r="Q81" s="52">
        <f t="shared" si="47"/>
        <v>0</v>
      </c>
      <c r="R81" s="52">
        <f t="shared" si="48"/>
        <v>0</v>
      </c>
      <c r="S81" s="53">
        <f t="shared" si="49"/>
        <v>0</v>
      </c>
      <c r="T81" s="54">
        <f t="shared" si="50"/>
        <v>0</v>
      </c>
      <c r="U81" s="115">
        <f>SUM(Tableau1[[#This Row],[Vente confiserie]:[Vente boisson]])</f>
        <v>0</v>
      </c>
      <c r="V81" s="55"/>
      <c r="W81" s="55"/>
      <c r="X81" s="135">
        <f>SUM(Tableau1[[#This Row],[Vente lunette]:[Location lunette]])</f>
        <v>0</v>
      </c>
      <c r="Y81" s="55"/>
      <c r="Z81" s="55"/>
      <c r="AA81" s="55"/>
      <c r="AB81" s="55"/>
      <c r="AC81" s="56">
        <f t="shared" si="38"/>
        <v>0</v>
      </c>
      <c r="AD81" s="57"/>
      <c r="AE81" s="57"/>
      <c r="AF81" s="57"/>
      <c r="AG81" s="57"/>
      <c r="AH81" s="57"/>
      <c r="AI81" s="57"/>
      <c r="AJ81" s="118">
        <f>(Tableau1[[#This Row],[Recette guichet ]]*1.1275177)-Tableau1[[#This Row],[Recette guichet ]]</f>
        <v>0</v>
      </c>
      <c r="AK81" s="57"/>
      <c r="AL81" s="56">
        <f t="shared" si="39"/>
        <v>0</v>
      </c>
      <c r="AM81" s="58"/>
      <c r="AN81" s="58"/>
      <c r="AO81" s="58"/>
      <c r="AP81" s="115">
        <f t="shared" si="51"/>
        <v>0</v>
      </c>
      <c r="AQ81" s="69"/>
      <c r="AR81" s="69"/>
      <c r="AS81" s="69"/>
      <c r="AT81" s="69"/>
      <c r="AU81" s="59">
        <f t="shared" si="52"/>
        <v>0</v>
      </c>
      <c r="AV81" s="60">
        <f t="shared" si="53"/>
        <v>0</v>
      </c>
      <c r="AW81" s="58"/>
      <c r="AX81" s="58"/>
      <c r="AY81" s="58"/>
      <c r="AZ81" s="60">
        <f t="shared" si="42"/>
        <v>0</v>
      </c>
      <c r="BA81" s="58"/>
      <c r="BB81" s="58"/>
      <c r="BC81" s="58"/>
      <c r="BD81" s="60">
        <f>SUM(Tableau1[[#This Row],[ticket/carte/abonnement périmé]:[Autres ou non précisé 5]])</f>
        <v>0</v>
      </c>
      <c r="BE81" s="58"/>
      <c r="BF81" s="58"/>
      <c r="BG81" s="58"/>
      <c r="BH81" s="61">
        <f t="shared" si="54"/>
        <v>0</v>
      </c>
      <c r="BI81" s="120"/>
      <c r="BJ81" s="120"/>
      <c r="BK81" s="62">
        <f t="shared" si="55"/>
        <v>0</v>
      </c>
      <c r="BL81" s="120"/>
      <c r="BM81" s="120"/>
      <c r="BN81" s="120"/>
      <c r="BO81" s="120"/>
      <c r="BP81" s="120"/>
      <c r="BQ81" s="63"/>
      <c r="BR81" s="52">
        <f t="shared" si="56"/>
        <v>0</v>
      </c>
      <c r="BS81" s="52">
        <f t="shared" si="57"/>
        <v>0</v>
      </c>
      <c r="BT81" s="61">
        <f t="shared" si="58"/>
        <v>0</v>
      </c>
      <c r="BU81" s="64">
        <f t="shared" si="59"/>
        <v>0</v>
      </c>
      <c r="BV81" s="119">
        <f>SUM(Tableau1[[#This Row],[Achats confiserie]:[Achats boisson]])</f>
        <v>0</v>
      </c>
      <c r="BW81" s="58"/>
      <c r="BX81" s="69"/>
      <c r="BY81" s="58"/>
      <c r="BZ81" s="56">
        <f t="shared" si="60"/>
        <v>0</v>
      </c>
      <c r="CA81" s="66"/>
      <c r="CB81" s="66"/>
      <c r="CC81" s="56">
        <f t="shared" si="61"/>
        <v>0</v>
      </c>
      <c r="CD81" s="55"/>
      <c r="CE81" s="65"/>
      <c r="CF81" s="55"/>
      <c r="CG81" s="55"/>
      <c r="CH81" s="67">
        <f t="shared" si="62"/>
        <v>0</v>
      </c>
      <c r="CI81" s="68">
        <f t="shared" si="37"/>
        <v>0</v>
      </c>
      <c r="CJ81" s="55"/>
      <c r="CK81" s="55"/>
      <c r="CL81" s="55"/>
      <c r="CM81" s="55"/>
      <c r="CN81" s="55"/>
      <c r="CO81" s="68">
        <f t="shared" si="63"/>
        <v>0</v>
      </c>
      <c r="CP81" s="75">
        <f>SUM(Tableau1[[#This Row],[Fourniture eau]:[Energie (non précisé)]])</f>
        <v>0</v>
      </c>
      <c r="CQ81" s="55"/>
      <c r="CR81" s="55"/>
      <c r="CS81" s="55"/>
      <c r="CT81" s="55"/>
      <c r="CU81" s="55"/>
      <c r="CV81" s="55">
        <v>0</v>
      </c>
      <c r="CW81" s="55"/>
      <c r="CX81" s="68">
        <f>SUM(Tableau1[[#This Row],[Sous-traitance]:[Autres ou non précisé 12]])</f>
        <v>0</v>
      </c>
      <c r="CY81" s="65"/>
      <c r="CZ81" s="65"/>
      <c r="DA81" s="65"/>
      <c r="DB81" s="65"/>
      <c r="DC81" s="55"/>
      <c r="DD81" s="68">
        <f t="shared" si="43"/>
        <v>0</v>
      </c>
      <c r="DE81" s="55"/>
      <c r="DF81" s="65"/>
      <c r="DG81" s="65"/>
      <c r="DH81" s="65"/>
      <c r="DI81" s="68">
        <f>SUM(Tableau1[[#This Row],[Entretien et réparation matériel de projection]:[Autres ou non précisé 14]])</f>
        <v>0</v>
      </c>
      <c r="DJ81" s="58"/>
      <c r="DK81" s="58"/>
      <c r="DL81" s="69"/>
      <c r="DM81" s="68">
        <f t="shared" si="64"/>
        <v>0</v>
      </c>
      <c r="DN81" s="58"/>
      <c r="DO81" s="58"/>
      <c r="DP81" s="68">
        <f t="shared" si="65"/>
        <v>0</v>
      </c>
      <c r="DQ81" s="65"/>
      <c r="DR81" s="65"/>
      <c r="DS81" s="68">
        <f t="shared" si="66"/>
        <v>0</v>
      </c>
      <c r="DT81" s="65"/>
      <c r="DU81" s="65"/>
      <c r="DV81" s="65"/>
      <c r="DW81" s="68">
        <f>SUM(Tableau1[[#This Row],[Comission et courtage sur achats]:[Autres ou honoraires
 non précisé ]])</f>
        <v>0</v>
      </c>
      <c r="DX81" s="57"/>
      <c r="DY81" s="57"/>
      <c r="DZ81" s="65"/>
      <c r="EA81" s="65"/>
      <c r="EB81" s="65"/>
      <c r="EC81" s="68">
        <f t="shared" si="67"/>
        <v>0</v>
      </c>
      <c r="ED81" s="69"/>
      <c r="EE81" s="69"/>
      <c r="EF81" s="69"/>
      <c r="EG81" s="69"/>
      <c r="EH81" s="69"/>
      <c r="EI81" s="84">
        <f>SUM(Tableau1[[#This Row],[Transports sur films]:[autres ]])</f>
        <v>0</v>
      </c>
      <c r="EJ81" s="132">
        <v>0</v>
      </c>
      <c r="EK81" s="132"/>
      <c r="EL81" s="68">
        <f t="shared" si="68"/>
        <v>0</v>
      </c>
      <c r="EM81" s="65"/>
      <c r="EN81" s="65">
        <v>0</v>
      </c>
      <c r="EO81" s="65"/>
      <c r="EP81" s="65"/>
      <c r="EQ81" s="65"/>
      <c r="ER81" s="65"/>
      <c r="ES81" s="65"/>
      <c r="ET81" s="68">
        <f t="shared" si="69"/>
        <v>0</v>
      </c>
      <c r="EU81" s="65"/>
      <c r="EV81" s="65"/>
      <c r="EW81" s="65"/>
      <c r="EX81" s="65"/>
      <c r="EY81" s="65"/>
      <c r="EZ81" s="68">
        <f t="shared" si="46"/>
        <v>0</v>
      </c>
      <c r="FA81" s="65"/>
      <c r="FB81" s="65"/>
      <c r="FC81" s="70">
        <f t="shared" si="44"/>
        <v>0</v>
      </c>
      <c r="FD81" s="65"/>
      <c r="FE81" s="71">
        <f t="shared" si="70"/>
        <v>0</v>
      </c>
      <c r="FF81" s="72">
        <f t="shared" si="71"/>
        <v>0</v>
      </c>
      <c r="FG81" s="65"/>
      <c r="FH81" s="65"/>
      <c r="FI81" s="65"/>
      <c r="FJ81" s="56">
        <f t="shared" si="72"/>
        <v>0</v>
      </c>
      <c r="FK81" s="65"/>
      <c r="FL81" s="65"/>
      <c r="FM81" s="65"/>
      <c r="FN81" s="65"/>
      <c r="FO81" s="67">
        <f t="shared" si="73"/>
        <v>0</v>
      </c>
      <c r="FP81" s="57"/>
      <c r="FQ81" s="73"/>
      <c r="FR81" s="73"/>
      <c r="FS81" s="71">
        <f t="shared" si="74"/>
        <v>0</v>
      </c>
      <c r="FT81" s="91"/>
      <c r="FU81" s="91"/>
      <c r="FV81" s="67">
        <f>SUM(Tableau1[[#This Row],[Droits d''auteurs SACEM + cotisations SACEM]:[Autres ou non préciés]])</f>
        <v>0</v>
      </c>
      <c r="FW81" s="75">
        <f t="shared" si="75"/>
        <v>0</v>
      </c>
      <c r="FX81" s="74">
        <v>0</v>
      </c>
      <c r="FY81" s="74"/>
      <c r="FZ81" s="74"/>
      <c r="GA81" s="74"/>
      <c r="GB81" s="71">
        <f t="shared" si="76"/>
        <v>0</v>
      </c>
      <c r="GC81" s="92"/>
      <c r="GD81" s="92"/>
      <c r="GE81" s="67">
        <f t="shared" si="77"/>
        <v>0</v>
      </c>
      <c r="GF81" s="66"/>
      <c r="GG81" s="66"/>
      <c r="GH81" s="66"/>
      <c r="GI81" s="66"/>
      <c r="GJ81" s="77"/>
    </row>
    <row r="82" spans="1:192" ht="18.600000000000001" customHeight="1" x14ac:dyDescent="0.25">
      <c r="A82" s="89"/>
      <c r="B82" s="17"/>
      <c r="C82" s="50"/>
      <c r="D82" s="140"/>
      <c r="E82" s="51"/>
      <c r="F82" s="139">
        <f t="shared" si="45"/>
        <v>1</v>
      </c>
      <c r="G82" s="49"/>
      <c r="H82" s="50"/>
      <c r="I82" s="122"/>
      <c r="J82" s="49"/>
      <c r="K82" s="50"/>
      <c r="L82" s="50"/>
      <c r="M82" s="90"/>
      <c r="N82" s="50"/>
      <c r="O82" s="50"/>
      <c r="P82" s="90"/>
      <c r="Q82" s="52">
        <f t="shared" si="47"/>
        <v>0</v>
      </c>
      <c r="R82" s="52">
        <f t="shared" si="48"/>
        <v>0</v>
      </c>
      <c r="S82" s="53">
        <f t="shared" si="49"/>
        <v>0</v>
      </c>
      <c r="T82" s="54">
        <f t="shared" si="50"/>
        <v>0</v>
      </c>
      <c r="U82" s="115">
        <f>SUM(Tableau1[[#This Row],[Vente confiserie]:[Vente boisson]])</f>
        <v>0</v>
      </c>
      <c r="V82" s="55"/>
      <c r="W82" s="55"/>
      <c r="X82" s="135">
        <f>SUM(Tableau1[[#This Row],[Vente lunette]:[Location lunette]])</f>
        <v>0</v>
      </c>
      <c r="Y82" s="55"/>
      <c r="Z82" s="55"/>
      <c r="AA82" s="55"/>
      <c r="AB82" s="55"/>
      <c r="AC82" s="56">
        <f t="shared" si="38"/>
        <v>0</v>
      </c>
      <c r="AD82" s="57"/>
      <c r="AE82" s="57"/>
      <c r="AF82" s="57"/>
      <c r="AG82" s="57"/>
      <c r="AH82" s="57"/>
      <c r="AI82" s="57"/>
      <c r="AJ82" s="118">
        <f>(Tableau1[[#This Row],[Recette guichet ]]*1.1275177)-Tableau1[[#This Row],[Recette guichet ]]</f>
        <v>0</v>
      </c>
      <c r="AK82" s="57"/>
      <c r="AL82" s="56">
        <f t="shared" si="39"/>
        <v>0</v>
      </c>
      <c r="AM82" s="58"/>
      <c r="AN82" s="58"/>
      <c r="AO82" s="58"/>
      <c r="AP82" s="115">
        <f t="shared" si="51"/>
        <v>0</v>
      </c>
      <c r="AQ82" s="69"/>
      <c r="AR82" s="69"/>
      <c r="AS82" s="69"/>
      <c r="AT82" s="69"/>
      <c r="AU82" s="59">
        <f t="shared" si="52"/>
        <v>0</v>
      </c>
      <c r="AV82" s="60">
        <f t="shared" si="53"/>
        <v>0</v>
      </c>
      <c r="AW82" s="58"/>
      <c r="AX82" s="58"/>
      <c r="AY82" s="58"/>
      <c r="AZ82" s="60">
        <f t="shared" si="42"/>
        <v>0</v>
      </c>
      <c r="BA82" s="58"/>
      <c r="BB82" s="58"/>
      <c r="BC82" s="58"/>
      <c r="BD82" s="60">
        <f>SUM(Tableau1[[#This Row],[ticket/carte/abonnement périmé]:[Autres ou non précisé 5]])</f>
        <v>0</v>
      </c>
      <c r="BE82" s="58"/>
      <c r="BF82" s="58"/>
      <c r="BG82" s="58"/>
      <c r="BH82" s="61">
        <f t="shared" si="54"/>
        <v>0</v>
      </c>
      <c r="BI82" s="120"/>
      <c r="BJ82" s="120"/>
      <c r="BK82" s="62">
        <f t="shared" si="55"/>
        <v>0</v>
      </c>
      <c r="BL82" s="120"/>
      <c r="BM82" s="120"/>
      <c r="BN82" s="120"/>
      <c r="BO82" s="120"/>
      <c r="BP82" s="120"/>
      <c r="BQ82" s="63"/>
      <c r="BR82" s="52">
        <f t="shared" si="56"/>
        <v>0</v>
      </c>
      <c r="BS82" s="52">
        <f t="shared" si="57"/>
        <v>0</v>
      </c>
      <c r="BT82" s="61">
        <f t="shared" si="58"/>
        <v>0</v>
      </c>
      <c r="BU82" s="64">
        <f t="shared" si="59"/>
        <v>0</v>
      </c>
      <c r="BV82" s="119">
        <f>SUM(Tableau1[[#This Row],[Achats confiserie]:[Achats boisson]])</f>
        <v>0</v>
      </c>
      <c r="BW82" s="58"/>
      <c r="BX82" s="69"/>
      <c r="BY82" s="58"/>
      <c r="BZ82" s="56">
        <f t="shared" si="60"/>
        <v>0</v>
      </c>
      <c r="CA82" s="66"/>
      <c r="CB82" s="66"/>
      <c r="CC82" s="56">
        <f t="shared" si="61"/>
        <v>0</v>
      </c>
      <c r="CD82" s="55"/>
      <c r="CE82" s="65"/>
      <c r="CF82" s="55"/>
      <c r="CG82" s="55"/>
      <c r="CH82" s="67">
        <f t="shared" si="62"/>
        <v>0</v>
      </c>
      <c r="CI82" s="68">
        <f t="shared" si="37"/>
        <v>0</v>
      </c>
      <c r="CJ82" s="55"/>
      <c r="CK82" s="55"/>
      <c r="CL82" s="55"/>
      <c r="CM82" s="55"/>
      <c r="CN82" s="55"/>
      <c r="CO82" s="68">
        <f t="shared" si="63"/>
        <v>0</v>
      </c>
      <c r="CP82" s="75">
        <f>SUM(Tableau1[[#This Row],[Fourniture eau]:[Energie (non précisé)]])</f>
        <v>0</v>
      </c>
      <c r="CQ82" s="55"/>
      <c r="CR82" s="55"/>
      <c r="CS82" s="55"/>
      <c r="CT82" s="55"/>
      <c r="CU82" s="55"/>
      <c r="CV82" s="55">
        <v>0</v>
      </c>
      <c r="CW82" s="55"/>
      <c r="CX82" s="68">
        <f>SUM(Tableau1[[#This Row],[Sous-traitance]:[Autres ou non précisé 12]])</f>
        <v>0</v>
      </c>
      <c r="CY82" s="65"/>
      <c r="CZ82" s="65"/>
      <c r="DA82" s="65"/>
      <c r="DB82" s="65"/>
      <c r="DC82" s="55"/>
      <c r="DD82" s="68">
        <f t="shared" si="43"/>
        <v>0</v>
      </c>
      <c r="DE82" s="55"/>
      <c r="DF82" s="65"/>
      <c r="DG82" s="65"/>
      <c r="DH82" s="65"/>
      <c r="DI82" s="68">
        <f>SUM(Tableau1[[#This Row],[Entretien et réparation matériel de projection]:[Autres ou non précisé 14]])</f>
        <v>0</v>
      </c>
      <c r="DJ82" s="58"/>
      <c r="DK82" s="58"/>
      <c r="DL82" s="69"/>
      <c r="DM82" s="68">
        <f t="shared" si="64"/>
        <v>0</v>
      </c>
      <c r="DN82" s="58"/>
      <c r="DO82" s="58"/>
      <c r="DP82" s="68">
        <f t="shared" si="65"/>
        <v>0</v>
      </c>
      <c r="DQ82" s="65"/>
      <c r="DR82" s="65"/>
      <c r="DS82" s="68">
        <f t="shared" si="66"/>
        <v>0</v>
      </c>
      <c r="DT82" s="65"/>
      <c r="DU82" s="65"/>
      <c r="DV82" s="65"/>
      <c r="DW82" s="68">
        <f>SUM(Tableau1[[#This Row],[Comission et courtage sur achats]:[Autres ou honoraires
 non précisé ]])</f>
        <v>0</v>
      </c>
      <c r="DX82" s="57"/>
      <c r="DY82" s="57"/>
      <c r="DZ82" s="65"/>
      <c r="EA82" s="65"/>
      <c r="EB82" s="65"/>
      <c r="EC82" s="68">
        <f t="shared" si="67"/>
        <v>0</v>
      </c>
      <c r="ED82" s="69"/>
      <c r="EE82" s="69"/>
      <c r="EF82" s="69"/>
      <c r="EG82" s="69"/>
      <c r="EH82" s="69"/>
      <c r="EI82" s="84">
        <f>SUM(Tableau1[[#This Row],[Transports sur films]:[autres ]])</f>
        <v>0</v>
      </c>
      <c r="EJ82" s="132">
        <v>0</v>
      </c>
      <c r="EK82" s="132"/>
      <c r="EL82" s="68">
        <f t="shared" si="68"/>
        <v>0</v>
      </c>
      <c r="EM82" s="65"/>
      <c r="EN82" s="65">
        <v>0</v>
      </c>
      <c r="EO82" s="65"/>
      <c r="EP82" s="65"/>
      <c r="EQ82" s="65"/>
      <c r="ER82" s="65"/>
      <c r="ES82" s="65"/>
      <c r="ET82" s="68">
        <f t="shared" si="69"/>
        <v>0</v>
      </c>
      <c r="EU82" s="65"/>
      <c r="EV82" s="65"/>
      <c r="EW82" s="65"/>
      <c r="EX82" s="65"/>
      <c r="EY82" s="65"/>
      <c r="EZ82" s="68">
        <f t="shared" si="46"/>
        <v>0</v>
      </c>
      <c r="FA82" s="65"/>
      <c r="FB82" s="65"/>
      <c r="FC82" s="70">
        <f t="shared" si="44"/>
        <v>0</v>
      </c>
      <c r="FD82" s="65"/>
      <c r="FE82" s="71">
        <f t="shared" si="70"/>
        <v>0</v>
      </c>
      <c r="FF82" s="72">
        <f t="shared" si="71"/>
        <v>0</v>
      </c>
      <c r="FG82" s="65"/>
      <c r="FH82" s="65"/>
      <c r="FI82" s="65"/>
      <c r="FJ82" s="56">
        <f t="shared" si="72"/>
        <v>0</v>
      </c>
      <c r="FK82" s="65"/>
      <c r="FL82" s="65"/>
      <c r="FM82" s="65"/>
      <c r="FN82" s="65"/>
      <c r="FO82" s="67">
        <f t="shared" si="73"/>
        <v>0</v>
      </c>
      <c r="FP82" s="57"/>
      <c r="FQ82" s="73"/>
      <c r="FR82" s="73"/>
      <c r="FS82" s="71">
        <f t="shared" si="74"/>
        <v>0</v>
      </c>
      <c r="FT82" s="91"/>
      <c r="FU82" s="91"/>
      <c r="FV82" s="67">
        <f>SUM(Tableau1[[#This Row],[Droits d''auteurs SACEM + cotisations SACEM]:[Autres ou non préciés]])</f>
        <v>0</v>
      </c>
      <c r="FW82" s="75">
        <f t="shared" si="75"/>
        <v>0</v>
      </c>
      <c r="FX82" s="74">
        <v>0</v>
      </c>
      <c r="FY82" s="74"/>
      <c r="FZ82" s="74"/>
      <c r="GA82" s="74"/>
      <c r="GB82" s="71">
        <f t="shared" si="76"/>
        <v>0</v>
      </c>
      <c r="GC82" s="92"/>
      <c r="GD82" s="92"/>
      <c r="GE82" s="67">
        <f t="shared" si="77"/>
        <v>0</v>
      </c>
      <c r="GF82" s="66"/>
      <c r="GG82" s="66"/>
      <c r="GH82" s="66"/>
      <c r="GI82" s="66"/>
      <c r="GJ82" s="77"/>
    </row>
    <row r="83" spans="1:192" ht="18.600000000000001" customHeight="1" x14ac:dyDescent="0.25">
      <c r="A83" s="89"/>
      <c r="B83" s="17"/>
      <c r="C83" s="50"/>
      <c r="D83" s="140"/>
      <c r="E83" s="51"/>
      <c r="F83" s="139">
        <f t="shared" si="45"/>
        <v>1</v>
      </c>
      <c r="G83" s="49"/>
      <c r="H83" s="50"/>
      <c r="I83" s="122"/>
      <c r="J83" s="49"/>
      <c r="K83" s="50"/>
      <c r="L83" s="50"/>
      <c r="M83" s="90"/>
      <c r="N83" s="50"/>
      <c r="O83" s="50"/>
      <c r="P83" s="90"/>
      <c r="Q83" s="52">
        <f t="shared" si="47"/>
        <v>0</v>
      </c>
      <c r="R83" s="52">
        <f t="shared" si="48"/>
        <v>0</v>
      </c>
      <c r="S83" s="53">
        <f t="shared" si="49"/>
        <v>0</v>
      </c>
      <c r="T83" s="54">
        <f t="shared" si="50"/>
        <v>0</v>
      </c>
      <c r="U83" s="115">
        <f>SUM(Tableau1[[#This Row],[Vente confiserie]:[Vente boisson]])</f>
        <v>0</v>
      </c>
      <c r="V83" s="55"/>
      <c r="W83" s="55"/>
      <c r="X83" s="135">
        <f>SUM(Tableau1[[#This Row],[Vente lunette]:[Location lunette]])</f>
        <v>0</v>
      </c>
      <c r="Y83" s="55"/>
      <c r="Z83" s="55"/>
      <c r="AA83" s="55"/>
      <c r="AB83" s="55"/>
      <c r="AC83" s="56">
        <f t="shared" si="38"/>
        <v>0</v>
      </c>
      <c r="AD83" s="57"/>
      <c r="AE83" s="57"/>
      <c r="AF83" s="57"/>
      <c r="AG83" s="57"/>
      <c r="AH83" s="57"/>
      <c r="AI83" s="57"/>
      <c r="AJ83" s="118">
        <f>(Tableau1[[#This Row],[Recette guichet ]]*1.1275177)-Tableau1[[#This Row],[Recette guichet ]]</f>
        <v>0</v>
      </c>
      <c r="AK83" s="57"/>
      <c r="AL83" s="56">
        <f t="shared" si="39"/>
        <v>0</v>
      </c>
      <c r="AM83" s="58"/>
      <c r="AN83" s="58"/>
      <c r="AO83" s="58"/>
      <c r="AP83" s="115">
        <f t="shared" si="51"/>
        <v>0</v>
      </c>
      <c r="AQ83" s="69"/>
      <c r="AR83" s="69"/>
      <c r="AS83" s="69"/>
      <c r="AT83" s="69"/>
      <c r="AU83" s="59">
        <f t="shared" si="52"/>
        <v>0</v>
      </c>
      <c r="AV83" s="60">
        <f t="shared" si="53"/>
        <v>0</v>
      </c>
      <c r="AW83" s="58"/>
      <c r="AX83" s="58"/>
      <c r="AY83" s="58"/>
      <c r="AZ83" s="60">
        <f t="shared" si="42"/>
        <v>0</v>
      </c>
      <c r="BA83" s="58"/>
      <c r="BB83" s="58"/>
      <c r="BC83" s="58"/>
      <c r="BD83" s="60">
        <f>SUM(Tableau1[[#This Row],[ticket/carte/abonnement périmé]:[Autres ou non précisé 5]])</f>
        <v>0</v>
      </c>
      <c r="BE83" s="58"/>
      <c r="BF83" s="58"/>
      <c r="BG83" s="58"/>
      <c r="BH83" s="61">
        <f t="shared" si="54"/>
        <v>0</v>
      </c>
      <c r="BI83" s="120"/>
      <c r="BJ83" s="120"/>
      <c r="BK83" s="62">
        <f t="shared" si="55"/>
        <v>0</v>
      </c>
      <c r="BL83" s="120"/>
      <c r="BM83" s="120"/>
      <c r="BN83" s="120"/>
      <c r="BO83" s="120"/>
      <c r="BP83" s="120"/>
      <c r="BQ83" s="63"/>
      <c r="BR83" s="52">
        <f t="shared" si="56"/>
        <v>0</v>
      </c>
      <c r="BS83" s="52">
        <f t="shared" si="57"/>
        <v>0</v>
      </c>
      <c r="BT83" s="61">
        <f t="shared" si="58"/>
        <v>0</v>
      </c>
      <c r="BU83" s="64">
        <f t="shared" si="59"/>
        <v>0</v>
      </c>
      <c r="BV83" s="119">
        <f>SUM(Tableau1[[#This Row],[Achats confiserie]:[Achats boisson]])</f>
        <v>0</v>
      </c>
      <c r="BW83" s="58"/>
      <c r="BX83" s="69"/>
      <c r="BY83" s="58"/>
      <c r="BZ83" s="56">
        <f t="shared" si="60"/>
        <v>0</v>
      </c>
      <c r="CA83" s="66"/>
      <c r="CB83" s="66"/>
      <c r="CC83" s="56">
        <f t="shared" si="61"/>
        <v>0</v>
      </c>
      <c r="CD83" s="55"/>
      <c r="CE83" s="65"/>
      <c r="CF83" s="55"/>
      <c r="CG83" s="55"/>
      <c r="CH83" s="67">
        <f t="shared" si="62"/>
        <v>0</v>
      </c>
      <c r="CI83" s="68">
        <f t="shared" ref="CI83:CI146" si="78">SUM(CJ83:CN83)</f>
        <v>0</v>
      </c>
      <c r="CJ83" s="55"/>
      <c r="CK83" s="55"/>
      <c r="CL83" s="55"/>
      <c r="CM83" s="55"/>
      <c r="CN83" s="55"/>
      <c r="CO83" s="68">
        <f t="shared" si="63"/>
        <v>0</v>
      </c>
      <c r="CP83" s="75">
        <f>SUM(Tableau1[[#This Row],[Fourniture eau]:[Energie (non précisé)]])</f>
        <v>0</v>
      </c>
      <c r="CQ83" s="55"/>
      <c r="CR83" s="55"/>
      <c r="CS83" s="55"/>
      <c r="CT83" s="55"/>
      <c r="CU83" s="55"/>
      <c r="CV83" s="55">
        <v>0</v>
      </c>
      <c r="CW83" s="55"/>
      <c r="CX83" s="68">
        <f>SUM(Tableau1[[#This Row],[Sous-traitance]:[Autres ou non précisé 12]])</f>
        <v>0</v>
      </c>
      <c r="CY83" s="65"/>
      <c r="CZ83" s="65"/>
      <c r="DA83" s="65"/>
      <c r="DB83" s="65"/>
      <c r="DC83" s="55"/>
      <c r="DD83" s="68">
        <f t="shared" si="43"/>
        <v>0</v>
      </c>
      <c r="DE83" s="55"/>
      <c r="DF83" s="65"/>
      <c r="DG83" s="65"/>
      <c r="DH83" s="65"/>
      <c r="DI83" s="68">
        <f>SUM(Tableau1[[#This Row],[Entretien et réparation matériel de projection]:[Autres ou non précisé 14]])</f>
        <v>0</v>
      </c>
      <c r="DJ83" s="58"/>
      <c r="DK83" s="58"/>
      <c r="DL83" s="69"/>
      <c r="DM83" s="68">
        <f t="shared" si="64"/>
        <v>0</v>
      </c>
      <c r="DN83" s="58"/>
      <c r="DO83" s="58"/>
      <c r="DP83" s="68">
        <f t="shared" si="65"/>
        <v>0</v>
      </c>
      <c r="DQ83" s="65"/>
      <c r="DR83" s="65"/>
      <c r="DS83" s="68">
        <f t="shared" si="66"/>
        <v>0</v>
      </c>
      <c r="DT83" s="65"/>
      <c r="DU83" s="65"/>
      <c r="DV83" s="65"/>
      <c r="DW83" s="68">
        <f>SUM(Tableau1[[#This Row],[Comission et courtage sur achats]:[Autres ou honoraires
 non précisé ]])</f>
        <v>0</v>
      </c>
      <c r="DX83" s="57"/>
      <c r="DY83" s="57"/>
      <c r="DZ83" s="65"/>
      <c r="EA83" s="65"/>
      <c r="EB83" s="65"/>
      <c r="EC83" s="68">
        <f t="shared" si="67"/>
        <v>0</v>
      </c>
      <c r="ED83" s="69"/>
      <c r="EE83" s="69"/>
      <c r="EF83" s="69"/>
      <c r="EG83" s="69"/>
      <c r="EH83" s="69"/>
      <c r="EI83" s="84">
        <f>SUM(Tableau1[[#This Row],[Transports sur films]:[autres ]])</f>
        <v>0</v>
      </c>
      <c r="EJ83" s="132">
        <v>0</v>
      </c>
      <c r="EK83" s="132"/>
      <c r="EL83" s="68">
        <f t="shared" si="68"/>
        <v>0</v>
      </c>
      <c r="EM83" s="65"/>
      <c r="EN83" s="65">
        <v>0</v>
      </c>
      <c r="EO83" s="65"/>
      <c r="EP83" s="65"/>
      <c r="EQ83" s="65"/>
      <c r="ER83" s="65"/>
      <c r="ES83" s="65"/>
      <c r="ET83" s="68">
        <f t="shared" si="69"/>
        <v>0</v>
      </c>
      <c r="EU83" s="65"/>
      <c r="EV83" s="65"/>
      <c r="EW83" s="65"/>
      <c r="EX83" s="65"/>
      <c r="EY83" s="65"/>
      <c r="EZ83" s="68">
        <f t="shared" si="46"/>
        <v>0</v>
      </c>
      <c r="FA83" s="65"/>
      <c r="FB83" s="65"/>
      <c r="FC83" s="70">
        <f t="shared" si="44"/>
        <v>0</v>
      </c>
      <c r="FD83" s="65"/>
      <c r="FE83" s="71">
        <f t="shared" si="70"/>
        <v>0</v>
      </c>
      <c r="FF83" s="72">
        <f t="shared" si="71"/>
        <v>0</v>
      </c>
      <c r="FG83" s="65"/>
      <c r="FH83" s="65"/>
      <c r="FI83" s="65"/>
      <c r="FJ83" s="56">
        <f t="shared" si="72"/>
        <v>0</v>
      </c>
      <c r="FK83" s="65"/>
      <c r="FL83" s="65"/>
      <c r="FM83" s="65"/>
      <c r="FN83" s="65"/>
      <c r="FO83" s="67">
        <f t="shared" si="73"/>
        <v>0</v>
      </c>
      <c r="FP83" s="57"/>
      <c r="FQ83" s="73"/>
      <c r="FR83" s="73"/>
      <c r="FS83" s="71">
        <f t="shared" si="74"/>
        <v>0</v>
      </c>
      <c r="FT83" s="91"/>
      <c r="FU83" s="91"/>
      <c r="FV83" s="67">
        <f>SUM(Tableau1[[#This Row],[Droits d''auteurs SACEM + cotisations SACEM]:[Autres ou non préciés]])</f>
        <v>0</v>
      </c>
      <c r="FW83" s="75">
        <f t="shared" si="75"/>
        <v>0</v>
      </c>
      <c r="FX83" s="74">
        <v>0</v>
      </c>
      <c r="FY83" s="74"/>
      <c r="FZ83" s="74"/>
      <c r="GA83" s="74"/>
      <c r="GB83" s="71">
        <f t="shared" si="76"/>
        <v>0</v>
      </c>
      <c r="GC83" s="92"/>
      <c r="GD83" s="92"/>
      <c r="GE83" s="67">
        <f t="shared" si="77"/>
        <v>0</v>
      </c>
      <c r="GF83" s="66"/>
      <c r="GG83" s="66"/>
      <c r="GH83" s="66"/>
      <c r="GI83" s="66"/>
      <c r="GJ83" s="77"/>
    </row>
    <row r="84" spans="1:192" ht="18.600000000000001" customHeight="1" x14ac:dyDescent="0.25">
      <c r="A84" s="89"/>
      <c r="B84" s="17"/>
      <c r="C84" s="50"/>
      <c r="D84" s="140"/>
      <c r="E84" s="51"/>
      <c r="F84" s="139">
        <f t="shared" si="45"/>
        <v>1</v>
      </c>
      <c r="G84" s="49"/>
      <c r="H84" s="50"/>
      <c r="I84" s="122"/>
      <c r="J84" s="49"/>
      <c r="K84" s="50"/>
      <c r="L84" s="50"/>
      <c r="M84" s="90"/>
      <c r="N84" s="50"/>
      <c r="O84" s="50"/>
      <c r="P84" s="90"/>
      <c r="Q84" s="52">
        <f t="shared" si="47"/>
        <v>0</v>
      </c>
      <c r="R84" s="52">
        <f t="shared" si="48"/>
        <v>0</v>
      </c>
      <c r="S84" s="53">
        <f t="shared" si="49"/>
        <v>0</v>
      </c>
      <c r="T84" s="54">
        <f t="shared" si="50"/>
        <v>0</v>
      </c>
      <c r="U84" s="115">
        <f>SUM(Tableau1[[#This Row],[Vente confiserie]:[Vente boisson]])</f>
        <v>0</v>
      </c>
      <c r="V84" s="55"/>
      <c r="W84" s="55"/>
      <c r="X84" s="135">
        <f>SUM(Tableau1[[#This Row],[Vente lunette]:[Location lunette]])</f>
        <v>0</v>
      </c>
      <c r="Y84" s="55"/>
      <c r="Z84" s="55"/>
      <c r="AA84" s="55"/>
      <c r="AB84" s="55"/>
      <c r="AC84" s="56">
        <f t="shared" si="38"/>
        <v>0</v>
      </c>
      <c r="AD84" s="57"/>
      <c r="AE84" s="57"/>
      <c r="AF84" s="57"/>
      <c r="AG84" s="57"/>
      <c r="AH84" s="57"/>
      <c r="AI84" s="57"/>
      <c r="AJ84" s="118">
        <f>(Tableau1[[#This Row],[Recette guichet ]]*1.1275177)-Tableau1[[#This Row],[Recette guichet ]]</f>
        <v>0</v>
      </c>
      <c r="AK84" s="57"/>
      <c r="AL84" s="56">
        <f t="shared" si="39"/>
        <v>0</v>
      </c>
      <c r="AM84" s="58"/>
      <c r="AN84" s="58"/>
      <c r="AO84" s="58"/>
      <c r="AP84" s="115">
        <f t="shared" si="51"/>
        <v>0</v>
      </c>
      <c r="AQ84" s="69"/>
      <c r="AR84" s="69"/>
      <c r="AS84" s="69"/>
      <c r="AT84" s="69"/>
      <c r="AU84" s="59">
        <f t="shared" si="52"/>
        <v>0</v>
      </c>
      <c r="AV84" s="60">
        <f t="shared" si="53"/>
        <v>0</v>
      </c>
      <c r="AW84" s="58"/>
      <c r="AX84" s="58"/>
      <c r="AY84" s="58"/>
      <c r="AZ84" s="60">
        <f t="shared" si="42"/>
        <v>0</v>
      </c>
      <c r="BA84" s="58"/>
      <c r="BB84" s="58"/>
      <c r="BC84" s="58"/>
      <c r="BD84" s="60">
        <f>SUM(Tableau1[[#This Row],[ticket/carte/abonnement périmé]:[Autres ou non précisé 5]])</f>
        <v>0</v>
      </c>
      <c r="BE84" s="58"/>
      <c r="BF84" s="58"/>
      <c r="BG84" s="58"/>
      <c r="BH84" s="61">
        <f t="shared" si="54"/>
        <v>0</v>
      </c>
      <c r="BI84" s="120"/>
      <c r="BJ84" s="120"/>
      <c r="BK84" s="62">
        <f t="shared" si="55"/>
        <v>0</v>
      </c>
      <c r="BL84" s="120"/>
      <c r="BM84" s="120"/>
      <c r="BN84" s="120"/>
      <c r="BO84" s="120"/>
      <c r="BP84" s="120"/>
      <c r="BQ84" s="63"/>
      <c r="BR84" s="52">
        <f t="shared" si="56"/>
        <v>0</v>
      </c>
      <c r="BS84" s="52">
        <f t="shared" si="57"/>
        <v>0</v>
      </c>
      <c r="BT84" s="61">
        <f t="shared" si="58"/>
        <v>0</v>
      </c>
      <c r="BU84" s="64">
        <f t="shared" si="59"/>
        <v>0</v>
      </c>
      <c r="BV84" s="119">
        <f>SUM(Tableau1[[#This Row],[Achats confiserie]:[Achats boisson]])</f>
        <v>0</v>
      </c>
      <c r="BW84" s="58"/>
      <c r="BX84" s="69"/>
      <c r="BY84" s="58"/>
      <c r="BZ84" s="56">
        <f t="shared" si="60"/>
        <v>0</v>
      </c>
      <c r="CA84" s="66"/>
      <c r="CB84" s="66"/>
      <c r="CC84" s="56">
        <f t="shared" si="61"/>
        <v>0</v>
      </c>
      <c r="CD84" s="55"/>
      <c r="CE84" s="65"/>
      <c r="CF84" s="55"/>
      <c r="CG84" s="55"/>
      <c r="CH84" s="67">
        <f t="shared" si="62"/>
        <v>0</v>
      </c>
      <c r="CI84" s="68">
        <f t="shared" si="78"/>
        <v>0</v>
      </c>
      <c r="CJ84" s="55"/>
      <c r="CK84" s="55"/>
      <c r="CL84" s="55"/>
      <c r="CM84" s="55"/>
      <c r="CN84" s="55"/>
      <c r="CO84" s="68">
        <f t="shared" si="63"/>
        <v>0</v>
      </c>
      <c r="CP84" s="75">
        <f>SUM(Tableau1[[#This Row],[Fourniture eau]:[Energie (non précisé)]])</f>
        <v>0</v>
      </c>
      <c r="CQ84" s="55"/>
      <c r="CR84" s="55"/>
      <c r="CS84" s="55"/>
      <c r="CT84" s="55"/>
      <c r="CU84" s="55"/>
      <c r="CV84" s="55">
        <v>0</v>
      </c>
      <c r="CW84" s="55"/>
      <c r="CX84" s="68">
        <f>SUM(Tableau1[[#This Row],[Sous-traitance]:[Autres ou non précisé 12]])</f>
        <v>0</v>
      </c>
      <c r="CY84" s="65"/>
      <c r="CZ84" s="65"/>
      <c r="DA84" s="65"/>
      <c r="DB84" s="65"/>
      <c r="DC84" s="55"/>
      <c r="DD84" s="68">
        <f t="shared" si="43"/>
        <v>0</v>
      </c>
      <c r="DE84" s="55"/>
      <c r="DF84" s="65"/>
      <c r="DG84" s="65"/>
      <c r="DH84" s="65"/>
      <c r="DI84" s="68">
        <f>SUM(Tableau1[[#This Row],[Entretien et réparation matériel de projection]:[Autres ou non précisé 14]])</f>
        <v>0</v>
      </c>
      <c r="DJ84" s="58"/>
      <c r="DK84" s="58"/>
      <c r="DL84" s="69"/>
      <c r="DM84" s="68">
        <f t="shared" si="64"/>
        <v>0</v>
      </c>
      <c r="DN84" s="58"/>
      <c r="DO84" s="58"/>
      <c r="DP84" s="68">
        <f t="shared" si="65"/>
        <v>0</v>
      </c>
      <c r="DQ84" s="65"/>
      <c r="DR84" s="65"/>
      <c r="DS84" s="68">
        <f t="shared" si="66"/>
        <v>0</v>
      </c>
      <c r="DT84" s="65"/>
      <c r="DU84" s="65"/>
      <c r="DV84" s="65"/>
      <c r="DW84" s="68">
        <f>SUM(Tableau1[[#This Row],[Comission et courtage sur achats]:[Autres ou honoraires
 non précisé ]])</f>
        <v>0</v>
      </c>
      <c r="DX84" s="57"/>
      <c r="DY84" s="57"/>
      <c r="DZ84" s="65"/>
      <c r="EA84" s="65"/>
      <c r="EB84" s="65"/>
      <c r="EC84" s="68">
        <f t="shared" si="67"/>
        <v>0</v>
      </c>
      <c r="ED84" s="69"/>
      <c r="EE84" s="69"/>
      <c r="EF84" s="69"/>
      <c r="EG84" s="69"/>
      <c r="EH84" s="69"/>
      <c r="EI84" s="84">
        <f>SUM(Tableau1[[#This Row],[Transports sur films]:[autres ]])</f>
        <v>0</v>
      </c>
      <c r="EJ84" s="132">
        <v>0</v>
      </c>
      <c r="EK84" s="132"/>
      <c r="EL84" s="68">
        <f t="shared" si="68"/>
        <v>0</v>
      </c>
      <c r="EM84" s="65"/>
      <c r="EN84" s="65">
        <v>0</v>
      </c>
      <c r="EO84" s="65"/>
      <c r="EP84" s="65"/>
      <c r="EQ84" s="65"/>
      <c r="ER84" s="65"/>
      <c r="ES84" s="65"/>
      <c r="ET84" s="68">
        <f t="shared" si="69"/>
        <v>0</v>
      </c>
      <c r="EU84" s="65"/>
      <c r="EV84" s="65"/>
      <c r="EW84" s="65"/>
      <c r="EX84" s="65"/>
      <c r="EY84" s="65"/>
      <c r="EZ84" s="68">
        <f t="shared" si="46"/>
        <v>0</v>
      </c>
      <c r="FA84" s="65"/>
      <c r="FB84" s="65"/>
      <c r="FC84" s="70">
        <f t="shared" si="44"/>
        <v>0</v>
      </c>
      <c r="FD84" s="65"/>
      <c r="FE84" s="71">
        <f t="shared" si="70"/>
        <v>0</v>
      </c>
      <c r="FF84" s="72">
        <f t="shared" si="71"/>
        <v>0</v>
      </c>
      <c r="FG84" s="65"/>
      <c r="FH84" s="65"/>
      <c r="FI84" s="65"/>
      <c r="FJ84" s="56">
        <f t="shared" si="72"/>
        <v>0</v>
      </c>
      <c r="FK84" s="65"/>
      <c r="FL84" s="65"/>
      <c r="FM84" s="65"/>
      <c r="FN84" s="65"/>
      <c r="FO84" s="67">
        <f t="shared" si="73"/>
        <v>0</v>
      </c>
      <c r="FP84" s="57"/>
      <c r="FQ84" s="73"/>
      <c r="FR84" s="73"/>
      <c r="FS84" s="71">
        <f t="shared" si="74"/>
        <v>0</v>
      </c>
      <c r="FT84" s="91"/>
      <c r="FU84" s="91"/>
      <c r="FV84" s="67">
        <f>SUM(Tableau1[[#This Row],[Droits d''auteurs SACEM + cotisations SACEM]:[Autres ou non préciés]])</f>
        <v>0</v>
      </c>
      <c r="FW84" s="75">
        <f t="shared" si="75"/>
        <v>0</v>
      </c>
      <c r="FX84" s="74">
        <v>0</v>
      </c>
      <c r="FY84" s="74"/>
      <c r="FZ84" s="74"/>
      <c r="GA84" s="74"/>
      <c r="GB84" s="71">
        <f t="shared" si="76"/>
        <v>0</v>
      </c>
      <c r="GC84" s="92"/>
      <c r="GD84" s="92"/>
      <c r="GE84" s="67">
        <f t="shared" si="77"/>
        <v>0</v>
      </c>
      <c r="GF84" s="66"/>
      <c r="GG84" s="66"/>
      <c r="GH84" s="66"/>
      <c r="GI84" s="66"/>
      <c r="GJ84" s="77"/>
    </row>
    <row r="85" spans="1:192" ht="18.600000000000001" customHeight="1" x14ac:dyDescent="0.25">
      <c r="A85" s="89"/>
      <c r="B85" s="17"/>
      <c r="C85" s="50"/>
      <c r="D85" s="140"/>
      <c r="E85" s="51"/>
      <c r="F85" s="139">
        <f t="shared" si="45"/>
        <v>1</v>
      </c>
      <c r="G85" s="49"/>
      <c r="H85" s="50"/>
      <c r="I85" s="122"/>
      <c r="J85" s="49"/>
      <c r="K85" s="50"/>
      <c r="L85" s="50"/>
      <c r="M85" s="90"/>
      <c r="N85" s="50"/>
      <c r="O85" s="50"/>
      <c r="P85" s="90"/>
      <c r="Q85" s="52">
        <f t="shared" si="47"/>
        <v>0</v>
      </c>
      <c r="R85" s="52">
        <f t="shared" si="48"/>
        <v>0</v>
      </c>
      <c r="S85" s="53">
        <f t="shared" si="49"/>
        <v>0</v>
      </c>
      <c r="T85" s="54">
        <f t="shared" si="50"/>
        <v>0</v>
      </c>
      <c r="U85" s="115">
        <f>SUM(Tableau1[[#This Row],[Vente confiserie]:[Vente boisson]])</f>
        <v>0</v>
      </c>
      <c r="V85" s="55"/>
      <c r="W85" s="55"/>
      <c r="X85" s="135">
        <f>SUM(Tableau1[[#This Row],[Vente lunette]:[Location lunette]])</f>
        <v>0</v>
      </c>
      <c r="Y85" s="55"/>
      <c r="Z85" s="55"/>
      <c r="AA85" s="55"/>
      <c r="AB85" s="55"/>
      <c r="AC85" s="56">
        <f t="shared" ref="AC85:AC148" si="79">SUM(AD85:AI85,AK85)</f>
        <v>0</v>
      </c>
      <c r="AD85" s="57"/>
      <c r="AE85" s="57"/>
      <c r="AF85" s="57"/>
      <c r="AG85" s="57"/>
      <c r="AH85" s="57"/>
      <c r="AI85" s="57"/>
      <c r="AJ85" s="118">
        <f>(Tableau1[[#This Row],[Recette guichet ]]*1.1275177)-Tableau1[[#This Row],[Recette guichet ]]</f>
        <v>0</v>
      </c>
      <c r="AK85" s="57"/>
      <c r="AL85" s="56">
        <f t="shared" si="39"/>
        <v>0</v>
      </c>
      <c r="AM85" s="58"/>
      <c r="AN85" s="58"/>
      <c r="AO85" s="58"/>
      <c r="AP85" s="115">
        <f t="shared" si="51"/>
        <v>0</v>
      </c>
      <c r="AQ85" s="69"/>
      <c r="AR85" s="69"/>
      <c r="AS85" s="69"/>
      <c r="AT85" s="69"/>
      <c r="AU85" s="59">
        <f t="shared" si="52"/>
        <v>0</v>
      </c>
      <c r="AV85" s="60">
        <f t="shared" si="53"/>
        <v>0</v>
      </c>
      <c r="AW85" s="58"/>
      <c r="AX85" s="58"/>
      <c r="AY85" s="58"/>
      <c r="AZ85" s="60">
        <f t="shared" si="42"/>
        <v>0</v>
      </c>
      <c r="BA85" s="58"/>
      <c r="BB85" s="58"/>
      <c r="BC85" s="58"/>
      <c r="BD85" s="60">
        <f>SUM(Tableau1[[#This Row],[ticket/carte/abonnement périmé]:[Autres ou non précisé 5]])</f>
        <v>0</v>
      </c>
      <c r="BE85" s="58"/>
      <c r="BF85" s="58"/>
      <c r="BG85" s="58"/>
      <c r="BH85" s="61">
        <f t="shared" si="54"/>
        <v>0</v>
      </c>
      <c r="BI85" s="120"/>
      <c r="BJ85" s="120"/>
      <c r="BK85" s="62">
        <f t="shared" si="55"/>
        <v>0</v>
      </c>
      <c r="BL85" s="120"/>
      <c r="BM85" s="120"/>
      <c r="BN85" s="120"/>
      <c r="BO85" s="120"/>
      <c r="BP85" s="120"/>
      <c r="BQ85" s="63"/>
      <c r="BR85" s="52">
        <f t="shared" si="56"/>
        <v>0</v>
      </c>
      <c r="BS85" s="52">
        <f t="shared" si="57"/>
        <v>0</v>
      </c>
      <c r="BT85" s="61">
        <f t="shared" si="58"/>
        <v>0</v>
      </c>
      <c r="BU85" s="64">
        <f t="shared" si="59"/>
        <v>0</v>
      </c>
      <c r="BV85" s="119">
        <f>SUM(Tableau1[[#This Row],[Achats confiserie]:[Achats boisson]])</f>
        <v>0</v>
      </c>
      <c r="BW85" s="58"/>
      <c r="BX85" s="69"/>
      <c r="BY85" s="58"/>
      <c r="BZ85" s="56">
        <f t="shared" si="60"/>
        <v>0</v>
      </c>
      <c r="CA85" s="66"/>
      <c r="CB85" s="66"/>
      <c r="CC85" s="56">
        <f t="shared" si="61"/>
        <v>0</v>
      </c>
      <c r="CD85" s="55"/>
      <c r="CE85" s="65"/>
      <c r="CF85" s="55"/>
      <c r="CG85" s="55"/>
      <c r="CH85" s="67">
        <f t="shared" si="62"/>
        <v>0</v>
      </c>
      <c r="CI85" s="68">
        <f t="shared" si="78"/>
        <v>0</v>
      </c>
      <c r="CJ85" s="55"/>
      <c r="CK85" s="55"/>
      <c r="CL85" s="55"/>
      <c r="CM85" s="55"/>
      <c r="CN85" s="55"/>
      <c r="CO85" s="68">
        <f t="shared" si="63"/>
        <v>0</v>
      </c>
      <c r="CP85" s="75">
        <f>SUM(Tableau1[[#This Row],[Fourniture eau]:[Energie (non précisé)]])</f>
        <v>0</v>
      </c>
      <c r="CQ85" s="55"/>
      <c r="CR85" s="55"/>
      <c r="CS85" s="55"/>
      <c r="CT85" s="55"/>
      <c r="CU85" s="55"/>
      <c r="CV85" s="55">
        <v>0</v>
      </c>
      <c r="CW85" s="55"/>
      <c r="CX85" s="68">
        <f>SUM(Tableau1[[#This Row],[Sous-traitance]:[Autres ou non précisé 12]])</f>
        <v>0</v>
      </c>
      <c r="CY85" s="65"/>
      <c r="CZ85" s="65"/>
      <c r="DA85" s="65"/>
      <c r="DB85" s="65"/>
      <c r="DC85" s="55"/>
      <c r="DD85" s="68">
        <f t="shared" si="43"/>
        <v>0</v>
      </c>
      <c r="DE85" s="55"/>
      <c r="DF85" s="65"/>
      <c r="DG85" s="65"/>
      <c r="DH85" s="65"/>
      <c r="DI85" s="68">
        <f>SUM(Tableau1[[#This Row],[Entretien et réparation matériel de projection]:[Autres ou non précisé 14]])</f>
        <v>0</v>
      </c>
      <c r="DJ85" s="58"/>
      <c r="DK85" s="58"/>
      <c r="DL85" s="69"/>
      <c r="DM85" s="68">
        <f t="shared" si="64"/>
        <v>0</v>
      </c>
      <c r="DN85" s="58"/>
      <c r="DO85" s="58"/>
      <c r="DP85" s="68">
        <f t="shared" si="65"/>
        <v>0</v>
      </c>
      <c r="DQ85" s="65"/>
      <c r="DR85" s="65"/>
      <c r="DS85" s="68">
        <f t="shared" si="66"/>
        <v>0</v>
      </c>
      <c r="DT85" s="65"/>
      <c r="DU85" s="65"/>
      <c r="DV85" s="65"/>
      <c r="DW85" s="68">
        <f>SUM(Tableau1[[#This Row],[Comission et courtage sur achats]:[Autres ou honoraires
 non précisé ]])</f>
        <v>0</v>
      </c>
      <c r="DX85" s="57"/>
      <c r="DY85" s="57"/>
      <c r="DZ85" s="65"/>
      <c r="EA85" s="65"/>
      <c r="EB85" s="65"/>
      <c r="EC85" s="68">
        <f t="shared" si="67"/>
        <v>0</v>
      </c>
      <c r="ED85" s="69"/>
      <c r="EE85" s="69"/>
      <c r="EF85" s="69"/>
      <c r="EG85" s="69"/>
      <c r="EH85" s="69"/>
      <c r="EI85" s="84">
        <f>SUM(Tableau1[[#This Row],[Transports sur films]:[autres ]])</f>
        <v>0</v>
      </c>
      <c r="EJ85" s="132">
        <v>0</v>
      </c>
      <c r="EK85" s="132"/>
      <c r="EL85" s="68">
        <f t="shared" si="68"/>
        <v>0</v>
      </c>
      <c r="EM85" s="65"/>
      <c r="EN85" s="65">
        <v>0</v>
      </c>
      <c r="EO85" s="65"/>
      <c r="EP85" s="65"/>
      <c r="EQ85" s="65"/>
      <c r="ER85" s="65"/>
      <c r="ES85" s="65"/>
      <c r="ET85" s="68">
        <f t="shared" si="69"/>
        <v>0</v>
      </c>
      <c r="EU85" s="65"/>
      <c r="EV85" s="65"/>
      <c r="EW85" s="65"/>
      <c r="EX85" s="65"/>
      <c r="EY85" s="65"/>
      <c r="EZ85" s="68">
        <f t="shared" si="46"/>
        <v>0</v>
      </c>
      <c r="FA85" s="65"/>
      <c r="FB85" s="65"/>
      <c r="FC85" s="70">
        <f t="shared" si="44"/>
        <v>0</v>
      </c>
      <c r="FD85" s="65"/>
      <c r="FE85" s="71">
        <f t="shared" si="70"/>
        <v>0</v>
      </c>
      <c r="FF85" s="72">
        <f t="shared" si="71"/>
        <v>0</v>
      </c>
      <c r="FG85" s="65"/>
      <c r="FH85" s="65"/>
      <c r="FI85" s="65"/>
      <c r="FJ85" s="56">
        <f t="shared" si="72"/>
        <v>0</v>
      </c>
      <c r="FK85" s="65"/>
      <c r="FL85" s="65"/>
      <c r="FM85" s="65"/>
      <c r="FN85" s="65"/>
      <c r="FO85" s="67">
        <f t="shared" si="73"/>
        <v>0</v>
      </c>
      <c r="FP85" s="57"/>
      <c r="FQ85" s="73"/>
      <c r="FR85" s="73"/>
      <c r="FS85" s="71">
        <f t="shared" si="74"/>
        <v>0</v>
      </c>
      <c r="FT85" s="91"/>
      <c r="FU85" s="91"/>
      <c r="FV85" s="67">
        <f>SUM(Tableau1[[#This Row],[Droits d''auteurs SACEM + cotisations SACEM]:[Autres ou non préciés]])</f>
        <v>0</v>
      </c>
      <c r="FW85" s="75">
        <f t="shared" si="75"/>
        <v>0</v>
      </c>
      <c r="FX85" s="74">
        <v>0</v>
      </c>
      <c r="FY85" s="74"/>
      <c r="FZ85" s="74"/>
      <c r="GA85" s="74"/>
      <c r="GB85" s="71">
        <f t="shared" si="76"/>
        <v>0</v>
      </c>
      <c r="GC85" s="92"/>
      <c r="GD85" s="92"/>
      <c r="GE85" s="67">
        <f t="shared" si="77"/>
        <v>0</v>
      </c>
      <c r="GF85" s="66"/>
      <c r="GG85" s="66"/>
      <c r="GH85" s="66"/>
      <c r="GI85" s="66"/>
      <c r="GJ85" s="77"/>
    </row>
    <row r="86" spans="1:192" ht="18.600000000000001" customHeight="1" x14ac:dyDescent="0.25">
      <c r="A86" s="89"/>
      <c r="B86" s="17"/>
      <c r="C86" s="50"/>
      <c r="D86" s="140"/>
      <c r="E86" s="51"/>
      <c r="F86" s="139">
        <f t="shared" si="45"/>
        <v>1</v>
      </c>
      <c r="G86" s="49"/>
      <c r="H86" s="50"/>
      <c r="I86" s="122"/>
      <c r="J86" s="49"/>
      <c r="K86" s="50"/>
      <c r="L86" s="50"/>
      <c r="M86" s="90"/>
      <c r="N86" s="50"/>
      <c r="O86" s="50"/>
      <c r="P86" s="90"/>
      <c r="Q86" s="52">
        <f t="shared" si="47"/>
        <v>0</v>
      </c>
      <c r="R86" s="52">
        <f t="shared" si="48"/>
        <v>0</v>
      </c>
      <c r="S86" s="53">
        <f t="shared" si="49"/>
        <v>0</v>
      </c>
      <c r="T86" s="54">
        <f t="shared" si="50"/>
        <v>0</v>
      </c>
      <c r="U86" s="115">
        <f>SUM(Tableau1[[#This Row],[Vente confiserie]:[Vente boisson]])</f>
        <v>0</v>
      </c>
      <c r="V86" s="55"/>
      <c r="W86" s="55"/>
      <c r="X86" s="135">
        <f>SUM(Tableau1[[#This Row],[Vente lunette]:[Location lunette]])</f>
        <v>0</v>
      </c>
      <c r="Y86" s="55"/>
      <c r="Z86" s="55"/>
      <c r="AA86" s="55"/>
      <c r="AB86" s="55"/>
      <c r="AC86" s="56">
        <f t="shared" si="79"/>
        <v>0</v>
      </c>
      <c r="AD86" s="57"/>
      <c r="AE86" s="57"/>
      <c r="AF86" s="57"/>
      <c r="AG86" s="57"/>
      <c r="AH86" s="57"/>
      <c r="AI86" s="57"/>
      <c r="AJ86" s="118">
        <f>(Tableau1[[#This Row],[Recette guichet ]]*1.1275177)-Tableau1[[#This Row],[Recette guichet ]]</f>
        <v>0</v>
      </c>
      <c r="AK86" s="57"/>
      <c r="AL86" s="56">
        <f t="shared" si="39"/>
        <v>0</v>
      </c>
      <c r="AM86" s="58"/>
      <c r="AN86" s="58"/>
      <c r="AO86" s="58"/>
      <c r="AP86" s="115">
        <f t="shared" si="51"/>
        <v>0</v>
      </c>
      <c r="AQ86" s="69"/>
      <c r="AR86" s="69"/>
      <c r="AS86" s="69"/>
      <c r="AT86" s="69"/>
      <c r="AU86" s="59">
        <f t="shared" si="52"/>
        <v>0</v>
      </c>
      <c r="AV86" s="60">
        <f t="shared" si="53"/>
        <v>0</v>
      </c>
      <c r="AW86" s="58"/>
      <c r="AX86" s="58"/>
      <c r="AY86" s="58"/>
      <c r="AZ86" s="60">
        <f t="shared" si="42"/>
        <v>0</v>
      </c>
      <c r="BA86" s="58"/>
      <c r="BB86" s="58"/>
      <c r="BC86" s="58"/>
      <c r="BD86" s="60">
        <f>SUM(Tableau1[[#This Row],[ticket/carte/abonnement périmé]:[Autres ou non précisé 5]])</f>
        <v>0</v>
      </c>
      <c r="BE86" s="58"/>
      <c r="BF86" s="58"/>
      <c r="BG86" s="58"/>
      <c r="BH86" s="61">
        <f t="shared" si="54"/>
        <v>0</v>
      </c>
      <c r="BI86" s="120"/>
      <c r="BJ86" s="120"/>
      <c r="BK86" s="62">
        <f t="shared" si="55"/>
        <v>0</v>
      </c>
      <c r="BL86" s="120"/>
      <c r="BM86" s="120"/>
      <c r="BN86" s="120"/>
      <c r="BO86" s="120"/>
      <c r="BP86" s="120"/>
      <c r="BQ86" s="63"/>
      <c r="BR86" s="52">
        <f t="shared" si="56"/>
        <v>0</v>
      </c>
      <c r="BS86" s="52">
        <f t="shared" si="57"/>
        <v>0</v>
      </c>
      <c r="BT86" s="61">
        <f t="shared" si="58"/>
        <v>0</v>
      </c>
      <c r="BU86" s="64">
        <f t="shared" si="59"/>
        <v>0</v>
      </c>
      <c r="BV86" s="119">
        <f>SUM(Tableau1[[#This Row],[Achats confiserie]:[Achats boisson]])</f>
        <v>0</v>
      </c>
      <c r="BW86" s="58"/>
      <c r="BX86" s="69"/>
      <c r="BY86" s="58"/>
      <c r="BZ86" s="56">
        <f t="shared" si="60"/>
        <v>0</v>
      </c>
      <c r="CA86" s="66"/>
      <c r="CB86" s="66"/>
      <c r="CC86" s="56">
        <f t="shared" si="61"/>
        <v>0</v>
      </c>
      <c r="CD86" s="55"/>
      <c r="CE86" s="65"/>
      <c r="CF86" s="55"/>
      <c r="CG86" s="55"/>
      <c r="CH86" s="67">
        <f t="shared" si="62"/>
        <v>0</v>
      </c>
      <c r="CI86" s="68">
        <f t="shared" si="78"/>
        <v>0</v>
      </c>
      <c r="CJ86" s="55"/>
      <c r="CK86" s="55"/>
      <c r="CL86" s="55"/>
      <c r="CM86" s="55"/>
      <c r="CN86" s="55"/>
      <c r="CO86" s="68">
        <f t="shared" si="63"/>
        <v>0</v>
      </c>
      <c r="CP86" s="75">
        <f>SUM(Tableau1[[#This Row],[Fourniture eau]:[Energie (non précisé)]])</f>
        <v>0</v>
      </c>
      <c r="CQ86" s="55"/>
      <c r="CR86" s="55"/>
      <c r="CS86" s="55"/>
      <c r="CT86" s="55"/>
      <c r="CU86" s="55"/>
      <c r="CV86" s="55">
        <v>0</v>
      </c>
      <c r="CW86" s="55"/>
      <c r="CX86" s="68">
        <f>SUM(Tableau1[[#This Row],[Sous-traitance]:[Autres ou non précisé 12]])</f>
        <v>0</v>
      </c>
      <c r="CY86" s="65"/>
      <c r="CZ86" s="65"/>
      <c r="DA86" s="65"/>
      <c r="DB86" s="65"/>
      <c r="DC86" s="55"/>
      <c r="DD86" s="68">
        <f t="shared" si="43"/>
        <v>0</v>
      </c>
      <c r="DE86" s="55"/>
      <c r="DF86" s="65"/>
      <c r="DG86" s="65"/>
      <c r="DH86" s="65"/>
      <c r="DI86" s="68">
        <f>SUM(Tableau1[[#This Row],[Entretien et réparation matériel de projection]:[Autres ou non précisé 14]])</f>
        <v>0</v>
      </c>
      <c r="DJ86" s="58"/>
      <c r="DK86" s="58"/>
      <c r="DL86" s="69"/>
      <c r="DM86" s="68">
        <f t="shared" si="64"/>
        <v>0</v>
      </c>
      <c r="DN86" s="58"/>
      <c r="DO86" s="58"/>
      <c r="DP86" s="68">
        <f t="shared" si="65"/>
        <v>0</v>
      </c>
      <c r="DQ86" s="65"/>
      <c r="DR86" s="65"/>
      <c r="DS86" s="68">
        <f t="shared" si="66"/>
        <v>0</v>
      </c>
      <c r="DT86" s="65"/>
      <c r="DU86" s="65"/>
      <c r="DV86" s="65"/>
      <c r="DW86" s="68">
        <f>SUM(Tableau1[[#This Row],[Comission et courtage sur achats]:[Autres ou honoraires
 non précisé ]])</f>
        <v>0</v>
      </c>
      <c r="DX86" s="57"/>
      <c r="DY86" s="57"/>
      <c r="DZ86" s="65"/>
      <c r="EA86" s="65"/>
      <c r="EB86" s="65"/>
      <c r="EC86" s="68">
        <f t="shared" si="67"/>
        <v>0</v>
      </c>
      <c r="ED86" s="69"/>
      <c r="EE86" s="69"/>
      <c r="EF86" s="69"/>
      <c r="EG86" s="69"/>
      <c r="EH86" s="69"/>
      <c r="EI86" s="84">
        <f>SUM(Tableau1[[#This Row],[Transports sur films]:[autres ]])</f>
        <v>0</v>
      </c>
      <c r="EJ86" s="132">
        <v>0</v>
      </c>
      <c r="EK86" s="132"/>
      <c r="EL86" s="68">
        <f t="shared" si="68"/>
        <v>0</v>
      </c>
      <c r="EM86" s="65"/>
      <c r="EN86" s="65">
        <v>0</v>
      </c>
      <c r="EO86" s="65"/>
      <c r="EP86" s="65"/>
      <c r="EQ86" s="65"/>
      <c r="ER86" s="65"/>
      <c r="ES86" s="65"/>
      <c r="ET86" s="68">
        <f t="shared" si="69"/>
        <v>0</v>
      </c>
      <c r="EU86" s="65"/>
      <c r="EV86" s="65"/>
      <c r="EW86" s="65"/>
      <c r="EX86" s="65"/>
      <c r="EY86" s="65"/>
      <c r="EZ86" s="68">
        <f t="shared" si="46"/>
        <v>0</v>
      </c>
      <c r="FA86" s="65"/>
      <c r="FB86" s="65"/>
      <c r="FC86" s="70">
        <f t="shared" si="44"/>
        <v>0</v>
      </c>
      <c r="FD86" s="65"/>
      <c r="FE86" s="71">
        <f t="shared" si="70"/>
        <v>0</v>
      </c>
      <c r="FF86" s="72">
        <f t="shared" si="71"/>
        <v>0</v>
      </c>
      <c r="FG86" s="65"/>
      <c r="FH86" s="65"/>
      <c r="FI86" s="65"/>
      <c r="FJ86" s="56">
        <f t="shared" si="72"/>
        <v>0</v>
      </c>
      <c r="FK86" s="65"/>
      <c r="FL86" s="65"/>
      <c r="FM86" s="65"/>
      <c r="FN86" s="65"/>
      <c r="FO86" s="67">
        <f t="shared" si="73"/>
        <v>0</v>
      </c>
      <c r="FP86" s="57"/>
      <c r="FQ86" s="73"/>
      <c r="FR86" s="73"/>
      <c r="FS86" s="71">
        <f t="shared" si="74"/>
        <v>0</v>
      </c>
      <c r="FT86" s="91"/>
      <c r="FU86" s="91"/>
      <c r="FV86" s="67">
        <f>SUM(Tableau1[[#This Row],[Droits d''auteurs SACEM + cotisations SACEM]:[Autres ou non préciés]])</f>
        <v>0</v>
      </c>
      <c r="FW86" s="75">
        <f t="shared" si="75"/>
        <v>0</v>
      </c>
      <c r="FX86" s="74">
        <v>0</v>
      </c>
      <c r="FY86" s="74"/>
      <c r="FZ86" s="74"/>
      <c r="GA86" s="74"/>
      <c r="GB86" s="71">
        <f t="shared" si="76"/>
        <v>0</v>
      </c>
      <c r="GC86" s="92"/>
      <c r="GD86" s="92"/>
      <c r="GE86" s="67">
        <f t="shared" si="77"/>
        <v>0</v>
      </c>
      <c r="GF86" s="66"/>
      <c r="GG86" s="66"/>
      <c r="GH86" s="66"/>
      <c r="GI86" s="66"/>
      <c r="GJ86" s="77"/>
    </row>
    <row r="87" spans="1:192" ht="18.600000000000001" customHeight="1" x14ac:dyDescent="0.25">
      <c r="A87" s="89"/>
      <c r="B87" s="17"/>
      <c r="C87" s="50"/>
      <c r="D87" s="140"/>
      <c r="E87" s="51"/>
      <c r="F87" s="139">
        <f t="shared" si="45"/>
        <v>1</v>
      </c>
      <c r="G87" s="49"/>
      <c r="H87" s="50"/>
      <c r="I87" s="122"/>
      <c r="J87" s="49"/>
      <c r="K87" s="50"/>
      <c r="L87" s="50"/>
      <c r="M87" s="90"/>
      <c r="N87" s="50"/>
      <c r="O87" s="50"/>
      <c r="P87" s="90"/>
      <c r="Q87" s="52">
        <f t="shared" si="47"/>
        <v>0</v>
      </c>
      <c r="R87" s="52">
        <f t="shared" si="48"/>
        <v>0</v>
      </c>
      <c r="S87" s="53">
        <f t="shared" si="49"/>
        <v>0</v>
      </c>
      <c r="T87" s="54">
        <f t="shared" si="50"/>
        <v>0</v>
      </c>
      <c r="U87" s="115">
        <f>SUM(Tableau1[[#This Row],[Vente confiserie]:[Vente boisson]])</f>
        <v>0</v>
      </c>
      <c r="V87" s="55"/>
      <c r="W87" s="55"/>
      <c r="X87" s="135">
        <f>SUM(Tableau1[[#This Row],[Vente lunette]:[Location lunette]])</f>
        <v>0</v>
      </c>
      <c r="Y87" s="55"/>
      <c r="Z87" s="55"/>
      <c r="AA87" s="55"/>
      <c r="AB87" s="55"/>
      <c r="AC87" s="56">
        <f t="shared" si="79"/>
        <v>0</v>
      </c>
      <c r="AD87" s="57"/>
      <c r="AE87" s="57"/>
      <c r="AF87" s="57"/>
      <c r="AG87" s="57"/>
      <c r="AH87" s="57"/>
      <c r="AI87" s="57"/>
      <c r="AJ87" s="118">
        <f>(Tableau1[[#This Row],[Recette guichet ]]*1.1275177)-Tableau1[[#This Row],[Recette guichet ]]</f>
        <v>0</v>
      </c>
      <c r="AK87" s="57"/>
      <c r="AL87" s="56">
        <f t="shared" ref="AL87:AL150" si="80">SUM(AM87:AO87,AQ87:AT87)</f>
        <v>0</v>
      </c>
      <c r="AM87" s="58"/>
      <c r="AN87" s="58"/>
      <c r="AO87" s="58"/>
      <c r="AP87" s="115">
        <f t="shared" si="51"/>
        <v>0</v>
      </c>
      <c r="AQ87" s="69"/>
      <c r="AR87" s="69"/>
      <c r="AS87" s="69"/>
      <c r="AT87" s="69"/>
      <c r="AU87" s="59">
        <f t="shared" si="52"/>
        <v>0</v>
      </c>
      <c r="AV87" s="60">
        <f t="shared" si="53"/>
        <v>0</v>
      </c>
      <c r="AW87" s="58"/>
      <c r="AX87" s="58"/>
      <c r="AY87" s="58"/>
      <c r="AZ87" s="60">
        <f t="shared" si="42"/>
        <v>0</v>
      </c>
      <c r="BA87" s="58"/>
      <c r="BB87" s="58"/>
      <c r="BC87" s="58"/>
      <c r="BD87" s="60">
        <f>SUM(Tableau1[[#This Row],[ticket/carte/abonnement périmé]:[Autres ou non précisé 5]])</f>
        <v>0</v>
      </c>
      <c r="BE87" s="58"/>
      <c r="BF87" s="58"/>
      <c r="BG87" s="58"/>
      <c r="BH87" s="61">
        <f t="shared" si="54"/>
        <v>0</v>
      </c>
      <c r="BI87" s="120"/>
      <c r="BJ87" s="120"/>
      <c r="BK87" s="62">
        <f t="shared" si="55"/>
        <v>0</v>
      </c>
      <c r="BL87" s="120"/>
      <c r="BM87" s="120"/>
      <c r="BN87" s="120"/>
      <c r="BO87" s="120"/>
      <c r="BP87" s="120"/>
      <c r="BQ87" s="63"/>
      <c r="BR87" s="52">
        <f t="shared" si="56"/>
        <v>0</v>
      </c>
      <c r="BS87" s="52">
        <f t="shared" si="57"/>
        <v>0</v>
      </c>
      <c r="BT87" s="61">
        <f t="shared" si="58"/>
        <v>0</v>
      </c>
      <c r="BU87" s="64">
        <f t="shared" si="59"/>
        <v>0</v>
      </c>
      <c r="BV87" s="119">
        <f>SUM(Tableau1[[#This Row],[Achats confiserie]:[Achats boisson]])</f>
        <v>0</v>
      </c>
      <c r="BW87" s="58"/>
      <c r="BX87" s="69"/>
      <c r="BY87" s="58"/>
      <c r="BZ87" s="56">
        <f t="shared" si="60"/>
        <v>0</v>
      </c>
      <c r="CA87" s="66"/>
      <c r="CB87" s="66"/>
      <c r="CC87" s="56">
        <f t="shared" si="61"/>
        <v>0</v>
      </c>
      <c r="CD87" s="55"/>
      <c r="CE87" s="65"/>
      <c r="CF87" s="55"/>
      <c r="CG87" s="55"/>
      <c r="CH87" s="67">
        <f t="shared" si="62"/>
        <v>0</v>
      </c>
      <c r="CI87" s="68">
        <f t="shared" si="78"/>
        <v>0</v>
      </c>
      <c r="CJ87" s="55"/>
      <c r="CK87" s="55"/>
      <c r="CL87" s="55"/>
      <c r="CM87" s="55"/>
      <c r="CN87" s="55"/>
      <c r="CO87" s="68">
        <f t="shared" si="63"/>
        <v>0</v>
      </c>
      <c r="CP87" s="75">
        <f>SUM(Tableau1[[#This Row],[Fourniture eau]:[Energie (non précisé)]])</f>
        <v>0</v>
      </c>
      <c r="CQ87" s="55"/>
      <c r="CR87" s="55"/>
      <c r="CS87" s="55"/>
      <c r="CT87" s="55"/>
      <c r="CU87" s="55"/>
      <c r="CV87" s="55">
        <v>0</v>
      </c>
      <c r="CW87" s="55"/>
      <c r="CX87" s="68">
        <f>SUM(Tableau1[[#This Row],[Sous-traitance]:[Autres ou non précisé 12]])</f>
        <v>0</v>
      </c>
      <c r="CY87" s="65"/>
      <c r="CZ87" s="65"/>
      <c r="DA87" s="65"/>
      <c r="DB87" s="65"/>
      <c r="DC87" s="55"/>
      <c r="DD87" s="68">
        <f t="shared" si="43"/>
        <v>0</v>
      </c>
      <c r="DE87" s="55"/>
      <c r="DF87" s="65"/>
      <c r="DG87" s="65"/>
      <c r="DH87" s="65"/>
      <c r="DI87" s="68">
        <f>SUM(Tableau1[[#This Row],[Entretien et réparation matériel de projection]:[Autres ou non précisé 14]])</f>
        <v>0</v>
      </c>
      <c r="DJ87" s="58"/>
      <c r="DK87" s="58"/>
      <c r="DL87" s="69"/>
      <c r="DM87" s="68">
        <f t="shared" si="64"/>
        <v>0</v>
      </c>
      <c r="DN87" s="58"/>
      <c r="DO87" s="58"/>
      <c r="DP87" s="68">
        <f t="shared" si="65"/>
        <v>0</v>
      </c>
      <c r="DQ87" s="65"/>
      <c r="DR87" s="65"/>
      <c r="DS87" s="68">
        <f t="shared" si="66"/>
        <v>0</v>
      </c>
      <c r="DT87" s="65"/>
      <c r="DU87" s="65"/>
      <c r="DV87" s="65"/>
      <c r="DW87" s="68">
        <f>SUM(Tableau1[[#This Row],[Comission et courtage sur achats]:[Autres ou honoraires
 non précisé ]])</f>
        <v>0</v>
      </c>
      <c r="DX87" s="57"/>
      <c r="DY87" s="57"/>
      <c r="DZ87" s="65"/>
      <c r="EA87" s="65"/>
      <c r="EB87" s="65"/>
      <c r="EC87" s="68">
        <f t="shared" si="67"/>
        <v>0</v>
      </c>
      <c r="ED87" s="69"/>
      <c r="EE87" s="69"/>
      <c r="EF87" s="69"/>
      <c r="EG87" s="69"/>
      <c r="EH87" s="69"/>
      <c r="EI87" s="84">
        <f>SUM(Tableau1[[#This Row],[Transports sur films]:[autres ]])</f>
        <v>0</v>
      </c>
      <c r="EJ87" s="132">
        <v>0</v>
      </c>
      <c r="EK87" s="132"/>
      <c r="EL87" s="68">
        <f t="shared" si="68"/>
        <v>0</v>
      </c>
      <c r="EM87" s="65"/>
      <c r="EN87" s="65">
        <v>0</v>
      </c>
      <c r="EO87" s="65"/>
      <c r="EP87" s="65"/>
      <c r="EQ87" s="65"/>
      <c r="ER87" s="65"/>
      <c r="ES87" s="65"/>
      <c r="ET87" s="68">
        <f t="shared" si="69"/>
        <v>0</v>
      </c>
      <c r="EU87" s="65"/>
      <c r="EV87" s="65"/>
      <c r="EW87" s="65"/>
      <c r="EX87" s="65"/>
      <c r="EY87" s="65"/>
      <c r="EZ87" s="68">
        <f t="shared" si="46"/>
        <v>0</v>
      </c>
      <c r="FA87" s="65"/>
      <c r="FB87" s="65"/>
      <c r="FC87" s="70">
        <f t="shared" si="44"/>
        <v>0</v>
      </c>
      <c r="FD87" s="65"/>
      <c r="FE87" s="71">
        <f t="shared" si="70"/>
        <v>0</v>
      </c>
      <c r="FF87" s="72">
        <f t="shared" si="71"/>
        <v>0</v>
      </c>
      <c r="FG87" s="65"/>
      <c r="FH87" s="65"/>
      <c r="FI87" s="65"/>
      <c r="FJ87" s="56">
        <f t="shared" si="72"/>
        <v>0</v>
      </c>
      <c r="FK87" s="65"/>
      <c r="FL87" s="65"/>
      <c r="FM87" s="65"/>
      <c r="FN87" s="65"/>
      <c r="FO87" s="67">
        <f t="shared" si="73"/>
        <v>0</v>
      </c>
      <c r="FP87" s="57"/>
      <c r="FQ87" s="73"/>
      <c r="FR87" s="73"/>
      <c r="FS87" s="71">
        <f t="shared" si="74"/>
        <v>0</v>
      </c>
      <c r="FT87" s="91"/>
      <c r="FU87" s="91"/>
      <c r="FV87" s="67">
        <f>SUM(Tableau1[[#This Row],[Droits d''auteurs SACEM + cotisations SACEM]:[Autres ou non préciés]])</f>
        <v>0</v>
      </c>
      <c r="FW87" s="75">
        <f t="shared" si="75"/>
        <v>0</v>
      </c>
      <c r="FX87" s="74">
        <v>0</v>
      </c>
      <c r="FY87" s="74"/>
      <c r="FZ87" s="74"/>
      <c r="GA87" s="74"/>
      <c r="GB87" s="71">
        <f t="shared" si="76"/>
        <v>0</v>
      </c>
      <c r="GC87" s="92"/>
      <c r="GD87" s="92"/>
      <c r="GE87" s="67">
        <f t="shared" si="77"/>
        <v>0</v>
      </c>
      <c r="GF87" s="66"/>
      <c r="GG87" s="66"/>
      <c r="GH87" s="66"/>
      <c r="GI87" s="66"/>
      <c r="GJ87" s="77"/>
    </row>
    <row r="88" spans="1:192" ht="18.600000000000001" customHeight="1" x14ac:dyDescent="0.25">
      <c r="A88" s="89"/>
      <c r="B88" s="17"/>
      <c r="C88" s="50"/>
      <c r="D88" s="140"/>
      <c r="E88" s="51"/>
      <c r="F88" s="139">
        <f t="shared" si="45"/>
        <v>1</v>
      </c>
      <c r="G88" s="49"/>
      <c r="H88" s="50"/>
      <c r="I88" s="122"/>
      <c r="J88" s="49"/>
      <c r="K88" s="50"/>
      <c r="L88" s="50"/>
      <c r="M88" s="90"/>
      <c r="N88" s="50"/>
      <c r="O88" s="50"/>
      <c r="P88" s="90"/>
      <c r="Q88" s="52">
        <f t="shared" si="47"/>
        <v>0</v>
      </c>
      <c r="R88" s="52">
        <f t="shared" si="48"/>
        <v>0</v>
      </c>
      <c r="S88" s="53">
        <f t="shared" si="49"/>
        <v>0</v>
      </c>
      <c r="T88" s="54">
        <f t="shared" si="50"/>
        <v>0</v>
      </c>
      <c r="U88" s="115">
        <f>SUM(Tableau1[[#This Row],[Vente confiserie]:[Vente boisson]])</f>
        <v>0</v>
      </c>
      <c r="V88" s="55"/>
      <c r="W88" s="55"/>
      <c r="X88" s="135">
        <f>SUM(Tableau1[[#This Row],[Vente lunette]:[Location lunette]])</f>
        <v>0</v>
      </c>
      <c r="Y88" s="55"/>
      <c r="Z88" s="55"/>
      <c r="AA88" s="55"/>
      <c r="AB88" s="55"/>
      <c r="AC88" s="56">
        <f t="shared" si="79"/>
        <v>0</v>
      </c>
      <c r="AD88" s="57"/>
      <c r="AE88" s="57"/>
      <c r="AF88" s="57"/>
      <c r="AG88" s="57"/>
      <c r="AH88" s="57"/>
      <c r="AI88" s="57"/>
      <c r="AJ88" s="118">
        <f>(Tableau1[[#This Row],[Recette guichet ]]*1.1275177)-Tableau1[[#This Row],[Recette guichet ]]</f>
        <v>0</v>
      </c>
      <c r="AK88" s="57"/>
      <c r="AL88" s="56">
        <f t="shared" si="80"/>
        <v>0</v>
      </c>
      <c r="AM88" s="58"/>
      <c r="AN88" s="58"/>
      <c r="AO88" s="58"/>
      <c r="AP88" s="115">
        <f t="shared" si="51"/>
        <v>0</v>
      </c>
      <c r="AQ88" s="69"/>
      <c r="AR88" s="69"/>
      <c r="AS88" s="69"/>
      <c r="AT88" s="69"/>
      <c r="AU88" s="59">
        <f t="shared" si="52"/>
        <v>0</v>
      </c>
      <c r="AV88" s="60">
        <f t="shared" si="53"/>
        <v>0</v>
      </c>
      <c r="AW88" s="58"/>
      <c r="AX88" s="58"/>
      <c r="AY88" s="58"/>
      <c r="AZ88" s="60">
        <f t="shared" si="42"/>
        <v>0</v>
      </c>
      <c r="BA88" s="58"/>
      <c r="BB88" s="58"/>
      <c r="BC88" s="58"/>
      <c r="BD88" s="60">
        <f>SUM(Tableau1[[#This Row],[ticket/carte/abonnement périmé]:[Autres ou non précisé 5]])</f>
        <v>0</v>
      </c>
      <c r="BE88" s="58"/>
      <c r="BF88" s="58"/>
      <c r="BG88" s="58"/>
      <c r="BH88" s="61">
        <f t="shared" si="54"/>
        <v>0</v>
      </c>
      <c r="BI88" s="120"/>
      <c r="BJ88" s="120"/>
      <c r="BK88" s="62">
        <f t="shared" si="55"/>
        <v>0</v>
      </c>
      <c r="BL88" s="120"/>
      <c r="BM88" s="120"/>
      <c r="BN88" s="120"/>
      <c r="BO88" s="120"/>
      <c r="BP88" s="120"/>
      <c r="BQ88" s="63"/>
      <c r="BR88" s="52">
        <f t="shared" si="56"/>
        <v>0</v>
      </c>
      <c r="BS88" s="52">
        <f t="shared" si="57"/>
        <v>0</v>
      </c>
      <c r="BT88" s="61">
        <f t="shared" si="58"/>
        <v>0</v>
      </c>
      <c r="BU88" s="64">
        <f t="shared" si="59"/>
        <v>0</v>
      </c>
      <c r="BV88" s="119">
        <f>SUM(Tableau1[[#This Row],[Achats confiserie]:[Achats boisson]])</f>
        <v>0</v>
      </c>
      <c r="BW88" s="58"/>
      <c r="BX88" s="69"/>
      <c r="BY88" s="58"/>
      <c r="BZ88" s="56">
        <f t="shared" si="60"/>
        <v>0</v>
      </c>
      <c r="CA88" s="66"/>
      <c r="CB88" s="66"/>
      <c r="CC88" s="56">
        <f t="shared" si="61"/>
        <v>0</v>
      </c>
      <c r="CD88" s="55"/>
      <c r="CE88" s="65"/>
      <c r="CF88" s="55"/>
      <c r="CG88" s="55"/>
      <c r="CH88" s="67">
        <f t="shared" si="62"/>
        <v>0</v>
      </c>
      <c r="CI88" s="68">
        <f t="shared" si="78"/>
        <v>0</v>
      </c>
      <c r="CJ88" s="55"/>
      <c r="CK88" s="55"/>
      <c r="CL88" s="55"/>
      <c r="CM88" s="55"/>
      <c r="CN88" s="55"/>
      <c r="CO88" s="68">
        <f t="shared" si="63"/>
        <v>0</v>
      </c>
      <c r="CP88" s="75">
        <f>SUM(Tableau1[[#This Row],[Fourniture eau]:[Energie (non précisé)]])</f>
        <v>0</v>
      </c>
      <c r="CQ88" s="55"/>
      <c r="CR88" s="55"/>
      <c r="CS88" s="55"/>
      <c r="CT88" s="55"/>
      <c r="CU88" s="55"/>
      <c r="CV88" s="55">
        <v>0</v>
      </c>
      <c r="CW88" s="55"/>
      <c r="CX88" s="68">
        <f>SUM(Tableau1[[#This Row],[Sous-traitance]:[Autres ou non précisé 12]])</f>
        <v>0</v>
      </c>
      <c r="CY88" s="65"/>
      <c r="CZ88" s="65"/>
      <c r="DA88" s="65"/>
      <c r="DB88" s="65"/>
      <c r="DC88" s="55"/>
      <c r="DD88" s="68">
        <f t="shared" si="43"/>
        <v>0</v>
      </c>
      <c r="DE88" s="55"/>
      <c r="DF88" s="65"/>
      <c r="DG88" s="65"/>
      <c r="DH88" s="65"/>
      <c r="DI88" s="68">
        <f>SUM(Tableau1[[#This Row],[Entretien et réparation matériel de projection]:[Autres ou non précisé 14]])</f>
        <v>0</v>
      </c>
      <c r="DJ88" s="58"/>
      <c r="DK88" s="58"/>
      <c r="DL88" s="69"/>
      <c r="DM88" s="68">
        <f t="shared" si="64"/>
        <v>0</v>
      </c>
      <c r="DN88" s="58"/>
      <c r="DO88" s="58"/>
      <c r="DP88" s="68">
        <f t="shared" si="65"/>
        <v>0</v>
      </c>
      <c r="DQ88" s="65"/>
      <c r="DR88" s="65"/>
      <c r="DS88" s="68">
        <f t="shared" si="66"/>
        <v>0</v>
      </c>
      <c r="DT88" s="65"/>
      <c r="DU88" s="65"/>
      <c r="DV88" s="65"/>
      <c r="DW88" s="68">
        <f>SUM(Tableau1[[#This Row],[Comission et courtage sur achats]:[Autres ou honoraires
 non précisé ]])</f>
        <v>0</v>
      </c>
      <c r="DX88" s="57"/>
      <c r="DY88" s="57"/>
      <c r="DZ88" s="65"/>
      <c r="EA88" s="65"/>
      <c r="EB88" s="65"/>
      <c r="EC88" s="68">
        <f t="shared" si="67"/>
        <v>0</v>
      </c>
      <c r="ED88" s="69"/>
      <c r="EE88" s="69"/>
      <c r="EF88" s="69"/>
      <c r="EG88" s="69"/>
      <c r="EH88" s="69"/>
      <c r="EI88" s="84">
        <f>SUM(Tableau1[[#This Row],[Transports sur films]:[autres ]])</f>
        <v>0</v>
      </c>
      <c r="EJ88" s="132">
        <v>0</v>
      </c>
      <c r="EK88" s="132"/>
      <c r="EL88" s="68">
        <f t="shared" si="68"/>
        <v>0</v>
      </c>
      <c r="EM88" s="65"/>
      <c r="EN88" s="65">
        <v>0</v>
      </c>
      <c r="EO88" s="65"/>
      <c r="EP88" s="65"/>
      <c r="EQ88" s="65"/>
      <c r="ER88" s="65"/>
      <c r="ES88" s="65"/>
      <c r="ET88" s="68">
        <f t="shared" si="69"/>
        <v>0</v>
      </c>
      <c r="EU88" s="65"/>
      <c r="EV88" s="65"/>
      <c r="EW88" s="65"/>
      <c r="EX88" s="65"/>
      <c r="EY88" s="65"/>
      <c r="EZ88" s="68">
        <f t="shared" si="46"/>
        <v>0</v>
      </c>
      <c r="FA88" s="65"/>
      <c r="FB88" s="65"/>
      <c r="FC88" s="70">
        <f t="shared" si="44"/>
        <v>0</v>
      </c>
      <c r="FD88" s="65"/>
      <c r="FE88" s="71">
        <f t="shared" si="70"/>
        <v>0</v>
      </c>
      <c r="FF88" s="72">
        <f t="shared" si="71"/>
        <v>0</v>
      </c>
      <c r="FG88" s="65"/>
      <c r="FH88" s="65"/>
      <c r="FI88" s="65"/>
      <c r="FJ88" s="56">
        <f t="shared" si="72"/>
        <v>0</v>
      </c>
      <c r="FK88" s="65"/>
      <c r="FL88" s="65"/>
      <c r="FM88" s="65"/>
      <c r="FN88" s="65"/>
      <c r="FO88" s="67">
        <f t="shared" si="73"/>
        <v>0</v>
      </c>
      <c r="FP88" s="57"/>
      <c r="FQ88" s="73"/>
      <c r="FR88" s="73"/>
      <c r="FS88" s="71">
        <f t="shared" si="74"/>
        <v>0</v>
      </c>
      <c r="FT88" s="91"/>
      <c r="FU88" s="91"/>
      <c r="FV88" s="67">
        <f>SUM(Tableau1[[#This Row],[Droits d''auteurs SACEM + cotisations SACEM]:[Autres ou non préciés]])</f>
        <v>0</v>
      </c>
      <c r="FW88" s="75">
        <f t="shared" si="75"/>
        <v>0</v>
      </c>
      <c r="FX88" s="74">
        <v>0</v>
      </c>
      <c r="FY88" s="74"/>
      <c r="FZ88" s="74"/>
      <c r="GA88" s="74"/>
      <c r="GB88" s="71">
        <f t="shared" si="76"/>
        <v>0</v>
      </c>
      <c r="GC88" s="92"/>
      <c r="GD88" s="92"/>
      <c r="GE88" s="67">
        <f t="shared" si="77"/>
        <v>0</v>
      </c>
      <c r="GF88" s="66"/>
      <c r="GG88" s="66"/>
      <c r="GH88" s="66"/>
      <c r="GI88" s="66"/>
      <c r="GJ88" s="77"/>
    </row>
    <row r="89" spans="1:192" ht="18.600000000000001" customHeight="1" x14ac:dyDescent="0.25">
      <c r="A89" s="89"/>
      <c r="B89" s="17"/>
      <c r="C89" s="50"/>
      <c r="D89" s="140"/>
      <c r="E89" s="51"/>
      <c r="F89" s="139">
        <f t="shared" si="45"/>
        <v>1</v>
      </c>
      <c r="G89" s="49"/>
      <c r="H89" s="50"/>
      <c r="I89" s="122"/>
      <c r="J89" s="49"/>
      <c r="K89" s="50"/>
      <c r="L89" s="50"/>
      <c r="M89" s="90"/>
      <c r="N89" s="50"/>
      <c r="O89" s="50"/>
      <c r="P89" s="90"/>
      <c r="Q89" s="52">
        <f t="shared" si="47"/>
        <v>0</v>
      </c>
      <c r="R89" s="52">
        <f t="shared" si="48"/>
        <v>0</v>
      </c>
      <c r="S89" s="53">
        <f t="shared" si="49"/>
        <v>0</v>
      </c>
      <c r="T89" s="54">
        <f t="shared" si="50"/>
        <v>0</v>
      </c>
      <c r="U89" s="115">
        <f>SUM(Tableau1[[#This Row],[Vente confiserie]:[Vente boisson]])</f>
        <v>0</v>
      </c>
      <c r="V89" s="55"/>
      <c r="W89" s="55"/>
      <c r="X89" s="135">
        <f>SUM(Tableau1[[#This Row],[Vente lunette]:[Location lunette]])</f>
        <v>0</v>
      </c>
      <c r="Y89" s="55"/>
      <c r="Z89" s="55"/>
      <c r="AA89" s="55"/>
      <c r="AB89" s="55"/>
      <c r="AC89" s="56">
        <f t="shared" si="79"/>
        <v>0</v>
      </c>
      <c r="AD89" s="57"/>
      <c r="AE89" s="57"/>
      <c r="AF89" s="57"/>
      <c r="AG89" s="57"/>
      <c r="AH89" s="57"/>
      <c r="AI89" s="57"/>
      <c r="AJ89" s="118">
        <f>(Tableau1[[#This Row],[Recette guichet ]]*1.1275177)-Tableau1[[#This Row],[Recette guichet ]]</f>
        <v>0</v>
      </c>
      <c r="AK89" s="57"/>
      <c r="AL89" s="56">
        <f t="shared" si="80"/>
        <v>0</v>
      </c>
      <c r="AM89" s="58"/>
      <c r="AN89" s="58"/>
      <c r="AO89" s="58"/>
      <c r="AP89" s="115">
        <f t="shared" si="51"/>
        <v>0</v>
      </c>
      <c r="AQ89" s="69"/>
      <c r="AR89" s="69"/>
      <c r="AS89" s="69"/>
      <c r="AT89" s="69"/>
      <c r="AU89" s="59">
        <f t="shared" si="52"/>
        <v>0</v>
      </c>
      <c r="AV89" s="60">
        <f t="shared" si="53"/>
        <v>0</v>
      </c>
      <c r="AW89" s="58"/>
      <c r="AX89" s="58"/>
      <c r="AY89" s="58"/>
      <c r="AZ89" s="60">
        <f t="shared" si="42"/>
        <v>0</v>
      </c>
      <c r="BA89" s="58"/>
      <c r="BB89" s="58"/>
      <c r="BC89" s="58"/>
      <c r="BD89" s="60">
        <f>SUM(Tableau1[[#This Row],[ticket/carte/abonnement périmé]:[Autres ou non précisé 5]])</f>
        <v>0</v>
      </c>
      <c r="BE89" s="58"/>
      <c r="BF89" s="58"/>
      <c r="BG89" s="58"/>
      <c r="BH89" s="61">
        <f t="shared" si="54"/>
        <v>0</v>
      </c>
      <c r="BI89" s="120"/>
      <c r="BJ89" s="120"/>
      <c r="BK89" s="62">
        <f t="shared" si="55"/>
        <v>0</v>
      </c>
      <c r="BL89" s="120"/>
      <c r="BM89" s="120"/>
      <c r="BN89" s="120"/>
      <c r="BO89" s="120"/>
      <c r="BP89" s="120"/>
      <c r="BQ89" s="63"/>
      <c r="BR89" s="52">
        <f t="shared" si="56"/>
        <v>0</v>
      </c>
      <c r="BS89" s="52">
        <f t="shared" si="57"/>
        <v>0</v>
      </c>
      <c r="BT89" s="61">
        <f t="shared" si="58"/>
        <v>0</v>
      </c>
      <c r="BU89" s="64">
        <f t="shared" si="59"/>
        <v>0</v>
      </c>
      <c r="BV89" s="119">
        <f>SUM(Tableau1[[#This Row],[Achats confiserie]:[Achats boisson]])</f>
        <v>0</v>
      </c>
      <c r="BW89" s="58"/>
      <c r="BX89" s="69"/>
      <c r="BY89" s="58"/>
      <c r="BZ89" s="56">
        <f t="shared" si="60"/>
        <v>0</v>
      </c>
      <c r="CA89" s="66"/>
      <c r="CB89" s="66"/>
      <c r="CC89" s="56">
        <f t="shared" si="61"/>
        <v>0</v>
      </c>
      <c r="CD89" s="55"/>
      <c r="CE89" s="65"/>
      <c r="CF89" s="55"/>
      <c r="CG89" s="55"/>
      <c r="CH89" s="67">
        <f t="shared" si="62"/>
        <v>0</v>
      </c>
      <c r="CI89" s="68">
        <f t="shared" si="78"/>
        <v>0</v>
      </c>
      <c r="CJ89" s="55"/>
      <c r="CK89" s="55"/>
      <c r="CL89" s="55"/>
      <c r="CM89" s="55"/>
      <c r="CN89" s="55"/>
      <c r="CO89" s="68">
        <f t="shared" si="63"/>
        <v>0</v>
      </c>
      <c r="CP89" s="75">
        <f>SUM(Tableau1[[#This Row],[Fourniture eau]:[Energie (non précisé)]])</f>
        <v>0</v>
      </c>
      <c r="CQ89" s="55"/>
      <c r="CR89" s="55"/>
      <c r="CS89" s="55"/>
      <c r="CT89" s="55"/>
      <c r="CU89" s="55"/>
      <c r="CV89" s="55">
        <v>0</v>
      </c>
      <c r="CW89" s="55"/>
      <c r="CX89" s="68">
        <f>SUM(Tableau1[[#This Row],[Sous-traitance]:[Autres ou non précisé 12]])</f>
        <v>0</v>
      </c>
      <c r="CY89" s="65"/>
      <c r="CZ89" s="65"/>
      <c r="DA89" s="65"/>
      <c r="DB89" s="65"/>
      <c r="DC89" s="55"/>
      <c r="DD89" s="68">
        <f t="shared" si="43"/>
        <v>0</v>
      </c>
      <c r="DE89" s="55"/>
      <c r="DF89" s="65"/>
      <c r="DG89" s="65"/>
      <c r="DH89" s="65"/>
      <c r="DI89" s="68">
        <f>SUM(Tableau1[[#This Row],[Entretien et réparation matériel de projection]:[Autres ou non précisé 14]])</f>
        <v>0</v>
      </c>
      <c r="DJ89" s="58"/>
      <c r="DK89" s="58"/>
      <c r="DL89" s="69"/>
      <c r="DM89" s="68">
        <f t="shared" si="64"/>
        <v>0</v>
      </c>
      <c r="DN89" s="58"/>
      <c r="DO89" s="58"/>
      <c r="DP89" s="68">
        <f t="shared" si="65"/>
        <v>0</v>
      </c>
      <c r="DQ89" s="65"/>
      <c r="DR89" s="65"/>
      <c r="DS89" s="68">
        <f t="shared" si="66"/>
        <v>0</v>
      </c>
      <c r="DT89" s="65"/>
      <c r="DU89" s="65"/>
      <c r="DV89" s="65"/>
      <c r="DW89" s="68">
        <f>SUM(Tableau1[[#This Row],[Comission et courtage sur achats]:[Autres ou honoraires
 non précisé ]])</f>
        <v>0</v>
      </c>
      <c r="DX89" s="57"/>
      <c r="DY89" s="57"/>
      <c r="DZ89" s="65"/>
      <c r="EA89" s="65"/>
      <c r="EB89" s="65"/>
      <c r="EC89" s="68">
        <f t="shared" si="67"/>
        <v>0</v>
      </c>
      <c r="ED89" s="69"/>
      <c r="EE89" s="69"/>
      <c r="EF89" s="69"/>
      <c r="EG89" s="69"/>
      <c r="EH89" s="69"/>
      <c r="EI89" s="84">
        <f>SUM(Tableau1[[#This Row],[Transports sur films]:[autres ]])</f>
        <v>0</v>
      </c>
      <c r="EJ89" s="132">
        <v>0</v>
      </c>
      <c r="EK89" s="132"/>
      <c r="EL89" s="68">
        <f t="shared" si="68"/>
        <v>0</v>
      </c>
      <c r="EM89" s="65"/>
      <c r="EN89" s="65">
        <v>0</v>
      </c>
      <c r="EO89" s="65"/>
      <c r="EP89" s="65"/>
      <c r="EQ89" s="65"/>
      <c r="ER89" s="65"/>
      <c r="ES89" s="65"/>
      <c r="ET89" s="68">
        <f t="shared" si="69"/>
        <v>0</v>
      </c>
      <c r="EU89" s="65"/>
      <c r="EV89" s="65"/>
      <c r="EW89" s="65"/>
      <c r="EX89" s="65"/>
      <c r="EY89" s="65"/>
      <c r="EZ89" s="68">
        <f t="shared" si="46"/>
        <v>0</v>
      </c>
      <c r="FA89" s="65"/>
      <c r="FB89" s="65"/>
      <c r="FC89" s="70">
        <f t="shared" si="44"/>
        <v>0</v>
      </c>
      <c r="FD89" s="65"/>
      <c r="FE89" s="71">
        <f t="shared" si="70"/>
        <v>0</v>
      </c>
      <c r="FF89" s="72">
        <f t="shared" si="71"/>
        <v>0</v>
      </c>
      <c r="FG89" s="65"/>
      <c r="FH89" s="65"/>
      <c r="FI89" s="65"/>
      <c r="FJ89" s="56">
        <f t="shared" si="72"/>
        <v>0</v>
      </c>
      <c r="FK89" s="65"/>
      <c r="FL89" s="65"/>
      <c r="FM89" s="65"/>
      <c r="FN89" s="65"/>
      <c r="FO89" s="67">
        <f t="shared" si="73"/>
        <v>0</v>
      </c>
      <c r="FP89" s="57"/>
      <c r="FQ89" s="73"/>
      <c r="FR89" s="73"/>
      <c r="FS89" s="71">
        <f t="shared" si="74"/>
        <v>0</v>
      </c>
      <c r="FT89" s="91"/>
      <c r="FU89" s="91"/>
      <c r="FV89" s="67">
        <f>SUM(Tableau1[[#This Row],[Droits d''auteurs SACEM + cotisations SACEM]:[Autres ou non préciés]])</f>
        <v>0</v>
      </c>
      <c r="FW89" s="75">
        <f t="shared" si="75"/>
        <v>0</v>
      </c>
      <c r="FX89" s="74">
        <v>0</v>
      </c>
      <c r="FY89" s="74"/>
      <c r="FZ89" s="74"/>
      <c r="GA89" s="74"/>
      <c r="GB89" s="71">
        <f t="shared" si="76"/>
        <v>0</v>
      </c>
      <c r="GC89" s="92"/>
      <c r="GD89" s="92"/>
      <c r="GE89" s="67">
        <f t="shared" si="77"/>
        <v>0</v>
      </c>
      <c r="GF89" s="66"/>
      <c r="GG89" s="66"/>
      <c r="GH89" s="66"/>
      <c r="GI89" s="66"/>
      <c r="GJ89" s="77"/>
    </row>
    <row r="90" spans="1:192" ht="18.600000000000001" customHeight="1" x14ac:dyDescent="0.25">
      <c r="A90" s="89"/>
      <c r="B90" s="17"/>
      <c r="C90" s="50"/>
      <c r="D90" s="140"/>
      <c r="E90" s="51"/>
      <c r="F90" s="139">
        <f t="shared" si="45"/>
        <v>1</v>
      </c>
      <c r="G90" s="49"/>
      <c r="H90" s="50"/>
      <c r="I90" s="122"/>
      <c r="J90" s="49"/>
      <c r="K90" s="50"/>
      <c r="L90" s="50"/>
      <c r="M90" s="90"/>
      <c r="N90" s="50"/>
      <c r="O90" s="50"/>
      <c r="P90" s="90"/>
      <c r="Q90" s="52">
        <f t="shared" si="47"/>
        <v>0</v>
      </c>
      <c r="R90" s="52">
        <f t="shared" si="48"/>
        <v>0</v>
      </c>
      <c r="S90" s="53">
        <f t="shared" si="49"/>
        <v>0</v>
      </c>
      <c r="T90" s="54">
        <f t="shared" si="50"/>
        <v>0</v>
      </c>
      <c r="U90" s="115">
        <f>SUM(Tableau1[[#This Row],[Vente confiserie]:[Vente boisson]])</f>
        <v>0</v>
      </c>
      <c r="V90" s="55"/>
      <c r="W90" s="55"/>
      <c r="X90" s="135">
        <f>SUM(Tableau1[[#This Row],[Vente lunette]:[Location lunette]])</f>
        <v>0</v>
      </c>
      <c r="Y90" s="55"/>
      <c r="Z90" s="55"/>
      <c r="AA90" s="55"/>
      <c r="AB90" s="55"/>
      <c r="AC90" s="56">
        <f t="shared" si="79"/>
        <v>0</v>
      </c>
      <c r="AD90" s="57"/>
      <c r="AE90" s="57"/>
      <c r="AF90" s="57"/>
      <c r="AG90" s="57"/>
      <c r="AH90" s="57"/>
      <c r="AI90" s="57"/>
      <c r="AJ90" s="118">
        <f>(Tableau1[[#This Row],[Recette guichet ]]*1.1275177)-Tableau1[[#This Row],[Recette guichet ]]</f>
        <v>0</v>
      </c>
      <c r="AK90" s="57"/>
      <c r="AL90" s="56">
        <f t="shared" si="80"/>
        <v>0</v>
      </c>
      <c r="AM90" s="58"/>
      <c r="AN90" s="58"/>
      <c r="AO90" s="58"/>
      <c r="AP90" s="115">
        <f t="shared" si="51"/>
        <v>0</v>
      </c>
      <c r="AQ90" s="69"/>
      <c r="AR90" s="69"/>
      <c r="AS90" s="69"/>
      <c r="AT90" s="69"/>
      <c r="AU90" s="59">
        <f t="shared" si="52"/>
        <v>0</v>
      </c>
      <c r="AV90" s="60">
        <f t="shared" si="53"/>
        <v>0</v>
      </c>
      <c r="AW90" s="58"/>
      <c r="AX90" s="58"/>
      <c r="AY90" s="58"/>
      <c r="AZ90" s="60">
        <f t="shared" si="42"/>
        <v>0</v>
      </c>
      <c r="BA90" s="58"/>
      <c r="BB90" s="58"/>
      <c r="BC90" s="58"/>
      <c r="BD90" s="60">
        <f>SUM(Tableau1[[#This Row],[ticket/carte/abonnement périmé]:[Autres ou non précisé 5]])</f>
        <v>0</v>
      </c>
      <c r="BE90" s="58"/>
      <c r="BF90" s="58"/>
      <c r="BG90" s="58"/>
      <c r="BH90" s="61">
        <f t="shared" si="54"/>
        <v>0</v>
      </c>
      <c r="BI90" s="120"/>
      <c r="BJ90" s="120"/>
      <c r="BK90" s="62">
        <f t="shared" si="55"/>
        <v>0</v>
      </c>
      <c r="BL90" s="120"/>
      <c r="BM90" s="120"/>
      <c r="BN90" s="120"/>
      <c r="BO90" s="120"/>
      <c r="BP90" s="120"/>
      <c r="BQ90" s="63"/>
      <c r="BR90" s="52">
        <f t="shared" si="56"/>
        <v>0</v>
      </c>
      <c r="BS90" s="52">
        <f t="shared" si="57"/>
        <v>0</v>
      </c>
      <c r="BT90" s="61">
        <f t="shared" si="58"/>
        <v>0</v>
      </c>
      <c r="BU90" s="64">
        <f t="shared" si="59"/>
        <v>0</v>
      </c>
      <c r="BV90" s="119">
        <f>SUM(Tableau1[[#This Row],[Achats confiserie]:[Achats boisson]])</f>
        <v>0</v>
      </c>
      <c r="BW90" s="58"/>
      <c r="BX90" s="69"/>
      <c r="BY90" s="58"/>
      <c r="BZ90" s="56">
        <f t="shared" si="60"/>
        <v>0</v>
      </c>
      <c r="CA90" s="66"/>
      <c r="CB90" s="66"/>
      <c r="CC90" s="56">
        <f t="shared" si="61"/>
        <v>0</v>
      </c>
      <c r="CD90" s="55"/>
      <c r="CE90" s="65"/>
      <c r="CF90" s="55"/>
      <c r="CG90" s="55"/>
      <c r="CH90" s="67">
        <f t="shared" si="62"/>
        <v>0</v>
      </c>
      <c r="CI90" s="68">
        <f t="shared" si="78"/>
        <v>0</v>
      </c>
      <c r="CJ90" s="55"/>
      <c r="CK90" s="55"/>
      <c r="CL90" s="55"/>
      <c r="CM90" s="55"/>
      <c r="CN90" s="55"/>
      <c r="CO90" s="68">
        <f t="shared" si="63"/>
        <v>0</v>
      </c>
      <c r="CP90" s="75">
        <f>SUM(Tableau1[[#This Row],[Fourniture eau]:[Energie (non précisé)]])</f>
        <v>0</v>
      </c>
      <c r="CQ90" s="55"/>
      <c r="CR90" s="55"/>
      <c r="CS90" s="55"/>
      <c r="CT90" s="55"/>
      <c r="CU90" s="55"/>
      <c r="CV90" s="55">
        <v>0</v>
      </c>
      <c r="CW90" s="55"/>
      <c r="CX90" s="68">
        <f>SUM(Tableau1[[#This Row],[Sous-traitance]:[Autres ou non précisé 12]])</f>
        <v>0</v>
      </c>
      <c r="CY90" s="65"/>
      <c r="CZ90" s="65"/>
      <c r="DA90" s="65"/>
      <c r="DB90" s="65"/>
      <c r="DC90" s="55"/>
      <c r="DD90" s="68">
        <f t="shared" si="43"/>
        <v>0</v>
      </c>
      <c r="DE90" s="55"/>
      <c r="DF90" s="65"/>
      <c r="DG90" s="65"/>
      <c r="DH90" s="65"/>
      <c r="DI90" s="68">
        <f>SUM(Tableau1[[#This Row],[Entretien et réparation matériel de projection]:[Autres ou non précisé 14]])</f>
        <v>0</v>
      </c>
      <c r="DJ90" s="58"/>
      <c r="DK90" s="58"/>
      <c r="DL90" s="69"/>
      <c r="DM90" s="68">
        <f t="shared" si="64"/>
        <v>0</v>
      </c>
      <c r="DN90" s="58"/>
      <c r="DO90" s="58"/>
      <c r="DP90" s="68">
        <f t="shared" si="65"/>
        <v>0</v>
      </c>
      <c r="DQ90" s="65"/>
      <c r="DR90" s="65"/>
      <c r="DS90" s="68">
        <f t="shared" si="66"/>
        <v>0</v>
      </c>
      <c r="DT90" s="65"/>
      <c r="DU90" s="65"/>
      <c r="DV90" s="65"/>
      <c r="DW90" s="68">
        <f>SUM(Tableau1[[#This Row],[Comission et courtage sur achats]:[Autres ou honoraires
 non précisé ]])</f>
        <v>0</v>
      </c>
      <c r="DX90" s="57"/>
      <c r="DY90" s="57"/>
      <c r="DZ90" s="65"/>
      <c r="EA90" s="65"/>
      <c r="EB90" s="65"/>
      <c r="EC90" s="68">
        <f t="shared" si="67"/>
        <v>0</v>
      </c>
      <c r="ED90" s="69"/>
      <c r="EE90" s="69"/>
      <c r="EF90" s="69"/>
      <c r="EG90" s="69"/>
      <c r="EH90" s="69"/>
      <c r="EI90" s="84">
        <f>SUM(Tableau1[[#This Row],[Transports sur films]:[autres ]])</f>
        <v>0</v>
      </c>
      <c r="EJ90" s="132">
        <v>0</v>
      </c>
      <c r="EK90" s="132"/>
      <c r="EL90" s="68">
        <f t="shared" si="68"/>
        <v>0</v>
      </c>
      <c r="EM90" s="65"/>
      <c r="EN90" s="65">
        <v>0</v>
      </c>
      <c r="EO90" s="65"/>
      <c r="EP90" s="65"/>
      <c r="EQ90" s="65"/>
      <c r="ER90" s="65"/>
      <c r="ES90" s="65"/>
      <c r="ET90" s="68">
        <f t="shared" si="69"/>
        <v>0</v>
      </c>
      <c r="EU90" s="65"/>
      <c r="EV90" s="65"/>
      <c r="EW90" s="65"/>
      <c r="EX90" s="65"/>
      <c r="EY90" s="65"/>
      <c r="EZ90" s="68">
        <f t="shared" si="46"/>
        <v>0</v>
      </c>
      <c r="FA90" s="65"/>
      <c r="FB90" s="65"/>
      <c r="FC90" s="70">
        <f t="shared" si="44"/>
        <v>0</v>
      </c>
      <c r="FD90" s="65"/>
      <c r="FE90" s="71">
        <f t="shared" si="70"/>
        <v>0</v>
      </c>
      <c r="FF90" s="72">
        <f t="shared" si="71"/>
        <v>0</v>
      </c>
      <c r="FG90" s="65"/>
      <c r="FH90" s="65"/>
      <c r="FI90" s="65"/>
      <c r="FJ90" s="56">
        <f t="shared" si="72"/>
        <v>0</v>
      </c>
      <c r="FK90" s="65"/>
      <c r="FL90" s="65"/>
      <c r="FM90" s="65"/>
      <c r="FN90" s="65"/>
      <c r="FO90" s="67">
        <f t="shared" si="73"/>
        <v>0</v>
      </c>
      <c r="FP90" s="57"/>
      <c r="FQ90" s="73"/>
      <c r="FR90" s="73"/>
      <c r="FS90" s="71">
        <f t="shared" si="74"/>
        <v>0</v>
      </c>
      <c r="FT90" s="91"/>
      <c r="FU90" s="91"/>
      <c r="FV90" s="67">
        <f>SUM(Tableau1[[#This Row],[Droits d''auteurs SACEM + cotisations SACEM]:[Autres ou non préciés]])</f>
        <v>0</v>
      </c>
      <c r="FW90" s="75">
        <f t="shared" si="75"/>
        <v>0</v>
      </c>
      <c r="FX90" s="74">
        <v>0</v>
      </c>
      <c r="FY90" s="74"/>
      <c r="FZ90" s="74"/>
      <c r="GA90" s="74"/>
      <c r="GB90" s="71">
        <f t="shared" si="76"/>
        <v>0</v>
      </c>
      <c r="GC90" s="92"/>
      <c r="GD90" s="92"/>
      <c r="GE90" s="67">
        <f t="shared" si="77"/>
        <v>0</v>
      </c>
      <c r="GF90" s="66"/>
      <c r="GG90" s="66"/>
      <c r="GH90" s="66"/>
      <c r="GI90" s="66"/>
      <c r="GJ90" s="77"/>
    </row>
    <row r="91" spans="1:192" ht="18.600000000000001" customHeight="1" x14ac:dyDescent="0.25">
      <c r="A91" s="89"/>
      <c r="B91" s="17"/>
      <c r="C91" s="50"/>
      <c r="D91" s="140"/>
      <c r="E91" s="51"/>
      <c r="F91" s="139">
        <f t="shared" si="45"/>
        <v>1</v>
      </c>
      <c r="G91" s="49"/>
      <c r="H91" s="50"/>
      <c r="I91" s="122"/>
      <c r="J91" s="49"/>
      <c r="K91" s="50"/>
      <c r="L91" s="50"/>
      <c r="M91" s="90"/>
      <c r="N91" s="50"/>
      <c r="O91" s="50"/>
      <c r="P91" s="90"/>
      <c r="Q91" s="52">
        <f t="shared" si="47"/>
        <v>0</v>
      </c>
      <c r="R91" s="52">
        <f t="shared" si="48"/>
        <v>0</v>
      </c>
      <c r="S91" s="53">
        <f t="shared" si="49"/>
        <v>0</v>
      </c>
      <c r="T91" s="54">
        <f t="shared" si="50"/>
        <v>0</v>
      </c>
      <c r="U91" s="115">
        <f>SUM(Tableau1[[#This Row],[Vente confiserie]:[Vente boisson]])</f>
        <v>0</v>
      </c>
      <c r="V91" s="55"/>
      <c r="W91" s="55"/>
      <c r="X91" s="135">
        <f>SUM(Tableau1[[#This Row],[Vente lunette]:[Location lunette]])</f>
        <v>0</v>
      </c>
      <c r="Y91" s="55"/>
      <c r="Z91" s="55"/>
      <c r="AA91" s="55"/>
      <c r="AB91" s="55"/>
      <c r="AC91" s="56">
        <f t="shared" si="79"/>
        <v>0</v>
      </c>
      <c r="AD91" s="57"/>
      <c r="AE91" s="57"/>
      <c r="AF91" s="57"/>
      <c r="AG91" s="57"/>
      <c r="AH91" s="57"/>
      <c r="AI91" s="57"/>
      <c r="AJ91" s="118">
        <f>(Tableau1[[#This Row],[Recette guichet ]]*1.1275177)-Tableau1[[#This Row],[Recette guichet ]]</f>
        <v>0</v>
      </c>
      <c r="AK91" s="57"/>
      <c r="AL91" s="56">
        <f t="shared" si="80"/>
        <v>0</v>
      </c>
      <c r="AM91" s="58"/>
      <c r="AN91" s="58"/>
      <c r="AO91" s="58"/>
      <c r="AP91" s="115">
        <f t="shared" si="51"/>
        <v>0</v>
      </c>
      <c r="AQ91" s="69"/>
      <c r="AR91" s="69"/>
      <c r="AS91" s="69"/>
      <c r="AT91" s="69"/>
      <c r="AU91" s="59">
        <f t="shared" si="52"/>
        <v>0</v>
      </c>
      <c r="AV91" s="60">
        <f t="shared" si="53"/>
        <v>0</v>
      </c>
      <c r="AW91" s="58"/>
      <c r="AX91" s="58"/>
      <c r="AY91" s="58"/>
      <c r="AZ91" s="60">
        <f t="shared" si="42"/>
        <v>0</v>
      </c>
      <c r="BA91" s="58"/>
      <c r="BB91" s="58"/>
      <c r="BC91" s="58"/>
      <c r="BD91" s="60">
        <f>SUM(Tableau1[[#This Row],[ticket/carte/abonnement périmé]:[Autres ou non précisé 5]])</f>
        <v>0</v>
      </c>
      <c r="BE91" s="58"/>
      <c r="BF91" s="58"/>
      <c r="BG91" s="58"/>
      <c r="BH91" s="61">
        <f t="shared" si="54"/>
        <v>0</v>
      </c>
      <c r="BI91" s="120"/>
      <c r="BJ91" s="120"/>
      <c r="BK91" s="62">
        <f t="shared" si="55"/>
        <v>0</v>
      </c>
      <c r="BL91" s="120"/>
      <c r="BM91" s="120"/>
      <c r="BN91" s="120"/>
      <c r="BO91" s="120"/>
      <c r="BP91" s="120"/>
      <c r="BQ91" s="63"/>
      <c r="BR91" s="52">
        <f t="shared" si="56"/>
        <v>0</v>
      </c>
      <c r="BS91" s="52">
        <f t="shared" si="57"/>
        <v>0</v>
      </c>
      <c r="BT91" s="61">
        <f t="shared" si="58"/>
        <v>0</v>
      </c>
      <c r="BU91" s="64">
        <f t="shared" si="59"/>
        <v>0</v>
      </c>
      <c r="BV91" s="119">
        <f>SUM(Tableau1[[#This Row],[Achats confiserie]:[Achats boisson]])</f>
        <v>0</v>
      </c>
      <c r="BW91" s="58"/>
      <c r="BX91" s="69"/>
      <c r="BY91" s="58"/>
      <c r="BZ91" s="56">
        <f t="shared" si="60"/>
        <v>0</v>
      </c>
      <c r="CA91" s="66"/>
      <c r="CB91" s="66"/>
      <c r="CC91" s="56">
        <f t="shared" si="61"/>
        <v>0</v>
      </c>
      <c r="CD91" s="55"/>
      <c r="CE91" s="65"/>
      <c r="CF91" s="55"/>
      <c r="CG91" s="55"/>
      <c r="CH91" s="67">
        <f t="shared" si="62"/>
        <v>0</v>
      </c>
      <c r="CI91" s="68">
        <f t="shared" si="78"/>
        <v>0</v>
      </c>
      <c r="CJ91" s="55"/>
      <c r="CK91" s="55"/>
      <c r="CL91" s="55"/>
      <c r="CM91" s="55"/>
      <c r="CN91" s="55"/>
      <c r="CO91" s="68">
        <f t="shared" si="63"/>
        <v>0</v>
      </c>
      <c r="CP91" s="75">
        <f>SUM(Tableau1[[#This Row],[Fourniture eau]:[Energie (non précisé)]])</f>
        <v>0</v>
      </c>
      <c r="CQ91" s="55"/>
      <c r="CR91" s="55"/>
      <c r="CS91" s="55"/>
      <c r="CT91" s="55"/>
      <c r="CU91" s="55"/>
      <c r="CV91" s="55">
        <v>0</v>
      </c>
      <c r="CW91" s="55"/>
      <c r="CX91" s="68">
        <f>SUM(Tableau1[[#This Row],[Sous-traitance]:[Autres ou non précisé 12]])</f>
        <v>0</v>
      </c>
      <c r="CY91" s="65"/>
      <c r="CZ91" s="65"/>
      <c r="DA91" s="65"/>
      <c r="DB91" s="65"/>
      <c r="DC91" s="55"/>
      <c r="DD91" s="68">
        <f t="shared" si="43"/>
        <v>0</v>
      </c>
      <c r="DE91" s="55"/>
      <c r="DF91" s="65"/>
      <c r="DG91" s="65"/>
      <c r="DH91" s="65"/>
      <c r="DI91" s="68">
        <f>SUM(Tableau1[[#This Row],[Entretien et réparation matériel de projection]:[Autres ou non précisé 14]])</f>
        <v>0</v>
      </c>
      <c r="DJ91" s="58"/>
      <c r="DK91" s="58"/>
      <c r="DL91" s="69"/>
      <c r="DM91" s="68">
        <f t="shared" si="64"/>
        <v>0</v>
      </c>
      <c r="DN91" s="58"/>
      <c r="DO91" s="58"/>
      <c r="DP91" s="68">
        <f t="shared" si="65"/>
        <v>0</v>
      </c>
      <c r="DQ91" s="65"/>
      <c r="DR91" s="65"/>
      <c r="DS91" s="68">
        <f t="shared" si="66"/>
        <v>0</v>
      </c>
      <c r="DT91" s="65"/>
      <c r="DU91" s="65"/>
      <c r="DV91" s="65"/>
      <c r="DW91" s="68">
        <f>SUM(Tableau1[[#This Row],[Comission et courtage sur achats]:[Autres ou honoraires
 non précisé ]])</f>
        <v>0</v>
      </c>
      <c r="DX91" s="57"/>
      <c r="DY91" s="57"/>
      <c r="DZ91" s="65"/>
      <c r="EA91" s="65"/>
      <c r="EB91" s="65"/>
      <c r="EC91" s="68">
        <f t="shared" si="67"/>
        <v>0</v>
      </c>
      <c r="ED91" s="69"/>
      <c r="EE91" s="69"/>
      <c r="EF91" s="69"/>
      <c r="EG91" s="69"/>
      <c r="EH91" s="69"/>
      <c r="EI91" s="84">
        <f>SUM(Tableau1[[#This Row],[Transports sur films]:[autres ]])</f>
        <v>0</v>
      </c>
      <c r="EJ91" s="132">
        <v>0</v>
      </c>
      <c r="EK91" s="132"/>
      <c r="EL91" s="68">
        <f t="shared" si="68"/>
        <v>0</v>
      </c>
      <c r="EM91" s="65"/>
      <c r="EN91" s="65">
        <v>0</v>
      </c>
      <c r="EO91" s="65"/>
      <c r="EP91" s="65"/>
      <c r="EQ91" s="65"/>
      <c r="ER91" s="65"/>
      <c r="ES91" s="65"/>
      <c r="ET91" s="68">
        <f t="shared" si="69"/>
        <v>0</v>
      </c>
      <c r="EU91" s="65"/>
      <c r="EV91" s="65"/>
      <c r="EW91" s="65"/>
      <c r="EX91" s="65"/>
      <c r="EY91" s="65"/>
      <c r="EZ91" s="68">
        <f t="shared" si="46"/>
        <v>0</v>
      </c>
      <c r="FA91" s="65"/>
      <c r="FB91" s="65"/>
      <c r="FC91" s="70">
        <f t="shared" si="44"/>
        <v>0</v>
      </c>
      <c r="FD91" s="65"/>
      <c r="FE91" s="71">
        <f t="shared" si="70"/>
        <v>0</v>
      </c>
      <c r="FF91" s="72">
        <f t="shared" si="71"/>
        <v>0</v>
      </c>
      <c r="FG91" s="65"/>
      <c r="FH91" s="65"/>
      <c r="FI91" s="65"/>
      <c r="FJ91" s="56">
        <f t="shared" si="72"/>
        <v>0</v>
      </c>
      <c r="FK91" s="65"/>
      <c r="FL91" s="65"/>
      <c r="FM91" s="65"/>
      <c r="FN91" s="65"/>
      <c r="FO91" s="67">
        <f t="shared" si="73"/>
        <v>0</v>
      </c>
      <c r="FP91" s="57"/>
      <c r="FQ91" s="73"/>
      <c r="FR91" s="73"/>
      <c r="FS91" s="71">
        <f t="shared" si="74"/>
        <v>0</v>
      </c>
      <c r="FT91" s="91"/>
      <c r="FU91" s="91"/>
      <c r="FV91" s="67">
        <f>SUM(Tableau1[[#This Row],[Droits d''auteurs SACEM + cotisations SACEM]:[Autres ou non préciés]])</f>
        <v>0</v>
      </c>
      <c r="FW91" s="75">
        <f t="shared" si="75"/>
        <v>0</v>
      </c>
      <c r="FX91" s="74">
        <v>0</v>
      </c>
      <c r="FY91" s="74"/>
      <c r="FZ91" s="74"/>
      <c r="GA91" s="74"/>
      <c r="GB91" s="71">
        <f t="shared" si="76"/>
        <v>0</v>
      </c>
      <c r="GC91" s="92"/>
      <c r="GD91" s="92"/>
      <c r="GE91" s="67">
        <f t="shared" si="77"/>
        <v>0</v>
      </c>
      <c r="GF91" s="66"/>
      <c r="GG91" s="66"/>
      <c r="GH91" s="66"/>
      <c r="GI91" s="66"/>
      <c r="GJ91" s="77"/>
    </row>
    <row r="92" spans="1:192" ht="18.600000000000001" customHeight="1" x14ac:dyDescent="0.25">
      <c r="A92" s="89"/>
      <c r="B92" s="17"/>
      <c r="C92" s="50"/>
      <c r="D92" s="140"/>
      <c r="E92" s="51"/>
      <c r="F92" s="139">
        <f t="shared" si="45"/>
        <v>1</v>
      </c>
      <c r="G92" s="49"/>
      <c r="H92" s="50"/>
      <c r="I92" s="122"/>
      <c r="J92" s="49"/>
      <c r="K92" s="50"/>
      <c r="L92" s="50"/>
      <c r="M92" s="90"/>
      <c r="N92" s="50"/>
      <c r="O92" s="50"/>
      <c r="P92" s="90"/>
      <c r="Q92" s="52">
        <f t="shared" si="47"/>
        <v>0</v>
      </c>
      <c r="R92" s="52">
        <f t="shared" si="48"/>
        <v>0</v>
      </c>
      <c r="S92" s="53">
        <f t="shared" si="49"/>
        <v>0</v>
      </c>
      <c r="T92" s="54">
        <f t="shared" si="50"/>
        <v>0</v>
      </c>
      <c r="U92" s="115">
        <f>SUM(Tableau1[[#This Row],[Vente confiserie]:[Vente boisson]])</f>
        <v>0</v>
      </c>
      <c r="V92" s="55"/>
      <c r="W92" s="55"/>
      <c r="X92" s="135">
        <f>SUM(Tableau1[[#This Row],[Vente lunette]:[Location lunette]])</f>
        <v>0</v>
      </c>
      <c r="Y92" s="55"/>
      <c r="Z92" s="55"/>
      <c r="AA92" s="55"/>
      <c r="AB92" s="55"/>
      <c r="AC92" s="56">
        <f t="shared" si="79"/>
        <v>0</v>
      </c>
      <c r="AD92" s="57"/>
      <c r="AE92" s="57"/>
      <c r="AF92" s="57"/>
      <c r="AG92" s="57"/>
      <c r="AH92" s="57"/>
      <c r="AI92" s="57"/>
      <c r="AJ92" s="118">
        <f>(Tableau1[[#This Row],[Recette guichet ]]*1.1275177)-Tableau1[[#This Row],[Recette guichet ]]</f>
        <v>0</v>
      </c>
      <c r="AK92" s="57"/>
      <c r="AL92" s="56">
        <f t="shared" si="80"/>
        <v>0</v>
      </c>
      <c r="AM92" s="58"/>
      <c r="AN92" s="58"/>
      <c r="AO92" s="58"/>
      <c r="AP92" s="115">
        <f t="shared" si="51"/>
        <v>0</v>
      </c>
      <c r="AQ92" s="69"/>
      <c r="AR92" s="69"/>
      <c r="AS92" s="69"/>
      <c r="AT92" s="69"/>
      <c r="AU92" s="59">
        <f t="shared" si="52"/>
        <v>0</v>
      </c>
      <c r="AV92" s="60">
        <f t="shared" si="53"/>
        <v>0</v>
      </c>
      <c r="AW92" s="58"/>
      <c r="AX92" s="58"/>
      <c r="AY92" s="58"/>
      <c r="AZ92" s="60">
        <f t="shared" si="42"/>
        <v>0</v>
      </c>
      <c r="BA92" s="58"/>
      <c r="BB92" s="58"/>
      <c r="BC92" s="58"/>
      <c r="BD92" s="60">
        <f>SUM(Tableau1[[#This Row],[ticket/carte/abonnement périmé]:[Autres ou non précisé 5]])</f>
        <v>0</v>
      </c>
      <c r="BE92" s="58"/>
      <c r="BF92" s="58"/>
      <c r="BG92" s="58"/>
      <c r="BH92" s="61">
        <f t="shared" si="54"/>
        <v>0</v>
      </c>
      <c r="BI92" s="120"/>
      <c r="BJ92" s="120"/>
      <c r="BK92" s="62">
        <f t="shared" si="55"/>
        <v>0</v>
      </c>
      <c r="BL92" s="120"/>
      <c r="BM92" s="120"/>
      <c r="BN92" s="120"/>
      <c r="BO92" s="120"/>
      <c r="BP92" s="120"/>
      <c r="BQ92" s="63"/>
      <c r="BR92" s="52">
        <f t="shared" si="56"/>
        <v>0</v>
      </c>
      <c r="BS92" s="52">
        <f t="shared" si="57"/>
        <v>0</v>
      </c>
      <c r="BT92" s="61">
        <f t="shared" si="58"/>
        <v>0</v>
      </c>
      <c r="BU92" s="64">
        <f t="shared" si="59"/>
        <v>0</v>
      </c>
      <c r="BV92" s="119">
        <f>SUM(Tableau1[[#This Row],[Achats confiserie]:[Achats boisson]])</f>
        <v>0</v>
      </c>
      <c r="BW92" s="58"/>
      <c r="BX92" s="69"/>
      <c r="BY92" s="58"/>
      <c r="BZ92" s="56">
        <f t="shared" si="60"/>
        <v>0</v>
      </c>
      <c r="CA92" s="66"/>
      <c r="CB92" s="66"/>
      <c r="CC92" s="56">
        <f t="shared" si="61"/>
        <v>0</v>
      </c>
      <c r="CD92" s="55"/>
      <c r="CE92" s="65"/>
      <c r="CF92" s="55"/>
      <c r="CG92" s="55"/>
      <c r="CH92" s="67">
        <f t="shared" si="62"/>
        <v>0</v>
      </c>
      <c r="CI92" s="68">
        <f t="shared" si="78"/>
        <v>0</v>
      </c>
      <c r="CJ92" s="55"/>
      <c r="CK92" s="55"/>
      <c r="CL92" s="55"/>
      <c r="CM92" s="55"/>
      <c r="CN92" s="55"/>
      <c r="CO92" s="68">
        <f t="shared" si="63"/>
        <v>0</v>
      </c>
      <c r="CP92" s="75">
        <f>SUM(Tableau1[[#This Row],[Fourniture eau]:[Energie (non précisé)]])</f>
        <v>0</v>
      </c>
      <c r="CQ92" s="55"/>
      <c r="CR92" s="55"/>
      <c r="CS92" s="55"/>
      <c r="CT92" s="55"/>
      <c r="CU92" s="55"/>
      <c r="CV92" s="55">
        <v>0</v>
      </c>
      <c r="CW92" s="55"/>
      <c r="CX92" s="68">
        <f>SUM(Tableau1[[#This Row],[Sous-traitance]:[Autres ou non précisé 12]])</f>
        <v>0</v>
      </c>
      <c r="CY92" s="65"/>
      <c r="CZ92" s="65"/>
      <c r="DA92" s="65"/>
      <c r="DB92" s="65"/>
      <c r="DC92" s="55"/>
      <c r="DD92" s="68">
        <f t="shared" si="43"/>
        <v>0</v>
      </c>
      <c r="DE92" s="55"/>
      <c r="DF92" s="65"/>
      <c r="DG92" s="65"/>
      <c r="DH92" s="65"/>
      <c r="DI92" s="68">
        <f>SUM(Tableau1[[#This Row],[Entretien et réparation matériel de projection]:[Autres ou non précisé 14]])</f>
        <v>0</v>
      </c>
      <c r="DJ92" s="58"/>
      <c r="DK92" s="58"/>
      <c r="DL92" s="69"/>
      <c r="DM92" s="68">
        <f t="shared" si="64"/>
        <v>0</v>
      </c>
      <c r="DN92" s="58"/>
      <c r="DO92" s="58"/>
      <c r="DP92" s="68">
        <f t="shared" si="65"/>
        <v>0</v>
      </c>
      <c r="DQ92" s="65"/>
      <c r="DR92" s="65"/>
      <c r="DS92" s="68">
        <f t="shared" si="66"/>
        <v>0</v>
      </c>
      <c r="DT92" s="65"/>
      <c r="DU92" s="65"/>
      <c r="DV92" s="65"/>
      <c r="DW92" s="68">
        <f>SUM(Tableau1[[#This Row],[Comission et courtage sur achats]:[Autres ou honoraires
 non précisé ]])</f>
        <v>0</v>
      </c>
      <c r="DX92" s="57"/>
      <c r="DY92" s="57"/>
      <c r="DZ92" s="65"/>
      <c r="EA92" s="65"/>
      <c r="EB92" s="65"/>
      <c r="EC92" s="68">
        <f t="shared" si="67"/>
        <v>0</v>
      </c>
      <c r="ED92" s="69"/>
      <c r="EE92" s="69"/>
      <c r="EF92" s="69"/>
      <c r="EG92" s="69"/>
      <c r="EH92" s="69"/>
      <c r="EI92" s="84">
        <f>SUM(Tableau1[[#This Row],[Transports sur films]:[autres ]])</f>
        <v>0</v>
      </c>
      <c r="EJ92" s="132">
        <v>0</v>
      </c>
      <c r="EK92" s="132"/>
      <c r="EL92" s="68">
        <f t="shared" si="68"/>
        <v>0</v>
      </c>
      <c r="EM92" s="65"/>
      <c r="EN92" s="65">
        <v>0</v>
      </c>
      <c r="EO92" s="65"/>
      <c r="EP92" s="65"/>
      <c r="EQ92" s="65"/>
      <c r="ER92" s="65"/>
      <c r="ES92" s="65"/>
      <c r="ET92" s="68">
        <f t="shared" si="69"/>
        <v>0</v>
      </c>
      <c r="EU92" s="65"/>
      <c r="EV92" s="65"/>
      <c r="EW92" s="65"/>
      <c r="EX92" s="65"/>
      <c r="EY92" s="65"/>
      <c r="EZ92" s="68">
        <f t="shared" si="46"/>
        <v>0</v>
      </c>
      <c r="FA92" s="65"/>
      <c r="FB92" s="65"/>
      <c r="FC92" s="70">
        <f t="shared" si="44"/>
        <v>0</v>
      </c>
      <c r="FD92" s="65"/>
      <c r="FE92" s="71">
        <f t="shared" si="70"/>
        <v>0</v>
      </c>
      <c r="FF92" s="72">
        <f t="shared" si="71"/>
        <v>0</v>
      </c>
      <c r="FG92" s="65"/>
      <c r="FH92" s="65"/>
      <c r="FI92" s="65"/>
      <c r="FJ92" s="56">
        <f t="shared" si="72"/>
        <v>0</v>
      </c>
      <c r="FK92" s="65"/>
      <c r="FL92" s="65"/>
      <c r="FM92" s="65"/>
      <c r="FN92" s="65"/>
      <c r="FO92" s="67">
        <f t="shared" si="73"/>
        <v>0</v>
      </c>
      <c r="FP92" s="57"/>
      <c r="FQ92" s="73"/>
      <c r="FR92" s="73"/>
      <c r="FS92" s="71">
        <f t="shared" si="74"/>
        <v>0</v>
      </c>
      <c r="FT92" s="91"/>
      <c r="FU92" s="91"/>
      <c r="FV92" s="67">
        <f>SUM(Tableau1[[#This Row],[Droits d''auteurs SACEM + cotisations SACEM]:[Autres ou non préciés]])</f>
        <v>0</v>
      </c>
      <c r="FW92" s="75">
        <f t="shared" si="75"/>
        <v>0</v>
      </c>
      <c r="FX92" s="74">
        <v>0</v>
      </c>
      <c r="FY92" s="74"/>
      <c r="FZ92" s="74"/>
      <c r="GA92" s="74"/>
      <c r="GB92" s="71">
        <f t="shared" si="76"/>
        <v>0</v>
      </c>
      <c r="GC92" s="92"/>
      <c r="GD92" s="92"/>
      <c r="GE92" s="67">
        <f t="shared" si="77"/>
        <v>0</v>
      </c>
      <c r="GF92" s="66"/>
      <c r="GG92" s="66"/>
      <c r="GH92" s="66"/>
      <c r="GI92" s="66"/>
      <c r="GJ92" s="77"/>
    </row>
    <row r="93" spans="1:192" ht="18.600000000000001" customHeight="1" x14ac:dyDescent="0.25">
      <c r="A93" s="89"/>
      <c r="B93" s="17"/>
      <c r="C93" s="50"/>
      <c r="D93" s="140"/>
      <c r="E93" s="51"/>
      <c r="F93" s="139">
        <f t="shared" si="45"/>
        <v>1</v>
      </c>
      <c r="G93" s="49"/>
      <c r="H93" s="50"/>
      <c r="I93" s="122"/>
      <c r="J93" s="49"/>
      <c r="K93" s="50"/>
      <c r="L93" s="50"/>
      <c r="M93" s="90"/>
      <c r="N93" s="50"/>
      <c r="O93" s="50"/>
      <c r="P93" s="90"/>
      <c r="Q93" s="52">
        <f t="shared" si="47"/>
        <v>0</v>
      </c>
      <c r="R93" s="52">
        <f t="shared" si="48"/>
        <v>0</v>
      </c>
      <c r="S93" s="53">
        <f t="shared" si="49"/>
        <v>0</v>
      </c>
      <c r="T93" s="54">
        <f t="shared" si="50"/>
        <v>0</v>
      </c>
      <c r="U93" s="115">
        <f>SUM(Tableau1[[#This Row],[Vente confiserie]:[Vente boisson]])</f>
        <v>0</v>
      </c>
      <c r="V93" s="55"/>
      <c r="W93" s="55"/>
      <c r="X93" s="135">
        <f>SUM(Tableau1[[#This Row],[Vente lunette]:[Location lunette]])</f>
        <v>0</v>
      </c>
      <c r="Y93" s="55"/>
      <c r="Z93" s="55"/>
      <c r="AA93" s="55"/>
      <c r="AB93" s="55"/>
      <c r="AC93" s="56">
        <f t="shared" si="79"/>
        <v>0</v>
      </c>
      <c r="AD93" s="57"/>
      <c r="AE93" s="57"/>
      <c r="AF93" s="57"/>
      <c r="AG93" s="57"/>
      <c r="AH93" s="57"/>
      <c r="AI93" s="57"/>
      <c r="AJ93" s="118">
        <f>(Tableau1[[#This Row],[Recette guichet ]]*1.1275177)-Tableau1[[#This Row],[Recette guichet ]]</f>
        <v>0</v>
      </c>
      <c r="AK93" s="57"/>
      <c r="AL93" s="56">
        <f t="shared" si="80"/>
        <v>0</v>
      </c>
      <c r="AM93" s="58"/>
      <c r="AN93" s="58"/>
      <c r="AO93" s="58"/>
      <c r="AP93" s="115">
        <f t="shared" si="51"/>
        <v>0</v>
      </c>
      <c r="AQ93" s="69"/>
      <c r="AR93" s="69"/>
      <c r="AS93" s="69"/>
      <c r="AT93" s="69"/>
      <c r="AU93" s="59">
        <f t="shared" si="52"/>
        <v>0</v>
      </c>
      <c r="AV93" s="60">
        <f t="shared" si="53"/>
        <v>0</v>
      </c>
      <c r="AW93" s="58"/>
      <c r="AX93" s="58"/>
      <c r="AY93" s="58"/>
      <c r="AZ93" s="60">
        <f t="shared" si="42"/>
        <v>0</v>
      </c>
      <c r="BA93" s="58"/>
      <c r="BB93" s="58"/>
      <c r="BC93" s="58"/>
      <c r="BD93" s="60">
        <f>SUM(Tableau1[[#This Row],[ticket/carte/abonnement périmé]:[Autres ou non précisé 5]])</f>
        <v>0</v>
      </c>
      <c r="BE93" s="58"/>
      <c r="BF93" s="58"/>
      <c r="BG93" s="58"/>
      <c r="BH93" s="61">
        <f t="shared" si="54"/>
        <v>0</v>
      </c>
      <c r="BI93" s="120"/>
      <c r="BJ93" s="120"/>
      <c r="BK93" s="62">
        <f t="shared" si="55"/>
        <v>0</v>
      </c>
      <c r="BL93" s="120"/>
      <c r="BM93" s="120"/>
      <c r="BN93" s="120"/>
      <c r="BO93" s="120"/>
      <c r="BP93" s="120"/>
      <c r="BQ93" s="63"/>
      <c r="BR93" s="52">
        <f t="shared" si="56"/>
        <v>0</v>
      </c>
      <c r="BS93" s="52">
        <f t="shared" si="57"/>
        <v>0</v>
      </c>
      <c r="BT93" s="61">
        <f t="shared" si="58"/>
        <v>0</v>
      </c>
      <c r="BU93" s="64">
        <f t="shared" si="59"/>
        <v>0</v>
      </c>
      <c r="BV93" s="119">
        <f>SUM(Tableau1[[#This Row],[Achats confiserie]:[Achats boisson]])</f>
        <v>0</v>
      </c>
      <c r="BW93" s="58"/>
      <c r="BX93" s="69"/>
      <c r="BY93" s="58"/>
      <c r="BZ93" s="56">
        <f t="shared" si="60"/>
        <v>0</v>
      </c>
      <c r="CA93" s="66"/>
      <c r="CB93" s="66"/>
      <c r="CC93" s="56">
        <f t="shared" si="61"/>
        <v>0</v>
      </c>
      <c r="CD93" s="55"/>
      <c r="CE93" s="65"/>
      <c r="CF93" s="55"/>
      <c r="CG93" s="55"/>
      <c r="CH93" s="67">
        <f t="shared" si="62"/>
        <v>0</v>
      </c>
      <c r="CI93" s="68">
        <f t="shared" si="78"/>
        <v>0</v>
      </c>
      <c r="CJ93" s="55"/>
      <c r="CK93" s="55"/>
      <c r="CL93" s="55"/>
      <c r="CM93" s="55"/>
      <c r="CN93" s="55"/>
      <c r="CO93" s="68">
        <f t="shared" si="63"/>
        <v>0</v>
      </c>
      <c r="CP93" s="75">
        <f>SUM(Tableau1[[#This Row],[Fourniture eau]:[Energie (non précisé)]])</f>
        <v>0</v>
      </c>
      <c r="CQ93" s="55"/>
      <c r="CR93" s="55"/>
      <c r="CS93" s="55"/>
      <c r="CT93" s="55"/>
      <c r="CU93" s="55"/>
      <c r="CV93" s="55">
        <v>0</v>
      </c>
      <c r="CW93" s="55"/>
      <c r="CX93" s="68">
        <f>SUM(Tableau1[[#This Row],[Sous-traitance]:[Autres ou non précisé 12]])</f>
        <v>0</v>
      </c>
      <c r="CY93" s="65"/>
      <c r="CZ93" s="65"/>
      <c r="DA93" s="65"/>
      <c r="DB93" s="65"/>
      <c r="DC93" s="55"/>
      <c r="DD93" s="68">
        <f t="shared" si="43"/>
        <v>0</v>
      </c>
      <c r="DE93" s="55"/>
      <c r="DF93" s="65"/>
      <c r="DG93" s="65"/>
      <c r="DH93" s="65"/>
      <c r="DI93" s="68">
        <f>SUM(Tableau1[[#This Row],[Entretien et réparation matériel de projection]:[Autres ou non précisé 14]])</f>
        <v>0</v>
      </c>
      <c r="DJ93" s="58"/>
      <c r="DK93" s="58"/>
      <c r="DL93" s="69"/>
      <c r="DM93" s="68">
        <f t="shared" si="64"/>
        <v>0</v>
      </c>
      <c r="DN93" s="58"/>
      <c r="DO93" s="58"/>
      <c r="DP93" s="68">
        <f t="shared" si="65"/>
        <v>0</v>
      </c>
      <c r="DQ93" s="65"/>
      <c r="DR93" s="65"/>
      <c r="DS93" s="68">
        <f t="shared" si="66"/>
        <v>0</v>
      </c>
      <c r="DT93" s="65"/>
      <c r="DU93" s="65"/>
      <c r="DV93" s="65"/>
      <c r="DW93" s="68">
        <f>SUM(Tableau1[[#This Row],[Comission et courtage sur achats]:[Autres ou honoraires
 non précisé ]])</f>
        <v>0</v>
      </c>
      <c r="DX93" s="57"/>
      <c r="DY93" s="57"/>
      <c r="DZ93" s="65"/>
      <c r="EA93" s="65"/>
      <c r="EB93" s="65"/>
      <c r="EC93" s="68">
        <f t="shared" si="67"/>
        <v>0</v>
      </c>
      <c r="ED93" s="69"/>
      <c r="EE93" s="69"/>
      <c r="EF93" s="69"/>
      <c r="EG93" s="69"/>
      <c r="EH93" s="69"/>
      <c r="EI93" s="84">
        <f>SUM(Tableau1[[#This Row],[Transports sur films]:[autres ]])</f>
        <v>0</v>
      </c>
      <c r="EJ93" s="132">
        <v>0</v>
      </c>
      <c r="EK93" s="132"/>
      <c r="EL93" s="68">
        <f t="shared" si="68"/>
        <v>0</v>
      </c>
      <c r="EM93" s="65"/>
      <c r="EN93" s="65">
        <v>0</v>
      </c>
      <c r="EO93" s="65"/>
      <c r="EP93" s="65"/>
      <c r="EQ93" s="65"/>
      <c r="ER93" s="65"/>
      <c r="ES93" s="65"/>
      <c r="ET93" s="68">
        <f t="shared" si="69"/>
        <v>0</v>
      </c>
      <c r="EU93" s="65"/>
      <c r="EV93" s="65"/>
      <c r="EW93" s="65"/>
      <c r="EX93" s="65"/>
      <c r="EY93" s="65"/>
      <c r="EZ93" s="68">
        <f t="shared" si="46"/>
        <v>0</v>
      </c>
      <c r="FA93" s="65"/>
      <c r="FB93" s="65"/>
      <c r="FC93" s="70">
        <f t="shared" si="44"/>
        <v>0</v>
      </c>
      <c r="FD93" s="65"/>
      <c r="FE93" s="71">
        <f t="shared" si="70"/>
        <v>0</v>
      </c>
      <c r="FF93" s="72">
        <f t="shared" si="71"/>
        <v>0</v>
      </c>
      <c r="FG93" s="65"/>
      <c r="FH93" s="65"/>
      <c r="FI93" s="65"/>
      <c r="FJ93" s="56">
        <f t="shared" si="72"/>
        <v>0</v>
      </c>
      <c r="FK93" s="65"/>
      <c r="FL93" s="65"/>
      <c r="FM93" s="65"/>
      <c r="FN93" s="65"/>
      <c r="FO93" s="67">
        <f t="shared" si="73"/>
        <v>0</v>
      </c>
      <c r="FP93" s="57"/>
      <c r="FQ93" s="73"/>
      <c r="FR93" s="73"/>
      <c r="FS93" s="71">
        <f t="shared" si="74"/>
        <v>0</v>
      </c>
      <c r="FT93" s="91"/>
      <c r="FU93" s="91"/>
      <c r="FV93" s="67">
        <f>SUM(Tableau1[[#This Row],[Droits d''auteurs SACEM + cotisations SACEM]:[Autres ou non préciés]])</f>
        <v>0</v>
      </c>
      <c r="FW93" s="75">
        <f t="shared" si="75"/>
        <v>0</v>
      </c>
      <c r="FX93" s="74">
        <v>0</v>
      </c>
      <c r="FY93" s="74"/>
      <c r="FZ93" s="74"/>
      <c r="GA93" s="74"/>
      <c r="GB93" s="71">
        <f t="shared" si="76"/>
        <v>0</v>
      </c>
      <c r="GC93" s="92"/>
      <c r="GD93" s="92"/>
      <c r="GE93" s="67">
        <f t="shared" si="77"/>
        <v>0</v>
      </c>
      <c r="GF93" s="66"/>
      <c r="GG93" s="66"/>
      <c r="GH93" s="66"/>
      <c r="GI93" s="66"/>
      <c r="GJ93" s="77"/>
    </row>
    <row r="94" spans="1:192" ht="18.600000000000001" customHeight="1" x14ac:dyDescent="0.25">
      <c r="A94" s="89"/>
      <c r="B94" s="17"/>
      <c r="C94" s="50"/>
      <c r="D94" s="140"/>
      <c r="E94" s="51"/>
      <c r="F94" s="139">
        <f t="shared" si="45"/>
        <v>1</v>
      </c>
      <c r="G94" s="49"/>
      <c r="H94" s="50"/>
      <c r="I94" s="122"/>
      <c r="J94" s="49"/>
      <c r="K94" s="50"/>
      <c r="L94" s="50"/>
      <c r="M94" s="90"/>
      <c r="N94" s="50"/>
      <c r="O94" s="50"/>
      <c r="P94" s="90"/>
      <c r="Q94" s="52">
        <f t="shared" si="47"/>
        <v>0</v>
      </c>
      <c r="R94" s="52">
        <f t="shared" si="48"/>
        <v>0</v>
      </c>
      <c r="S94" s="53">
        <f t="shared" si="49"/>
        <v>0</v>
      </c>
      <c r="T94" s="54">
        <f t="shared" si="50"/>
        <v>0</v>
      </c>
      <c r="U94" s="115">
        <f>SUM(Tableau1[[#This Row],[Vente confiserie]:[Vente boisson]])</f>
        <v>0</v>
      </c>
      <c r="V94" s="55"/>
      <c r="W94" s="55"/>
      <c r="X94" s="135">
        <f>SUM(Tableau1[[#This Row],[Vente lunette]:[Location lunette]])</f>
        <v>0</v>
      </c>
      <c r="Y94" s="55"/>
      <c r="Z94" s="55"/>
      <c r="AA94" s="55"/>
      <c r="AB94" s="55"/>
      <c r="AC94" s="56">
        <f t="shared" si="79"/>
        <v>0</v>
      </c>
      <c r="AD94" s="57"/>
      <c r="AE94" s="57"/>
      <c r="AF94" s="57"/>
      <c r="AG94" s="57"/>
      <c r="AH94" s="57"/>
      <c r="AI94" s="57"/>
      <c r="AJ94" s="118">
        <f>(Tableau1[[#This Row],[Recette guichet ]]*1.1275177)-Tableau1[[#This Row],[Recette guichet ]]</f>
        <v>0</v>
      </c>
      <c r="AK94" s="57"/>
      <c r="AL94" s="56">
        <f t="shared" si="80"/>
        <v>0</v>
      </c>
      <c r="AM94" s="58"/>
      <c r="AN94" s="58"/>
      <c r="AO94" s="58"/>
      <c r="AP94" s="115">
        <f t="shared" si="51"/>
        <v>0</v>
      </c>
      <c r="AQ94" s="69"/>
      <c r="AR94" s="69"/>
      <c r="AS94" s="69"/>
      <c r="AT94" s="69"/>
      <c r="AU94" s="59">
        <f t="shared" si="52"/>
        <v>0</v>
      </c>
      <c r="AV94" s="60">
        <f t="shared" si="53"/>
        <v>0</v>
      </c>
      <c r="AW94" s="58"/>
      <c r="AX94" s="58"/>
      <c r="AY94" s="58"/>
      <c r="AZ94" s="60">
        <f t="shared" si="42"/>
        <v>0</v>
      </c>
      <c r="BA94" s="58"/>
      <c r="BB94" s="58"/>
      <c r="BC94" s="58"/>
      <c r="BD94" s="60">
        <f>SUM(Tableau1[[#This Row],[ticket/carte/abonnement périmé]:[Autres ou non précisé 5]])</f>
        <v>0</v>
      </c>
      <c r="BE94" s="58"/>
      <c r="BF94" s="58"/>
      <c r="BG94" s="58"/>
      <c r="BH94" s="61">
        <f t="shared" si="54"/>
        <v>0</v>
      </c>
      <c r="BI94" s="120"/>
      <c r="BJ94" s="120"/>
      <c r="BK94" s="62">
        <f t="shared" si="55"/>
        <v>0</v>
      </c>
      <c r="BL94" s="120"/>
      <c r="BM94" s="120"/>
      <c r="BN94" s="120"/>
      <c r="BO94" s="120"/>
      <c r="BP94" s="120"/>
      <c r="BQ94" s="63"/>
      <c r="BR94" s="52">
        <f t="shared" si="56"/>
        <v>0</v>
      </c>
      <c r="BS94" s="52">
        <f t="shared" si="57"/>
        <v>0</v>
      </c>
      <c r="BT94" s="61">
        <f t="shared" si="58"/>
        <v>0</v>
      </c>
      <c r="BU94" s="64">
        <f t="shared" si="59"/>
        <v>0</v>
      </c>
      <c r="BV94" s="119">
        <f>SUM(Tableau1[[#This Row],[Achats confiserie]:[Achats boisson]])</f>
        <v>0</v>
      </c>
      <c r="BW94" s="58"/>
      <c r="BX94" s="69"/>
      <c r="BY94" s="58"/>
      <c r="BZ94" s="56">
        <f t="shared" si="60"/>
        <v>0</v>
      </c>
      <c r="CA94" s="66"/>
      <c r="CB94" s="66"/>
      <c r="CC94" s="56">
        <f t="shared" si="61"/>
        <v>0</v>
      </c>
      <c r="CD94" s="55"/>
      <c r="CE94" s="65"/>
      <c r="CF94" s="55"/>
      <c r="CG94" s="55"/>
      <c r="CH94" s="67">
        <f t="shared" si="62"/>
        <v>0</v>
      </c>
      <c r="CI94" s="68">
        <f t="shared" si="78"/>
        <v>0</v>
      </c>
      <c r="CJ94" s="55"/>
      <c r="CK94" s="55"/>
      <c r="CL94" s="55"/>
      <c r="CM94" s="55"/>
      <c r="CN94" s="55"/>
      <c r="CO94" s="68">
        <f t="shared" si="63"/>
        <v>0</v>
      </c>
      <c r="CP94" s="75">
        <f>SUM(Tableau1[[#This Row],[Fourniture eau]:[Energie (non précisé)]])</f>
        <v>0</v>
      </c>
      <c r="CQ94" s="55"/>
      <c r="CR94" s="55"/>
      <c r="CS94" s="55"/>
      <c r="CT94" s="55"/>
      <c r="CU94" s="55"/>
      <c r="CV94" s="55">
        <v>0</v>
      </c>
      <c r="CW94" s="55"/>
      <c r="CX94" s="68">
        <f>SUM(Tableau1[[#This Row],[Sous-traitance]:[Autres ou non précisé 12]])</f>
        <v>0</v>
      </c>
      <c r="CY94" s="65"/>
      <c r="CZ94" s="65"/>
      <c r="DA94" s="65"/>
      <c r="DB94" s="65"/>
      <c r="DC94" s="55"/>
      <c r="DD94" s="68">
        <f t="shared" si="43"/>
        <v>0</v>
      </c>
      <c r="DE94" s="55"/>
      <c r="DF94" s="65"/>
      <c r="DG94" s="65"/>
      <c r="DH94" s="65"/>
      <c r="DI94" s="68">
        <f>SUM(Tableau1[[#This Row],[Entretien et réparation matériel de projection]:[Autres ou non précisé 14]])</f>
        <v>0</v>
      </c>
      <c r="DJ94" s="58"/>
      <c r="DK94" s="58"/>
      <c r="DL94" s="69"/>
      <c r="DM94" s="68">
        <f t="shared" si="64"/>
        <v>0</v>
      </c>
      <c r="DN94" s="58"/>
      <c r="DO94" s="58"/>
      <c r="DP94" s="68">
        <f t="shared" si="65"/>
        <v>0</v>
      </c>
      <c r="DQ94" s="65"/>
      <c r="DR94" s="65"/>
      <c r="DS94" s="68">
        <f t="shared" si="66"/>
        <v>0</v>
      </c>
      <c r="DT94" s="65"/>
      <c r="DU94" s="65"/>
      <c r="DV94" s="65"/>
      <c r="DW94" s="68">
        <f>SUM(Tableau1[[#This Row],[Comission et courtage sur achats]:[Autres ou honoraires
 non précisé ]])</f>
        <v>0</v>
      </c>
      <c r="DX94" s="57"/>
      <c r="DY94" s="57"/>
      <c r="DZ94" s="65"/>
      <c r="EA94" s="65"/>
      <c r="EB94" s="65"/>
      <c r="EC94" s="68">
        <f t="shared" si="67"/>
        <v>0</v>
      </c>
      <c r="ED94" s="69"/>
      <c r="EE94" s="69"/>
      <c r="EF94" s="69"/>
      <c r="EG94" s="69"/>
      <c r="EH94" s="69"/>
      <c r="EI94" s="84">
        <f>SUM(Tableau1[[#This Row],[Transports sur films]:[autres ]])</f>
        <v>0</v>
      </c>
      <c r="EJ94" s="132">
        <v>0</v>
      </c>
      <c r="EK94" s="132"/>
      <c r="EL94" s="68">
        <f t="shared" si="68"/>
        <v>0</v>
      </c>
      <c r="EM94" s="65"/>
      <c r="EN94" s="65">
        <v>0</v>
      </c>
      <c r="EO94" s="65"/>
      <c r="EP94" s="65"/>
      <c r="EQ94" s="65"/>
      <c r="ER94" s="65"/>
      <c r="ES94" s="65"/>
      <c r="ET94" s="68">
        <f t="shared" si="69"/>
        <v>0</v>
      </c>
      <c r="EU94" s="65"/>
      <c r="EV94" s="65"/>
      <c r="EW94" s="65"/>
      <c r="EX94" s="65"/>
      <c r="EY94" s="65"/>
      <c r="EZ94" s="68">
        <f t="shared" si="46"/>
        <v>0</v>
      </c>
      <c r="FA94" s="65"/>
      <c r="FB94" s="65"/>
      <c r="FC94" s="70">
        <f t="shared" si="44"/>
        <v>0</v>
      </c>
      <c r="FD94" s="65"/>
      <c r="FE94" s="71">
        <f t="shared" si="70"/>
        <v>0</v>
      </c>
      <c r="FF94" s="72">
        <f t="shared" si="71"/>
        <v>0</v>
      </c>
      <c r="FG94" s="65"/>
      <c r="FH94" s="65"/>
      <c r="FI94" s="65"/>
      <c r="FJ94" s="56">
        <f t="shared" si="72"/>
        <v>0</v>
      </c>
      <c r="FK94" s="65"/>
      <c r="FL94" s="65"/>
      <c r="FM94" s="65"/>
      <c r="FN94" s="65"/>
      <c r="FO94" s="67">
        <f t="shared" si="73"/>
        <v>0</v>
      </c>
      <c r="FP94" s="57"/>
      <c r="FQ94" s="73"/>
      <c r="FR94" s="73"/>
      <c r="FS94" s="71">
        <f t="shared" si="74"/>
        <v>0</v>
      </c>
      <c r="FT94" s="91"/>
      <c r="FU94" s="91"/>
      <c r="FV94" s="67">
        <f>SUM(Tableau1[[#This Row],[Droits d''auteurs SACEM + cotisations SACEM]:[Autres ou non préciés]])</f>
        <v>0</v>
      </c>
      <c r="FW94" s="75">
        <f t="shared" si="75"/>
        <v>0</v>
      </c>
      <c r="FX94" s="74">
        <v>0</v>
      </c>
      <c r="FY94" s="74"/>
      <c r="FZ94" s="74"/>
      <c r="GA94" s="74"/>
      <c r="GB94" s="71">
        <f t="shared" si="76"/>
        <v>0</v>
      </c>
      <c r="GC94" s="92"/>
      <c r="GD94" s="92"/>
      <c r="GE94" s="67">
        <f t="shared" si="77"/>
        <v>0</v>
      </c>
      <c r="GF94" s="66"/>
      <c r="GG94" s="66"/>
      <c r="GH94" s="66"/>
      <c r="GI94" s="66"/>
      <c r="GJ94" s="77"/>
    </row>
    <row r="95" spans="1:192" ht="18.600000000000001" customHeight="1" x14ac:dyDescent="0.25">
      <c r="A95" s="89"/>
      <c r="B95" s="17"/>
      <c r="C95" s="50"/>
      <c r="D95" s="140"/>
      <c r="E95" s="51"/>
      <c r="F95" s="139">
        <f t="shared" si="45"/>
        <v>1</v>
      </c>
      <c r="G95" s="49"/>
      <c r="H95" s="50"/>
      <c r="I95" s="122"/>
      <c r="J95" s="49"/>
      <c r="K95" s="50"/>
      <c r="L95" s="50"/>
      <c r="M95" s="90"/>
      <c r="N95" s="50"/>
      <c r="O95" s="50"/>
      <c r="P95" s="90"/>
      <c r="Q95" s="52">
        <f t="shared" si="47"/>
        <v>0</v>
      </c>
      <c r="R95" s="52">
        <f t="shared" si="48"/>
        <v>0</v>
      </c>
      <c r="S95" s="53">
        <f t="shared" si="49"/>
        <v>0</v>
      </c>
      <c r="T95" s="54">
        <f t="shared" si="50"/>
        <v>0</v>
      </c>
      <c r="U95" s="115">
        <f>SUM(Tableau1[[#This Row],[Vente confiserie]:[Vente boisson]])</f>
        <v>0</v>
      </c>
      <c r="V95" s="55"/>
      <c r="W95" s="55"/>
      <c r="X95" s="135">
        <f>SUM(Tableau1[[#This Row],[Vente lunette]:[Location lunette]])</f>
        <v>0</v>
      </c>
      <c r="Y95" s="55"/>
      <c r="Z95" s="55"/>
      <c r="AA95" s="55"/>
      <c r="AB95" s="55"/>
      <c r="AC95" s="56">
        <f t="shared" si="79"/>
        <v>0</v>
      </c>
      <c r="AD95" s="57"/>
      <c r="AE95" s="57"/>
      <c r="AF95" s="57"/>
      <c r="AG95" s="57"/>
      <c r="AH95" s="57"/>
      <c r="AI95" s="57"/>
      <c r="AJ95" s="118">
        <f>(Tableau1[[#This Row],[Recette guichet ]]*1.1275177)-Tableau1[[#This Row],[Recette guichet ]]</f>
        <v>0</v>
      </c>
      <c r="AK95" s="57"/>
      <c r="AL95" s="56">
        <f t="shared" si="80"/>
        <v>0</v>
      </c>
      <c r="AM95" s="58"/>
      <c r="AN95" s="58"/>
      <c r="AO95" s="58"/>
      <c r="AP95" s="115">
        <f t="shared" si="51"/>
        <v>0</v>
      </c>
      <c r="AQ95" s="69"/>
      <c r="AR95" s="69"/>
      <c r="AS95" s="69"/>
      <c r="AT95" s="69"/>
      <c r="AU95" s="59">
        <f t="shared" si="52"/>
        <v>0</v>
      </c>
      <c r="AV95" s="60">
        <f t="shared" si="53"/>
        <v>0</v>
      </c>
      <c r="AW95" s="58"/>
      <c r="AX95" s="58"/>
      <c r="AY95" s="58"/>
      <c r="AZ95" s="60">
        <f t="shared" si="42"/>
        <v>0</v>
      </c>
      <c r="BA95" s="58"/>
      <c r="BB95" s="58"/>
      <c r="BC95" s="58"/>
      <c r="BD95" s="60">
        <f>SUM(Tableau1[[#This Row],[ticket/carte/abonnement périmé]:[Autres ou non précisé 5]])</f>
        <v>0</v>
      </c>
      <c r="BE95" s="58"/>
      <c r="BF95" s="58"/>
      <c r="BG95" s="58"/>
      <c r="BH95" s="61">
        <f t="shared" si="54"/>
        <v>0</v>
      </c>
      <c r="BI95" s="120"/>
      <c r="BJ95" s="120"/>
      <c r="BK95" s="62">
        <f t="shared" si="55"/>
        <v>0</v>
      </c>
      <c r="BL95" s="120"/>
      <c r="BM95" s="120"/>
      <c r="BN95" s="120"/>
      <c r="BO95" s="120"/>
      <c r="BP95" s="120"/>
      <c r="BQ95" s="63"/>
      <c r="BR95" s="52">
        <f t="shared" si="56"/>
        <v>0</v>
      </c>
      <c r="BS95" s="52">
        <f t="shared" si="57"/>
        <v>0</v>
      </c>
      <c r="BT95" s="61">
        <f t="shared" si="58"/>
        <v>0</v>
      </c>
      <c r="BU95" s="64">
        <f t="shared" si="59"/>
        <v>0</v>
      </c>
      <c r="BV95" s="119">
        <f>SUM(Tableau1[[#This Row],[Achats confiserie]:[Achats boisson]])</f>
        <v>0</v>
      </c>
      <c r="BW95" s="58"/>
      <c r="BX95" s="69"/>
      <c r="BY95" s="58"/>
      <c r="BZ95" s="56">
        <f t="shared" si="60"/>
        <v>0</v>
      </c>
      <c r="CA95" s="66"/>
      <c r="CB95" s="66"/>
      <c r="CC95" s="56">
        <f t="shared" si="61"/>
        <v>0</v>
      </c>
      <c r="CD95" s="55"/>
      <c r="CE95" s="65"/>
      <c r="CF95" s="55"/>
      <c r="CG95" s="55"/>
      <c r="CH95" s="67">
        <f t="shared" si="62"/>
        <v>0</v>
      </c>
      <c r="CI95" s="68">
        <f t="shared" si="78"/>
        <v>0</v>
      </c>
      <c r="CJ95" s="55"/>
      <c r="CK95" s="55"/>
      <c r="CL95" s="55"/>
      <c r="CM95" s="55"/>
      <c r="CN95" s="55"/>
      <c r="CO95" s="68">
        <f t="shared" si="63"/>
        <v>0</v>
      </c>
      <c r="CP95" s="75">
        <f>SUM(Tableau1[[#This Row],[Fourniture eau]:[Energie (non précisé)]])</f>
        <v>0</v>
      </c>
      <c r="CQ95" s="55"/>
      <c r="CR95" s="55"/>
      <c r="CS95" s="55"/>
      <c r="CT95" s="55"/>
      <c r="CU95" s="55"/>
      <c r="CV95" s="55">
        <v>0</v>
      </c>
      <c r="CW95" s="55"/>
      <c r="CX95" s="68">
        <f>SUM(Tableau1[[#This Row],[Sous-traitance]:[Autres ou non précisé 12]])</f>
        <v>0</v>
      </c>
      <c r="CY95" s="65"/>
      <c r="CZ95" s="65"/>
      <c r="DA95" s="65"/>
      <c r="DB95" s="65"/>
      <c r="DC95" s="55"/>
      <c r="DD95" s="68">
        <f t="shared" si="43"/>
        <v>0</v>
      </c>
      <c r="DE95" s="55"/>
      <c r="DF95" s="65"/>
      <c r="DG95" s="65"/>
      <c r="DH95" s="65"/>
      <c r="DI95" s="68">
        <f>SUM(Tableau1[[#This Row],[Entretien et réparation matériel de projection]:[Autres ou non précisé 14]])</f>
        <v>0</v>
      </c>
      <c r="DJ95" s="58"/>
      <c r="DK95" s="58"/>
      <c r="DL95" s="69"/>
      <c r="DM95" s="68">
        <f t="shared" si="64"/>
        <v>0</v>
      </c>
      <c r="DN95" s="58"/>
      <c r="DO95" s="58"/>
      <c r="DP95" s="68">
        <f t="shared" si="65"/>
        <v>0</v>
      </c>
      <c r="DQ95" s="65"/>
      <c r="DR95" s="65"/>
      <c r="DS95" s="68">
        <f t="shared" si="66"/>
        <v>0</v>
      </c>
      <c r="DT95" s="65"/>
      <c r="DU95" s="65"/>
      <c r="DV95" s="65"/>
      <c r="DW95" s="68">
        <f>SUM(Tableau1[[#This Row],[Comission et courtage sur achats]:[Autres ou honoraires
 non précisé ]])</f>
        <v>0</v>
      </c>
      <c r="DX95" s="57"/>
      <c r="DY95" s="57"/>
      <c r="DZ95" s="65"/>
      <c r="EA95" s="65"/>
      <c r="EB95" s="65"/>
      <c r="EC95" s="68">
        <f t="shared" si="67"/>
        <v>0</v>
      </c>
      <c r="ED95" s="69"/>
      <c r="EE95" s="69"/>
      <c r="EF95" s="69"/>
      <c r="EG95" s="69"/>
      <c r="EH95" s="69"/>
      <c r="EI95" s="84">
        <f>SUM(Tableau1[[#This Row],[Transports sur films]:[autres ]])</f>
        <v>0</v>
      </c>
      <c r="EJ95" s="132">
        <v>0</v>
      </c>
      <c r="EK95" s="132"/>
      <c r="EL95" s="68">
        <f t="shared" si="68"/>
        <v>0</v>
      </c>
      <c r="EM95" s="65"/>
      <c r="EN95" s="65">
        <v>0</v>
      </c>
      <c r="EO95" s="65"/>
      <c r="EP95" s="65"/>
      <c r="EQ95" s="65"/>
      <c r="ER95" s="65"/>
      <c r="ES95" s="65"/>
      <c r="ET95" s="68">
        <f t="shared" si="69"/>
        <v>0</v>
      </c>
      <c r="EU95" s="65"/>
      <c r="EV95" s="65"/>
      <c r="EW95" s="65"/>
      <c r="EX95" s="65"/>
      <c r="EY95" s="65"/>
      <c r="EZ95" s="68">
        <f t="shared" si="46"/>
        <v>0</v>
      </c>
      <c r="FA95" s="65"/>
      <c r="FB95" s="65"/>
      <c r="FC95" s="70">
        <f t="shared" si="44"/>
        <v>0</v>
      </c>
      <c r="FD95" s="65"/>
      <c r="FE95" s="71">
        <f t="shared" si="70"/>
        <v>0</v>
      </c>
      <c r="FF95" s="72">
        <f t="shared" si="71"/>
        <v>0</v>
      </c>
      <c r="FG95" s="65"/>
      <c r="FH95" s="65"/>
      <c r="FI95" s="65"/>
      <c r="FJ95" s="56">
        <f t="shared" si="72"/>
        <v>0</v>
      </c>
      <c r="FK95" s="65"/>
      <c r="FL95" s="65"/>
      <c r="FM95" s="65"/>
      <c r="FN95" s="65"/>
      <c r="FO95" s="67">
        <f t="shared" si="73"/>
        <v>0</v>
      </c>
      <c r="FP95" s="57"/>
      <c r="FQ95" s="73"/>
      <c r="FR95" s="73"/>
      <c r="FS95" s="71">
        <f t="shared" si="74"/>
        <v>0</v>
      </c>
      <c r="FT95" s="91"/>
      <c r="FU95" s="91"/>
      <c r="FV95" s="67">
        <f>SUM(Tableau1[[#This Row],[Droits d''auteurs SACEM + cotisations SACEM]:[Autres ou non préciés]])</f>
        <v>0</v>
      </c>
      <c r="FW95" s="75">
        <f t="shared" si="75"/>
        <v>0</v>
      </c>
      <c r="FX95" s="74">
        <v>0</v>
      </c>
      <c r="FY95" s="74"/>
      <c r="FZ95" s="74"/>
      <c r="GA95" s="74"/>
      <c r="GB95" s="71">
        <f t="shared" si="76"/>
        <v>0</v>
      </c>
      <c r="GC95" s="92"/>
      <c r="GD95" s="92"/>
      <c r="GE95" s="67">
        <f t="shared" si="77"/>
        <v>0</v>
      </c>
      <c r="GF95" s="66"/>
      <c r="GG95" s="66"/>
      <c r="GH95" s="66"/>
      <c r="GI95" s="66"/>
      <c r="GJ95" s="77"/>
    </row>
    <row r="96" spans="1:192" ht="18.600000000000001" customHeight="1" x14ac:dyDescent="0.25">
      <c r="A96" s="89"/>
      <c r="B96" s="17"/>
      <c r="C96" s="50"/>
      <c r="D96" s="140"/>
      <c r="E96" s="51"/>
      <c r="F96" s="139">
        <f t="shared" si="45"/>
        <v>1</v>
      </c>
      <c r="G96" s="49"/>
      <c r="H96" s="50"/>
      <c r="I96" s="122"/>
      <c r="J96" s="49"/>
      <c r="K96" s="50"/>
      <c r="L96" s="50"/>
      <c r="M96" s="90"/>
      <c r="N96" s="50"/>
      <c r="O96" s="50"/>
      <c r="P96" s="90"/>
      <c r="Q96" s="52">
        <f t="shared" si="47"/>
        <v>0</v>
      </c>
      <c r="R96" s="52">
        <f t="shared" si="48"/>
        <v>0</v>
      </c>
      <c r="S96" s="53">
        <f t="shared" si="49"/>
        <v>0</v>
      </c>
      <c r="T96" s="54">
        <f t="shared" si="50"/>
        <v>0</v>
      </c>
      <c r="U96" s="115">
        <f>SUM(Tableau1[[#This Row],[Vente confiserie]:[Vente boisson]])</f>
        <v>0</v>
      </c>
      <c r="V96" s="55"/>
      <c r="W96" s="55"/>
      <c r="X96" s="135">
        <f>SUM(Tableau1[[#This Row],[Vente lunette]:[Location lunette]])</f>
        <v>0</v>
      </c>
      <c r="Y96" s="55"/>
      <c r="Z96" s="55"/>
      <c r="AA96" s="55"/>
      <c r="AB96" s="55"/>
      <c r="AC96" s="56">
        <f t="shared" si="79"/>
        <v>0</v>
      </c>
      <c r="AD96" s="57"/>
      <c r="AE96" s="57"/>
      <c r="AF96" s="57"/>
      <c r="AG96" s="57"/>
      <c r="AH96" s="57"/>
      <c r="AI96" s="57"/>
      <c r="AJ96" s="118">
        <f>(Tableau1[[#This Row],[Recette guichet ]]*1.1275177)-Tableau1[[#This Row],[Recette guichet ]]</f>
        <v>0</v>
      </c>
      <c r="AK96" s="57"/>
      <c r="AL96" s="56">
        <f t="shared" si="80"/>
        <v>0</v>
      </c>
      <c r="AM96" s="58"/>
      <c r="AN96" s="58"/>
      <c r="AO96" s="58"/>
      <c r="AP96" s="115">
        <f t="shared" si="51"/>
        <v>0</v>
      </c>
      <c r="AQ96" s="69"/>
      <c r="AR96" s="69"/>
      <c r="AS96" s="69"/>
      <c r="AT96" s="69"/>
      <c r="AU96" s="59">
        <f t="shared" si="52"/>
        <v>0</v>
      </c>
      <c r="AV96" s="60">
        <f t="shared" si="53"/>
        <v>0</v>
      </c>
      <c r="AW96" s="58"/>
      <c r="AX96" s="58"/>
      <c r="AY96" s="58"/>
      <c r="AZ96" s="60">
        <f t="shared" si="42"/>
        <v>0</v>
      </c>
      <c r="BA96" s="58"/>
      <c r="BB96" s="58"/>
      <c r="BC96" s="58"/>
      <c r="BD96" s="60">
        <f>SUM(Tableau1[[#This Row],[ticket/carte/abonnement périmé]:[Autres ou non précisé 5]])</f>
        <v>0</v>
      </c>
      <c r="BE96" s="58"/>
      <c r="BF96" s="58"/>
      <c r="BG96" s="58"/>
      <c r="BH96" s="61">
        <f t="shared" si="54"/>
        <v>0</v>
      </c>
      <c r="BI96" s="120"/>
      <c r="BJ96" s="120"/>
      <c r="BK96" s="62">
        <f t="shared" si="55"/>
        <v>0</v>
      </c>
      <c r="BL96" s="120"/>
      <c r="BM96" s="120"/>
      <c r="BN96" s="120"/>
      <c r="BO96" s="120"/>
      <c r="BP96" s="120"/>
      <c r="BQ96" s="63"/>
      <c r="BR96" s="52">
        <f t="shared" si="56"/>
        <v>0</v>
      </c>
      <c r="BS96" s="52">
        <f t="shared" si="57"/>
        <v>0</v>
      </c>
      <c r="BT96" s="61">
        <f t="shared" si="58"/>
        <v>0</v>
      </c>
      <c r="BU96" s="64">
        <f t="shared" si="59"/>
        <v>0</v>
      </c>
      <c r="BV96" s="119">
        <f>SUM(Tableau1[[#This Row],[Achats confiserie]:[Achats boisson]])</f>
        <v>0</v>
      </c>
      <c r="BW96" s="58"/>
      <c r="BX96" s="69"/>
      <c r="BY96" s="58"/>
      <c r="BZ96" s="56">
        <f t="shared" si="60"/>
        <v>0</v>
      </c>
      <c r="CA96" s="66"/>
      <c r="CB96" s="66"/>
      <c r="CC96" s="56">
        <f t="shared" si="61"/>
        <v>0</v>
      </c>
      <c r="CD96" s="55"/>
      <c r="CE96" s="65"/>
      <c r="CF96" s="55"/>
      <c r="CG96" s="55"/>
      <c r="CH96" s="67">
        <f t="shared" si="62"/>
        <v>0</v>
      </c>
      <c r="CI96" s="68">
        <f t="shared" si="78"/>
        <v>0</v>
      </c>
      <c r="CJ96" s="55"/>
      <c r="CK96" s="55"/>
      <c r="CL96" s="55"/>
      <c r="CM96" s="55"/>
      <c r="CN96" s="55"/>
      <c r="CO96" s="68">
        <f t="shared" si="63"/>
        <v>0</v>
      </c>
      <c r="CP96" s="75">
        <f>SUM(Tableau1[[#This Row],[Fourniture eau]:[Energie (non précisé)]])</f>
        <v>0</v>
      </c>
      <c r="CQ96" s="55"/>
      <c r="CR96" s="55"/>
      <c r="CS96" s="55"/>
      <c r="CT96" s="55"/>
      <c r="CU96" s="55"/>
      <c r="CV96" s="55">
        <v>0</v>
      </c>
      <c r="CW96" s="55"/>
      <c r="CX96" s="68">
        <f>SUM(Tableau1[[#This Row],[Sous-traitance]:[Autres ou non précisé 12]])</f>
        <v>0</v>
      </c>
      <c r="CY96" s="65"/>
      <c r="CZ96" s="65"/>
      <c r="DA96" s="65"/>
      <c r="DB96" s="65"/>
      <c r="DC96" s="55"/>
      <c r="DD96" s="68">
        <f t="shared" si="43"/>
        <v>0</v>
      </c>
      <c r="DE96" s="55"/>
      <c r="DF96" s="65"/>
      <c r="DG96" s="65"/>
      <c r="DH96" s="65"/>
      <c r="DI96" s="68">
        <f>SUM(Tableau1[[#This Row],[Entretien et réparation matériel de projection]:[Autres ou non précisé 14]])</f>
        <v>0</v>
      </c>
      <c r="DJ96" s="58"/>
      <c r="DK96" s="58"/>
      <c r="DL96" s="69"/>
      <c r="DM96" s="68">
        <f t="shared" si="64"/>
        <v>0</v>
      </c>
      <c r="DN96" s="58"/>
      <c r="DO96" s="58"/>
      <c r="DP96" s="68">
        <f t="shared" si="65"/>
        <v>0</v>
      </c>
      <c r="DQ96" s="65"/>
      <c r="DR96" s="65"/>
      <c r="DS96" s="68">
        <f t="shared" si="66"/>
        <v>0</v>
      </c>
      <c r="DT96" s="65"/>
      <c r="DU96" s="65"/>
      <c r="DV96" s="65"/>
      <c r="DW96" s="68">
        <f>SUM(Tableau1[[#This Row],[Comission et courtage sur achats]:[Autres ou honoraires
 non précisé ]])</f>
        <v>0</v>
      </c>
      <c r="DX96" s="57"/>
      <c r="DY96" s="57"/>
      <c r="DZ96" s="65"/>
      <c r="EA96" s="65"/>
      <c r="EB96" s="65"/>
      <c r="EC96" s="68">
        <f t="shared" si="67"/>
        <v>0</v>
      </c>
      <c r="ED96" s="69"/>
      <c r="EE96" s="69"/>
      <c r="EF96" s="69"/>
      <c r="EG96" s="69"/>
      <c r="EH96" s="69"/>
      <c r="EI96" s="84">
        <f>SUM(Tableau1[[#This Row],[Transports sur films]:[autres ]])</f>
        <v>0</v>
      </c>
      <c r="EJ96" s="132">
        <v>0</v>
      </c>
      <c r="EK96" s="132"/>
      <c r="EL96" s="68">
        <f t="shared" si="68"/>
        <v>0</v>
      </c>
      <c r="EM96" s="65"/>
      <c r="EN96" s="65">
        <v>0</v>
      </c>
      <c r="EO96" s="65"/>
      <c r="EP96" s="65"/>
      <c r="EQ96" s="65"/>
      <c r="ER96" s="65"/>
      <c r="ES96" s="65"/>
      <c r="ET96" s="68">
        <f t="shared" si="69"/>
        <v>0</v>
      </c>
      <c r="EU96" s="65"/>
      <c r="EV96" s="65"/>
      <c r="EW96" s="65"/>
      <c r="EX96" s="65"/>
      <c r="EY96" s="65"/>
      <c r="EZ96" s="68">
        <f t="shared" si="46"/>
        <v>0</v>
      </c>
      <c r="FA96" s="65"/>
      <c r="FB96" s="65"/>
      <c r="FC96" s="70">
        <f t="shared" si="44"/>
        <v>0</v>
      </c>
      <c r="FD96" s="65"/>
      <c r="FE96" s="71">
        <f t="shared" si="70"/>
        <v>0</v>
      </c>
      <c r="FF96" s="72">
        <f t="shared" si="71"/>
        <v>0</v>
      </c>
      <c r="FG96" s="65"/>
      <c r="FH96" s="65"/>
      <c r="FI96" s="65"/>
      <c r="FJ96" s="56">
        <f t="shared" si="72"/>
        <v>0</v>
      </c>
      <c r="FK96" s="65"/>
      <c r="FL96" s="65"/>
      <c r="FM96" s="65"/>
      <c r="FN96" s="65"/>
      <c r="FO96" s="67">
        <f t="shared" si="73"/>
        <v>0</v>
      </c>
      <c r="FP96" s="57"/>
      <c r="FQ96" s="73"/>
      <c r="FR96" s="73"/>
      <c r="FS96" s="71">
        <f t="shared" si="74"/>
        <v>0</v>
      </c>
      <c r="FT96" s="91"/>
      <c r="FU96" s="91"/>
      <c r="FV96" s="67">
        <f>SUM(Tableau1[[#This Row],[Droits d''auteurs SACEM + cotisations SACEM]:[Autres ou non préciés]])</f>
        <v>0</v>
      </c>
      <c r="FW96" s="75">
        <f t="shared" si="75"/>
        <v>0</v>
      </c>
      <c r="FX96" s="74">
        <v>0</v>
      </c>
      <c r="FY96" s="74"/>
      <c r="FZ96" s="74"/>
      <c r="GA96" s="74"/>
      <c r="GB96" s="71">
        <f t="shared" si="76"/>
        <v>0</v>
      </c>
      <c r="GC96" s="92"/>
      <c r="GD96" s="92"/>
      <c r="GE96" s="67">
        <f t="shared" si="77"/>
        <v>0</v>
      </c>
      <c r="GF96" s="66"/>
      <c r="GG96" s="66"/>
      <c r="GH96" s="66"/>
      <c r="GI96" s="66"/>
      <c r="GJ96" s="77"/>
    </row>
    <row r="97" spans="1:192" ht="18.600000000000001" customHeight="1" x14ac:dyDescent="0.25">
      <c r="A97" s="89"/>
      <c r="B97" s="17"/>
      <c r="C97" s="50"/>
      <c r="D97" s="140"/>
      <c r="E97" s="51"/>
      <c r="F97" s="139">
        <f t="shared" si="45"/>
        <v>1</v>
      </c>
      <c r="G97" s="49"/>
      <c r="H97" s="50"/>
      <c r="I97" s="122"/>
      <c r="J97" s="49"/>
      <c r="K97" s="50"/>
      <c r="L97" s="50"/>
      <c r="M97" s="90"/>
      <c r="N97" s="50"/>
      <c r="O97" s="50"/>
      <c r="P97" s="90"/>
      <c r="Q97" s="52">
        <f t="shared" si="47"/>
        <v>0</v>
      </c>
      <c r="R97" s="52">
        <f t="shared" si="48"/>
        <v>0</v>
      </c>
      <c r="S97" s="53">
        <f t="shared" si="49"/>
        <v>0</v>
      </c>
      <c r="T97" s="54">
        <f t="shared" si="50"/>
        <v>0</v>
      </c>
      <c r="U97" s="115">
        <f>SUM(Tableau1[[#This Row],[Vente confiserie]:[Vente boisson]])</f>
        <v>0</v>
      </c>
      <c r="V97" s="55"/>
      <c r="W97" s="55"/>
      <c r="X97" s="135">
        <f>SUM(Tableau1[[#This Row],[Vente lunette]:[Location lunette]])</f>
        <v>0</v>
      </c>
      <c r="Y97" s="55"/>
      <c r="Z97" s="55"/>
      <c r="AA97" s="55"/>
      <c r="AB97" s="55"/>
      <c r="AC97" s="56">
        <f t="shared" si="79"/>
        <v>0</v>
      </c>
      <c r="AD97" s="57"/>
      <c r="AE97" s="57"/>
      <c r="AF97" s="57"/>
      <c r="AG97" s="57"/>
      <c r="AH97" s="57"/>
      <c r="AI97" s="57"/>
      <c r="AJ97" s="118">
        <f>(Tableau1[[#This Row],[Recette guichet ]]*1.1275177)-Tableau1[[#This Row],[Recette guichet ]]</f>
        <v>0</v>
      </c>
      <c r="AK97" s="57"/>
      <c r="AL97" s="56">
        <f t="shared" si="80"/>
        <v>0</v>
      </c>
      <c r="AM97" s="58"/>
      <c r="AN97" s="58"/>
      <c r="AO97" s="58"/>
      <c r="AP97" s="115">
        <f t="shared" si="51"/>
        <v>0</v>
      </c>
      <c r="AQ97" s="69"/>
      <c r="AR97" s="69"/>
      <c r="AS97" s="69"/>
      <c r="AT97" s="69"/>
      <c r="AU97" s="59">
        <f t="shared" si="52"/>
        <v>0</v>
      </c>
      <c r="AV97" s="60">
        <f t="shared" si="53"/>
        <v>0</v>
      </c>
      <c r="AW97" s="58"/>
      <c r="AX97" s="58"/>
      <c r="AY97" s="58"/>
      <c r="AZ97" s="60">
        <f t="shared" si="42"/>
        <v>0</v>
      </c>
      <c r="BA97" s="58"/>
      <c r="BB97" s="58"/>
      <c r="BC97" s="58"/>
      <c r="BD97" s="60">
        <f>SUM(Tableau1[[#This Row],[ticket/carte/abonnement périmé]:[Autres ou non précisé 5]])</f>
        <v>0</v>
      </c>
      <c r="BE97" s="58"/>
      <c r="BF97" s="58"/>
      <c r="BG97" s="58"/>
      <c r="BH97" s="61">
        <f t="shared" si="54"/>
        <v>0</v>
      </c>
      <c r="BI97" s="120"/>
      <c r="BJ97" s="120"/>
      <c r="BK97" s="62">
        <f t="shared" si="55"/>
        <v>0</v>
      </c>
      <c r="BL97" s="120"/>
      <c r="BM97" s="120"/>
      <c r="BN97" s="120"/>
      <c r="BO97" s="120"/>
      <c r="BP97" s="120"/>
      <c r="BQ97" s="63"/>
      <c r="BR97" s="52">
        <f t="shared" si="56"/>
        <v>0</v>
      </c>
      <c r="BS97" s="52">
        <f t="shared" si="57"/>
        <v>0</v>
      </c>
      <c r="BT97" s="61">
        <f t="shared" si="58"/>
        <v>0</v>
      </c>
      <c r="BU97" s="64">
        <f t="shared" si="59"/>
        <v>0</v>
      </c>
      <c r="BV97" s="119">
        <f>SUM(Tableau1[[#This Row],[Achats confiserie]:[Achats boisson]])</f>
        <v>0</v>
      </c>
      <c r="BW97" s="58"/>
      <c r="BX97" s="69"/>
      <c r="BY97" s="58"/>
      <c r="BZ97" s="56">
        <f t="shared" si="60"/>
        <v>0</v>
      </c>
      <c r="CA97" s="66"/>
      <c r="CB97" s="66"/>
      <c r="CC97" s="56">
        <f t="shared" si="61"/>
        <v>0</v>
      </c>
      <c r="CD97" s="55"/>
      <c r="CE97" s="65"/>
      <c r="CF97" s="55"/>
      <c r="CG97" s="55"/>
      <c r="CH97" s="67">
        <f t="shared" si="62"/>
        <v>0</v>
      </c>
      <c r="CI97" s="68">
        <f t="shared" si="78"/>
        <v>0</v>
      </c>
      <c r="CJ97" s="55"/>
      <c r="CK97" s="55"/>
      <c r="CL97" s="55"/>
      <c r="CM97" s="55"/>
      <c r="CN97" s="55"/>
      <c r="CO97" s="68">
        <f t="shared" si="63"/>
        <v>0</v>
      </c>
      <c r="CP97" s="75">
        <f>SUM(Tableau1[[#This Row],[Fourniture eau]:[Energie (non précisé)]])</f>
        <v>0</v>
      </c>
      <c r="CQ97" s="55"/>
      <c r="CR97" s="55"/>
      <c r="CS97" s="55"/>
      <c r="CT97" s="55"/>
      <c r="CU97" s="55"/>
      <c r="CV97" s="55">
        <v>0</v>
      </c>
      <c r="CW97" s="55"/>
      <c r="CX97" s="68">
        <f>SUM(Tableau1[[#This Row],[Sous-traitance]:[Autres ou non précisé 12]])</f>
        <v>0</v>
      </c>
      <c r="CY97" s="65"/>
      <c r="CZ97" s="65"/>
      <c r="DA97" s="65"/>
      <c r="DB97" s="65"/>
      <c r="DC97" s="55"/>
      <c r="DD97" s="68">
        <f t="shared" si="43"/>
        <v>0</v>
      </c>
      <c r="DE97" s="55"/>
      <c r="DF97" s="65"/>
      <c r="DG97" s="65"/>
      <c r="DH97" s="65"/>
      <c r="DI97" s="68">
        <f>SUM(Tableau1[[#This Row],[Entretien et réparation matériel de projection]:[Autres ou non précisé 14]])</f>
        <v>0</v>
      </c>
      <c r="DJ97" s="58"/>
      <c r="DK97" s="58"/>
      <c r="DL97" s="69"/>
      <c r="DM97" s="68">
        <f t="shared" si="64"/>
        <v>0</v>
      </c>
      <c r="DN97" s="58"/>
      <c r="DO97" s="58"/>
      <c r="DP97" s="68">
        <f t="shared" si="65"/>
        <v>0</v>
      </c>
      <c r="DQ97" s="65"/>
      <c r="DR97" s="65"/>
      <c r="DS97" s="68">
        <f t="shared" si="66"/>
        <v>0</v>
      </c>
      <c r="DT97" s="65"/>
      <c r="DU97" s="65"/>
      <c r="DV97" s="65"/>
      <c r="DW97" s="68">
        <f>SUM(Tableau1[[#This Row],[Comission et courtage sur achats]:[Autres ou honoraires
 non précisé ]])</f>
        <v>0</v>
      </c>
      <c r="DX97" s="57"/>
      <c r="DY97" s="57"/>
      <c r="DZ97" s="65"/>
      <c r="EA97" s="65"/>
      <c r="EB97" s="65"/>
      <c r="EC97" s="68">
        <f t="shared" si="67"/>
        <v>0</v>
      </c>
      <c r="ED97" s="69"/>
      <c r="EE97" s="69"/>
      <c r="EF97" s="69"/>
      <c r="EG97" s="69"/>
      <c r="EH97" s="69"/>
      <c r="EI97" s="84">
        <f>SUM(Tableau1[[#This Row],[Transports sur films]:[autres ]])</f>
        <v>0</v>
      </c>
      <c r="EJ97" s="132">
        <v>0</v>
      </c>
      <c r="EK97" s="132"/>
      <c r="EL97" s="68">
        <f t="shared" si="68"/>
        <v>0</v>
      </c>
      <c r="EM97" s="65"/>
      <c r="EN97" s="65">
        <v>0</v>
      </c>
      <c r="EO97" s="65"/>
      <c r="EP97" s="65"/>
      <c r="EQ97" s="65"/>
      <c r="ER97" s="65"/>
      <c r="ES97" s="65"/>
      <c r="ET97" s="68">
        <f t="shared" si="69"/>
        <v>0</v>
      </c>
      <c r="EU97" s="65"/>
      <c r="EV97" s="65"/>
      <c r="EW97" s="65"/>
      <c r="EX97" s="65"/>
      <c r="EY97" s="65"/>
      <c r="EZ97" s="68">
        <f t="shared" si="46"/>
        <v>0</v>
      </c>
      <c r="FA97" s="65"/>
      <c r="FB97" s="65"/>
      <c r="FC97" s="70">
        <f t="shared" si="44"/>
        <v>0</v>
      </c>
      <c r="FD97" s="65"/>
      <c r="FE97" s="71">
        <f t="shared" si="70"/>
        <v>0</v>
      </c>
      <c r="FF97" s="72">
        <f t="shared" si="71"/>
        <v>0</v>
      </c>
      <c r="FG97" s="65"/>
      <c r="FH97" s="65"/>
      <c r="FI97" s="65"/>
      <c r="FJ97" s="56">
        <f t="shared" si="72"/>
        <v>0</v>
      </c>
      <c r="FK97" s="65"/>
      <c r="FL97" s="65"/>
      <c r="FM97" s="65"/>
      <c r="FN97" s="65"/>
      <c r="FO97" s="67">
        <f t="shared" si="73"/>
        <v>0</v>
      </c>
      <c r="FP97" s="57"/>
      <c r="FQ97" s="73"/>
      <c r="FR97" s="73"/>
      <c r="FS97" s="71">
        <f t="shared" si="74"/>
        <v>0</v>
      </c>
      <c r="FT97" s="91"/>
      <c r="FU97" s="91"/>
      <c r="FV97" s="67">
        <f>SUM(Tableau1[[#This Row],[Droits d''auteurs SACEM + cotisations SACEM]:[Autres ou non préciés]])</f>
        <v>0</v>
      </c>
      <c r="FW97" s="75">
        <f t="shared" si="75"/>
        <v>0</v>
      </c>
      <c r="FX97" s="74">
        <v>0</v>
      </c>
      <c r="FY97" s="74"/>
      <c r="FZ97" s="74"/>
      <c r="GA97" s="74"/>
      <c r="GB97" s="71">
        <f t="shared" si="76"/>
        <v>0</v>
      </c>
      <c r="GC97" s="92"/>
      <c r="GD97" s="92"/>
      <c r="GE97" s="67">
        <f t="shared" si="77"/>
        <v>0</v>
      </c>
      <c r="GF97" s="66"/>
      <c r="GG97" s="66"/>
      <c r="GH97" s="66"/>
      <c r="GI97" s="66"/>
      <c r="GJ97" s="77"/>
    </row>
    <row r="98" spans="1:192" ht="18.600000000000001" customHeight="1" x14ac:dyDescent="0.25">
      <c r="A98" s="89"/>
      <c r="B98" s="17"/>
      <c r="C98" s="50"/>
      <c r="D98" s="140"/>
      <c r="E98" s="51"/>
      <c r="F98" s="139">
        <f t="shared" si="45"/>
        <v>1</v>
      </c>
      <c r="G98" s="49"/>
      <c r="H98" s="50"/>
      <c r="I98" s="122"/>
      <c r="J98" s="49"/>
      <c r="K98" s="50"/>
      <c r="L98" s="50"/>
      <c r="M98" s="90"/>
      <c r="N98" s="50"/>
      <c r="O98" s="50"/>
      <c r="P98" s="90"/>
      <c r="Q98" s="52">
        <f t="shared" si="47"/>
        <v>0</v>
      </c>
      <c r="R98" s="52">
        <f t="shared" si="48"/>
        <v>0</v>
      </c>
      <c r="S98" s="53">
        <f t="shared" si="49"/>
        <v>0</v>
      </c>
      <c r="T98" s="54">
        <f t="shared" si="50"/>
        <v>0</v>
      </c>
      <c r="U98" s="115">
        <f>SUM(Tableau1[[#This Row],[Vente confiserie]:[Vente boisson]])</f>
        <v>0</v>
      </c>
      <c r="V98" s="55"/>
      <c r="W98" s="55"/>
      <c r="X98" s="135">
        <f>SUM(Tableau1[[#This Row],[Vente lunette]:[Location lunette]])</f>
        <v>0</v>
      </c>
      <c r="Y98" s="55"/>
      <c r="Z98" s="55"/>
      <c r="AA98" s="55"/>
      <c r="AB98" s="55"/>
      <c r="AC98" s="56">
        <f t="shared" si="79"/>
        <v>0</v>
      </c>
      <c r="AD98" s="57"/>
      <c r="AE98" s="57"/>
      <c r="AF98" s="57"/>
      <c r="AG98" s="57"/>
      <c r="AH98" s="57"/>
      <c r="AI98" s="57"/>
      <c r="AJ98" s="118">
        <f>(Tableau1[[#This Row],[Recette guichet ]]*1.1275177)-Tableau1[[#This Row],[Recette guichet ]]</f>
        <v>0</v>
      </c>
      <c r="AK98" s="57"/>
      <c r="AL98" s="56">
        <f t="shared" si="80"/>
        <v>0</v>
      </c>
      <c r="AM98" s="58"/>
      <c r="AN98" s="58"/>
      <c r="AO98" s="58"/>
      <c r="AP98" s="115">
        <f t="shared" si="51"/>
        <v>0</v>
      </c>
      <c r="AQ98" s="69"/>
      <c r="AR98" s="69"/>
      <c r="AS98" s="69"/>
      <c r="AT98" s="69"/>
      <c r="AU98" s="59">
        <f t="shared" si="52"/>
        <v>0</v>
      </c>
      <c r="AV98" s="60">
        <f t="shared" si="53"/>
        <v>0</v>
      </c>
      <c r="AW98" s="58"/>
      <c r="AX98" s="58"/>
      <c r="AY98" s="58"/>
      <c r="AZ98" s="60">
        <f t="shared" si="42"/>
        <v>0</v>
      </c>
      <c r="BA98" s="58"/>
      <c r="BB98" s="58"/>
      <c r="BC98" s="58"/>
      <c r="BD98" s="60">
        <f>SUM(Tableau1[[#This Row],[ticket/carte/abonnement périmé]:[Autres ou non précisé 5]])</f>
        <v>0</v>
      </c>
      <c r="BE98" s="58"/>
      <c r="BF98" s="58"/>
      <c r="BG98" s="58"/>
      <c r="BH98" s="61">
        <f t="shared" si="54"/>
        <v>0</v>
      </c>
      <c r="BI98" s="120"/>
      <c r="BJ98" s="120"/>
      <c r="BK98" s="62">
        <f t="shared" si="55"/>
        <v>0</v>
      </c>
      <c r="BL98" s="120"/>
      <c r="BM98" s="120"/>
      <c r="BN98" s="120"/>
      <c r="BO98" s="120"/>
      <c r="BP98" s="120"/>
      <c r="BQ98" s="63"/>
      <c r="BR98" s="52">
        <f t="shared" si="56"/>
        <v>0</v>
      </c>
      <c r="BS98" s="52">
        <f t="shared" si="57"/>
        <v>0</v>
      </c>
      <c r="BT98" s="61">
        <f t="shared" si="58"/>
        <v>0</v>
      </c>
      <c r="BU98" s="64">
        <f t="shared" si="59"/>
        <v>0</v>
      </c>
      <c r="BV98" s="119">
        <f>SUM(Tableau1[[#This Row],[Achats confiserie]:[Achats boisson]])</f>
        <v>0</v>
      </c>
      <c r="BW98" s="58"/>
      <c r="BX98" s="69"/>
      <c r="BY98" s="58"/>
      <c r="BZ98" s="56">
        <f t="shared" si="60"/>
        <v>0</v>
      </c>
      <c r="CA98" s="66"/>
      <c r="CB98" s="66"/>
      <c r="CC98" s="56">
        <f t="shared" si="61"/>
        <v>0</v>
      </c>
      <c r="CD98" s="55"/>
      <c r="CE98" s="65"/>
      <c r="CF98" s="55"/>
      <c r="CG98" s="55"/>
      <c r="CH98" s="67">
        <f t="shared" si="62"/>
        <v>0</v>
      </c>
      <c r="CI98" s="68">
        <f t="shared" si="78"/>
        <v>0</v>
      </c>
      <c r="CJ98" s="55"/>
      <c r="CK98" s="55"/>
      <c r="CL98" s="55"/>
      <c r="CM98" s="55"/>
      <c r="CN98" s="55"/>
      <c r="CO98" s="68">
        <f t="shared" si="63"/>
        <v>0</v>
      </c>
      <c r="CP98" s="75">
        <f>SUM(Tableau1[[#This Row],[Fourniture eau]:[Energie (non précisé)]])</f>
        <v>0</v>
      </c>
      <c r="CQ98" s="55"/>
      <c r="CR98" s="55"/>
      <c r="CS98" s="55"/>
      <c r="CT98" s="55"/>
      <c r="CU98" s="55"/>
      <c r="CV98" s="55">
        <v>0</v>
      </c>
      <c r="CW98" s="55"/>
      <c r="CX98" s="68">
        <f>SUM(Tableau1[[#This Row],[Sous-traitance]:[Autres ou non précisé 12]])</f>
        <v>0</v>
      </c>
      <c r="CY98" s="65"/>
      <c r="CZ98" s="65"/>
      <c r="DA98" s="65"/>
      <c r="DB98" s="65"/>
      <c r="DC98" s="55"/>
      <c r="DD98" s="68">
        <f t="shared" si="43"/>
        <v>0</v>
      </c>
      <c r="DE98" s="55"/>
      <c r="DF98" s="65"/>
      <c r="DG98" s="65"/>
      <c r="DH98" s="65"/>
      <c r="DI98" s="68">
        <f>SUM(Tableau1[[#This Row],[Entretien et réparation matériel de projection]:[Autres ou non précisé 14]])</f>
        <v>0</v>
      </c>
      <c r="DJ98" s="58"/>
      <c r="DK98" s="58"/>
      <c r="DL98" s="69"/>
      <c r="DM98" s="68">
        <f t="shared" si="64"/>
        <v>0</v>
      </c>
      <c r="DN98" s="58"/>
      <c r="DO98" s="58"/>
      <c r="DP98" s="68">
        <f t="shared" si="65"/>
        <v>0</v>
      </c>
      <c r="DQ98" s="65"/>
      <c r="DR98" s="65"/>
      <c r="DS98" s="68">
        <f t="shared" si="66"/>
        <v>0</v>
      </c>
      <c r="DT98" s="65"/>
      <c r="DU98" s="65"/>
      <c r="DV98" s="65"/>
      <c r="DW98" s="68">
        <f>SUM(Tableau1[[#This Row],[Comission et courtage sur achats]:[Autres ou honoraires
 non précisé ]])</f>
        <v>0</v>
      </c>
      <c r="DX98" s="57"/>
      <c r="DY98" s="57"/>
      <c r="DZ98" s="65"/>
      <c r="EA98" s="65"/>
      <c r="EB98" s="65"/>
      <c r="EC98" s="68">
        <f t="shared" si="67"/>
        <v>0</v>
      </c>
      <c r="ED98" s="69"/>
      <c r="EE98" s="69"/>
      <c r="EF98" s="69"/>
      <c r="EG98" s="69"/>
      <c r="EH98" s="69"/>
      <c r="EI98" s="84">
        <f>SUM(Tableau1[[#This Row],[Transports sur films]:[autres ]])</f>
        <v>0</v>
      </c>
      <c r="EJ98" s="132">
        <v>0</v>
      </c>
      <c r="EK98" s="132"/>
      <c r="EL98" s="68">
        <f t="shared" si="68"/>
        <v>0</v>
      </c>
      <c r="EM98" s="65"/>
      <c r="EN98" s="65">
        <v>0</v>
      </c>
      <c r="EO98" s="65"/>
      <c r="EP98" s="65"/>
      <c r="EQ98" s="65"/>
      <c r="ER98" s="65"/>
      <c r="ES98" s="65"/>
      <c r="ET98" s="68">
        <f t="shared" si="69"/>
        <v>0</v>
      </c>
      <c r="EU98" s="65"/>
      <c r="EV98" s="65"/>
      <c r="EW98" s="65"/>
      <c r="EX98" s="65"/>
      <c r="EY98" s="65"/>
      <c r="EZ98" s="68">
        <f t="shared" si="46"/>
        <v>0</v>
      </c>
      <c r="FA98" s="65"/>
      <c r="FB98" s="65"/>
      <c r="FC98" s="70">
        <f t="shared" si="44"/>
        <v>0</v>
      </c>
      <c r="FD98" s="65"/>
      <c r="FE98" s="71">
        <f t="shared" si="70"/>
        <v>0</v>
      </c>
      <c r="FF98" s="72">
        <f t="shared" si="71"/>
        <v>0</v>
      </c>
      <c r="FG98" s="65"/>
      <c r="FH98" s="65"/>
      <c r="FI98" s="65"/>
      <c r="FJ98" s="56">
        <f t="shared" si="72"/>
        <v>0</v>
      </c>
      <c r="FK98" s="65"/>
      <c r="FL98" s="65"/>
      <c r="FM98" s="65"/>
      <c r="FN98" s="65"/>
      <c r="FO98" s="67">
        <f t="shared" si="73"/>
        <v>0</v>
      </c>
      <c r="FP98" s="57"/>
      <c r="FQ98" s="73"/>
      <c r="FR98" s="73"/>
      <c r="FS98" s="71">
        <f t="shared" si="74"/>
        <v>0</v>
      </c>
      <c r="FT98" s="91"/>
      <c r="FU98" s="91"/>
      <c r="FV98" s="67">
        <f>SUM(Tableau1[[#This Row],[Droits d''auteurs SACEM + cotisations SACEM]:[Autres ou non préciés]])</f>
        <v>0</v>
      </c>
      <c r="FW98" s="75">
        <f t="shared" si="75"/>
        <v>0</v>
      </c>
      <c r="FX98" s="74">
        <v>0</v>
      </c>
      <c r="FY98" s="74"/>
      <c r="FZ98" s="74"/>
      <c r="GA98" s="74"/>
      <c r="GB98" s="71">
        <f t="shared" si="76"/>
        <v>0</v>
      </c>
      <c r="GC98" s="92"/>
      <c r="GD98" s="92"/>
      <c r="GE98" s="67">
        <f t="shared" si="77"/>
        <v>0</v>
      </c>
      <c r="GF98" s="66"/>
      <c r="GG98" s="66"/>
      <c r="GH98" s="66"/>
      <c r="GI98" s="66"/>
      <c r="GJ98" s="77"/>
    </row>
    <row r="99" spans="1:192" ht="18.600000000000001" customHeight="1" x14ac:dyDescent="0.25">
      <c r="A99" s="89"/>
      <c r="B99" s="17"/>
      <c r="C99" s="50"/>
      <c r="D99" s="140"/>
      <c r="E99" s="51"/>
      <c r="F99" s="139">
        <f t="shared" si="45"/>
        <v>1</v>
      </c>
      <c r="G99" s="49"/>
      <c r="H99" s="50"/>
      <c r="I99" s="122"/>
      <c r="J99" s="49"/>
      <c r="K99" s="50"/>
      <c r="L99" s="50"/>
      <c r="M99" s="90"/>
      <c r="N99" s="50"/>
      <c r="O99" s="50"/>
      <c r="P99" s="90"/>
      <c r="Q99" s="52">
        <f t="shared" si="47"/>
        <v>0</v>
      </c>
      <c r="R99" s="52">
        <f t="shared" si="48"/>
        <v>0</v>
      </c>
      <c r="S99" s="53">
        <f t="shared" si="49"/>
        <v>0</v>
      </c>
      <c r="T99" s="54">
        <f t="shared" si="50"/>
        <v>0</v>
      </c>
      <c r="U99" s="115">
        <f>SUM(Tableau1[[#This Row],[Vente confiserie]:[Vente boisson]])</f>
        <v>0</v>
      </c>
      <c r="V99" s="55"/>
      <c r="W99" s="55"/>
      <c r="X99" s="135">
        <f>SUM(Tableau1[[#This Row],[Vente lunette]:[Location lunette]])</f>
        <v>0</v>
      </c>
      <c r="Y99" s="55"/>
      <c r="Z99" s="55"/>
      <c r="AA99" s="55"/>
      <c r="AB99" s="55"/>
      <c r="AC99" s="56">
        <f t="shared" si="79"/>
        <v>0</v>
      </c>
      <c r="AD99" s="57"/>
      <c r="AE99" s="57"/>
      <c r="AF99" s="57"/>
      <c r="AG99" s="57"/>
      <c r="AH99" s="57"/>
      <c r="AI99" s="57"/>
      <c r="AJ99" s="118">
        <f>(Tableau1[[#This Row],[Recette guichet ]]*1.1275177)-Tableau1[[#This Row],[Recette guichet ]]</f>
        <v>0</v>
      </c>
      <c r="AK99" s="57"/>
      <c r="AL99" s="56">
        <f t="shared" si="80"/>
        <v>0</v>
      </c>
      <c r="AM99" s="58"/>
      <c r="AN99" s="58"/>
      <c r="AO99" s="58"/>
      <c r="AP99" s="115">
        <f t="shared" si="51"/>
        <v>0</v>
      </c>
      <c r="AQ99" s="69"/>
      <c r="AR99" s="69"/>
      <c r="AS99" s="69"/>
      <c r="AT99" s="69"/>
      <c r="AU99" s="59">
        <f t="shared" si="52"/>
        <v>0</v>
      </c>
      <c r="AV99" s="60">
        <f t="shared" si="53"/>
        <v>0</v>
      </c>
      <c r="AW99" s="58"/>
      <c r="AX99" s="58"/>
      <c r="AY99" s="58"/>
      <c r="AZ99" s="60">
        <f t="shared" si="42"/>
        <v>0</v>
      </c>
      <c r="BA99" s="58"/>
      <c r="BB99" s="58"/>
      <c r="BC99" s="58"/>
      <c r="BD99" s="60">
        <f>SUM(Tableau1[[#This Row],[ticket/carte/abonnement périmé]:[Autres ou non précisé 5]])</f>
        <v>0</v>
      </c>
      <c r="BE99" s="58"/>
      <c r="BF99" s="58"/>
      <c r="BG99" s="58"/>
      <c r="BH99" s="61">
        <f t="shared" si="54"/>
        <v>0</v>
      </c>
      <c r="BI99" s="120"/>
      <c r="BJ99" s="120"/>
      <c r="BK99" s="62">
        <f t="shared" si="55"/>
        <v>0</v>
      </c>
      <c r="BL99" s="120"/>
      <c r="BM99" s="120"/>
      <c r="BN99" s="120"/>
      <c r="BO99" s="120"/>
      <c r="BP99" s="120"/>
      <c r="BQ99" s="63"/>
      <c r="BR99" s="52">
        <f t="shared" si="56"/>
        <v>0</v>
      </c>
      <c r="BS99" s="52">
        <f t="shared" si="57"/>
        <v>0</v>
      </c>
      <c r="BT99" s="61">
        <f t="shared" si="58"/>
        <v>0</v>
      </c>
      <c r="BU99" s="64">
        <f t="shared" si="59"/>
        <v>0</v>
      </c>
      <c r="BV99" s="119">
        <f>SUM(Tableau1[[#This Row],[Achats confiserie]:[Achats boisson]])</f>
        <v>0</v>
      </c>
      <c r="BW99" s="58"/>
      <c r="BX99" s="69"/>
      <c r="BY99" s="58"/>
      <c r="BZ99" s="56">
        <f t="shared" si="60"/>
        <v>0</v>
      </c>
      <c r="CA99" s="66"/>
      <c r="CB99" s="66"/>
      <c r="CC99" s="56">
        <f t="shared" si="61"/>
        <v>0</v>
      </c>
      <c r="CD99" s="55"/>
      <c r="CE99" s="65"/>
      <c r="CF99" s="55"/>
      <c r="CG99" s="55"/>
      <c r="CH99" s="67">
        <f t="shared" si="62"/>
        <v>0</v>
      </c>
      <c r="CI99" s="68">
        <f t="shared" si="78"/>
        <v>0</v>
      </c>
      <c r="CJ99" s="55"/>
      <c r="CK99" s="55"/>
      <c r="CL99" s="55"/>
      <c r="CM99" s="55"/>
      <c r="CN99" s="55"/>
      <c r="CO99" s="68">
        <f t="shared" si="63"/>
        <v>0</v>
      </c>
      <c r="CP99" s="75">
        <f>SUM(Tableau1[[#This Row],[Fourniture eau]:[Energie (non précisé)]])</f>
        <v>0</v>
      </c>
      <c r="CQ99" s="55"/>
      <c r="CR99" s="55"/>
      <c r="CS99" s="55"/>
      <c r="CT99" s="55"/>
      <c r="CU99" s="55"/>
      <c r="CV99" s="55">
        <v>0</v>
      </c>
      <c r="CW99" s="55"/>
      <c r="CX99" s="68">
        <f>SUM(Tableau1[[#This Row],[Sous-traitance]:[Autres ou non précisé 12]])</f>
        <v>0</v>
      </c>
      <c r="CY99" s="65"/>
      <c r="CZ99" s="65"/>
      <c r="DA99" s="65"/>
      <c r="DB99" s="65"/>
      <c r="DC99" s="55"/>
      <c r="DD99" s="68">
        <f t="shared" si="43"/>
        <v>0</v>
      </c>
      <c r="DE99" s="55"/>
      <c r="DF99" s="65"/>
      <c r="DG99" s="65"/>
      <c r="DH99" s="65"/>
      <c r="DI99" s="68">
        <f>SUM(Tableau1[[#This Row],[Entretien et réparation matériel de projection]:[Autres ou non précisé 14]])</f>
        <v>0</v>
      </c>
      <c r="DJ99" s="58"/>
      <c r="DK99" s="58"/>
      <c r="DL99" s="69"/>
      <c r="DM99" s="68">
        <f t="shared" si="64"/>
        <v>0</v>
      </c>
      <c r="DN99" s="58"/>
      <c r="DO99" s="58"/>
      <c r="DP99" s="68">
        <f t="shared" si="65"/>
        <v>0</v>
      </c>
      <c r="DQ99" s="65"/>
      <c r="DR99" s="65"/>
      <c r="DS99" s="68">
        <f t="shared" si="66"/>
        <v>0</v>
      </c>
      <c r="DT99" s="65"/>
      <c r="DU99" s="65"/>
      <c r="DV99" s="65"/>
      <c r="DW99" s="68">
        <f>SUM(Tableau1[[#This Row],[Comission et courtage sur achats]:[Autres ou honoraires
 non précisé ]])</f>
        <v>0</v>
      </c>
      <c r="DX99" s="57"/>
      <c r="DY99" s="57"/>
      <c r="DZ99" s="65"/>
      <c r="EA99" s="65"/>
      <c r="EB99" s="65"/>
      <c r="EC99" s="68">
        <f t="shared" si="67"/>
        <v>0</v>
      </c>
      <c r="ED99" s="69"/>
      <c r="EE99" s="69"/>
      <c r="EF99" s="69"/>
      <c r="EG99" s="69"/>
      <c r="EH99" s="69"/>
      <c r="EI99" s="84">
        <f>SUM(Tableau1[[#This Row],[Transports sur films]:[autres ]])</f>
        <v>0</v>
      </c>
      <c r="EJ99" s="132">
        <v>0</v>
      </c>
      <c r="EK99" s="132"/>
      <c r="EL99" s="68">
        <f t="shared" si="68"/>
        <v>0</v>
      </c>
      <c r="EM99" s="65"/>
      <c r="EN99" s="65">
        <v>0</v>
      </c>
      <c r="EO99" s="65"/>
      <c r="EP99" s="65"/>
      <c r="EQ99" s="65"/>
      <c r="ER99" s="65"/>
      <c r="ES99" s="65"/>
      <c r="ET99" s="68">
        <f t="shared" si="69"/>
        <v>0</v>
      </c>
      <c r="EU99" s="65"/>
      <c r="EV99" s="65"/>
      <c r="EW99" s="65"/>
      <c r="EX99" s="65"/>
      <c r="EY99" s="65"/>
      <c r="EZ99" s="68">
        <f t="shared" si="46"/>
        <v>0</v>
      </c>
      <c r="FA99" s="65"/>
      <c r="FB99" s="65"/>
      <c r="FC99" s="70">
        <f t="shared" si="44"/>
        <v>0</v>
      </c>
      <c r="FD99" s="65"/>
      <c r="FE99" s="71">
        <f t="shared" si="70"/>
        <v>0</v>
      </c>
      <c r="FF99" s="72">
        <f t="shared" si="71"/>
        <v>0</v>
      </c>
      <c r="FG99" s="65"/>
      <c r="FH99" s="65"/>
      <c r="FI99" s="65"/>
      <c r="FJ99" s="56">
        <f t="shared" si="72"/>
        <v>0</v>
      </c>
      <c r="FK99" s="65"/>
      <c r="FL99" s="65"/>
      <c r="FM99" s="65"/>
      <c r="FN99" s="65"/>
      <c r="FO99" s="67">
        <f t="shared" si="73"/>
        <v>0</v>
      </c>
      <c r="FP99" s="57"/>
      <c r="FQ99" s="73"/>
      <c r="FR99" s="73"/>
      <c r="FS99" s="71">
        <f t="shared" si="74"/>
        <v>0</v>
      </c>
      <c r="FT99" s="91"/>
      <c r="FU99" s="91"/>
      <c r="FV99" s="67">
        <f>SUM(Tableau1[[#This Row],[Droits d''auteurs SACEM + cotisations SACEM]:[Autres ou non préciés]])</f>
        <v>0</v>
      </c>
      <c r="FW99" s="75">
        <f t="shared" si="75"/>
        <v>0</v>
      </c>
      <c r="FX99" s="74">
        <v>0</v>
      </c>
      <c r="FY99" s="74"/>
      <c r="FZ99" s="74"/>
      <c r="GA99" s="74"/>
      <c r="GB99" s="71">
        <f t="shared" si="76"/>
        <v>0</v>
      </c>
      <c r="GC99" s="92"/>
      <c r="GD99" s="92"/>
      <c r="GE99" s="67">
        <f t="shared" si="77"/>
        <v>0</v>
      </c>
      <c r="GF99" s="66"/>
      <c r="GG99" s="66"/>
      <c r="GH99" s="66"/>
      <c r="GI99" s="66"/>
      <c r="GJ99" s="77"/>
    </row>
    <row r="100" spans="1:192" ht="18.600000000000001" customHeight="1" x14ac:dyDescent="0.25">
      <c r="A100" s="89"/>
      <c r="B100" s="17"/>
      <c r="C100" s="50"/>
      <c r="D100" s="140"/>
      <c r="E100" s="51"/>
      <c r="F100" s="139">
        <f t="shared" si="45"/>
        <v>1</v>
      </c>
      <c r="G100" s="49"/>
      <c r="H100" s="50"/>
      <c r="I100" s="122"/>
      <c r="J100" s="49"/>
      <c r="K100" s="50"/>
      <c r="L100" s="50"/>
      <c r="M100" s="90"/>
      <c r="N100" s="50"/>
      <c r="O100" s="50"/>
      <c r="P100" s="90"/>
      <c r="Q100" s="52">
        <f t="shared" si="47"/>
        <v>0</v>
      </c>
      <c r="R100" s="52">
        <f t="shared" si="48"/>
        <v>0</v>
      </c>
      <c r="S100" s="53">
        <f t="shared" si="49"/>
        <v>0</v>
      </c>
      <c r="T100" s="54">
        <f t="shared" si="50"/>
        <v>0</v>
      </c>
      <c r="U100" s="115">
        <f>SUM(Tableau1[[#This Row],[Vente confiserie]:[Vente boisson]])</f>
        <v>0</v>
      </c>
      <c r="V100" s="55"/>
      <c r="W100" s="55"/>
      <c r="X100" s="135">
        <f>SUM(Tableau1[[#This Row],[Vente lunette]:[Location lunette]])</f>
        <v>0</v>
      </c>
      <c r="Y100" s="55"/>
      <c r="Z100" s="55"/>
      <c r="AA100" s="55"/>
      <c r="AB100" s="55"/>
      <c r="AC100" s="56">
        <f t="shared" si="79"/>
        <v>0</v>
      </c>
      <c r="AD100" s="57"/>
      <c r="AE100" s="57"/>
      <c r="AF100" s="57"/>
      <c r="AG100" s="57"/>
      <c r="AH100" s="57"/>
      <c r="AI100" s="57"/>
      <c r="AJ100" s="118">
        <f>(Tableau1[[#This Row],[Recette guichet ]]*1.1275177)-Tableau1[[#This Row],[Recette guichet ]]</f>
        <v>0</v>
      </c>
      <c r="AK100" s="57"/>
      <c r="AL100" s="56">
        <f t="shared" si="80"/>
        <v>0</v>
      </c>
      <c r="AM100" s="58"/>
      <c r="AN100" s="58"/>
      <c r="AO100" s="58"/>
      <c r="AP100" s="115">
        <f t="shared" si="51"/>
        <v>0</v>
      </c>
      <c r="AQ100" s="69"/>
      <c r="AR100" s="69"/>
      <c r="AS100" s="69"/>
      <c r="AT100" s="69"/>
      <c r="AU100" s="59">
        <f t="shared" si="52"/>
        <v>0</v>
      </c>
      <c r="AV100" s="60">
        <f t="shared" si="53"/>
        <v>0</v>
      </c>
      <c r="AW100" s="58"/>
      <c r="AX100" s="58"/>
      <c r="AY100" s="58"/>
      <c r="AZ100" s="60">
        <f t="shared" si="42"/>
        <v>0</v>
      </c>
      <c r="BA100" s="58"/>
      <c r="BB100" s="58"/>
      <c r="BC100" s="58"/>
      <c r="BD100" s="60">
        <f>SUM(Tableau1[[#This Row],[ticket/carte/abonnement périmé]:[Autres ou non précisé 5]])</f>
        <v>0</v>
      </c>
      <c r="BE100" s="58"/>
      <c r="BF100" s="58"/>
      <c r="BG100" s="58"/>
      <c r="BH100" s="61">
        <f t="shared" si="54"/>
        <v>0</v>
      </c>
      <c r="BI100" s="120"/>
      <c r="BJ100" s="120"/>
      <c r="BK100" s="62">
        <f t="shared" si="55"/>
        <v>0</v>
      </c>
      <c r="BL100" s="120"/>
      <c r="BM100" s="120"/>
      <c r="BN100" s="120"/>
      <c r="BO100" s="120"/>
      <c r="BP100" s="120"/>
      <c r="BQ100" s="63"/>
      <c r="BR100" s="52">
        <f t="shared" si="56"/>
        <v>0</v>
      </c>
      <c r="BS100" s="52">
        <f t="shared" si="57"/>
        <v>0</v>
      </c>
      <c r="BT100" s="61">
        <f t="shared" si="58"/>
        <v>0</v>
      </c>
      <c r="BU100" s="64">
        <f t="shared" si="59"/>
        <v>0</v>
      </c>
      <c r="BV100" s="119">
        <f>SUM(Tableau1[[#This Row],[Achats confiserie]:[Achats boisson]])</f>
        <v>0</v>
      </c>
      <c r="BW100" s="58"/>
      <c r="BX100" s="69"/>
      <c r="BY100" s="58"/>
      <c r="BZ100" s="56">
        <f t="shared" si="60"/>
        <v>0</v>
      </c>
      <c r="CA100" s="66"/>
      <c r="CB100" s="66"/>
      <c r="CC100" s="56">
        <f t="shared" si="61"/>
        <v>0</v>
      </c>
      <c r="CD100" s="55"/>
      <c r="CE100" s="65"/>
      <c r="CF100" s="55"/>
      <c r="CG100" s="55"/>
      <c r="CH100" s="67">
        <f t="shared" si="62"/>
        <v>0</v>
      </c>
      <c r="CI100" s="68">
        <f t="shared" si="78"/>
        <v>0</v>
      </c>
      <c r="CJ100" s="55"/>
      <c r="CK100" s="55"/>
      <c r="CL100" s="55"/>
      <c r="CM100" s="55"/>
      <c r="CN100" s="55"/>
      <c r="CO100" s="68">
        <f t="shared" si="63"/>
        <v>0</v>
      </c>
      <c r="CP100" s="75">
        <f>SUM(Tableau1[[#This Row],[Fourniture eau]:[Energie (non précisé)]])</f>
        <v>0</v>
      </c>
      <c r="CQ100" s="55"/>
      <c r="CR100" s="55"/>
      <c r="CS100" s="55"/>
      <c r="CT100" s="55"/>
      <c r="CU100" s="55"/>
      <c r="CV100" s="55">
        <v>0</v>
      </c>
      <c r="CW100" s="55"/>
      <c r="CX100" s="68">
        <f>SUM(Tableau1[[#This Row],[Sous-traitance]:[Autres ou non précisé 12]])</f>
        <v>0</v>
      </c>
      <c r="CY100" s="65"/>
      <c r="CZ100" s="65"/>
      <c r="DA100" s="65"/>
      <c r="DB100" s="65"/>
      <c r="DC100" s="55"/>
      <c r="DD100" s="68">
        <f t="shared" si="43"/>
        <v>0</v>
      </c>
      <c r="DE100" s="55"/>
      <c r="DF100" s="65"/>
      <c r="DG100" s="65"/>
      <c r="DH100" s="65"/>
      <c r="DI100" s="68">
        <f>SUM(Tableau1[[#This Row],[Entretien et réparation matériel de projection]:[Autres ou non précisé 14]])</f>
        <v>0</v>
      </c>
      <c r="DJ100" s="58"/>
      <c r="DK100" s="58"/>
      <c r="DL100" s="69"/>
      <c r="DM100" s="68">
        <f t="shared" si="64"/>
        <v>0</v>
      </c>
      <c r="DN100" s="58"/>
      <c r="DO100" s="58"/>
      <c r="DP100" s="68">
        <f t="shared" si="65"/>
        <v>0</v>
      </c>
      <c r="DQ100" s="65"/>
      <c r="DR100" s="65"/>
      <c r="DS100" s="68">
        <f t="shared" si="66"/>
        <v>0</v>
      </c>
      <c r="DT100" s="65"/>
      <c r="DU100" s="65"/>
      <c r="DV100" s="65"/>
      <c r="DW100" s="68">
        <f>SUM(Tableau1[[#This Row],[Comission et courtage sur achats]:[Autres ou honoraires
 non précisé ]])</f>
        <v>0</v>
      </c>
      <c r="DX100" s="57"/>
      <c r="DY100" s="57"/>
      <c r="DZ100" s="65"/>
      <c r="EA100" s="65"/>
      <c r="EB100" s="65"/>
      <c r="EC100" s="68">
        <f t="shared" si="67"/>
        <v>0</v>
      </c>
      <c r="ED100" s="69"/>
      <c r="EE100" s="69"/>
      <c r="EF100" s="69"/>
      <c r="EG100" s="69"/>
      <c r="EH100" s="69"/>
      <c r="EI100" s="84">
        <f>SUM(Tableau1[[#This Row],[Transports sur films]:[autres ]])</f>
        <v>0</v>
      </c>
      <c r="EJ100" s="132">
        <v>0</v>
      </c>
      <c r="EK100" s="132"/>
      <c r="EL100" s="68">
        <f t="shared" si="68"/>
        <v>0</v>
      </c>
      <c r="EM100" s="65"/>
      <c r="EN100" s="65">
        <v>0</v>
      </c>
      <c r="EO100" s="65"/>
      <c r="EP100" s="65"/>
      <c r="EQ100" s="65"/>
      <c r="ER100" s="65"/>
      <c r="ES100" s="65"/>
      <c r="ET100" s="68">
        <f t="shared" si="69"/>
        <v>0</v>
      </c>
      <c r="EU100" s="65"/>
      <c r="EV100" s="65"/>
      <c r="EW100" s="65"/>
      <c r="EX100" s="65"/>
      <c r="EY100" s="65"/>
      <c r="EZ100" s="68">
        <f t="shared" si="46"/>
        <v>0</v>
      </c>
      <c r="FA100" s="65"/>
      <c r="FB100" s="65"/>
      <c r="FC100" s="70">
        <f t="shared" si="44"/>
        <v>0</v>
      </c>
      <c r="FD100" s="65"/>
      <c r="FE100" s="71">
        <f t="shared" si="70"/>
        <v>0</v>
      </c>
      <c r="FF100" s="72">
        <f t="shared" si="71"/>
        <v>0</v>
      </c>
      <c r="FG100" s="65"/>
      <c r="FH100" s="65"/>
      <c r="FI100" s="65"/>
      <c r="FJ100" s="56">
        <f t="shared" si="72"/>
        <v>0</v>
      </c>
      <c r="FK100" s="65"/>
      <c r="FL100" s="65"/>
      <c r="FM100" s="65"/>
      <c r="FN100" s="65"/>
      <c r="FO100" s="67">
        <f t="shared" si="73"/>
        <v>0</v>
      </c>
      <c r="FP100" s="57"/>
      <c r="FQ100" s="73"/>
      <c r="FR100" s="73"/>
      <c r="FS100" s="71">
        <f t="shared" si="74"/>
        <v>0</v>
      </c>
      <c r="FT100" s="91"/>
      <c r="FU100" s="91"/>
      <c r="FV100" s="67">
        <f>SUM(Tableau1[[#This Row],[Droits d''auteurs SACEM + cotisations SACEM]:[Autres ou non préciés]])</f>
        <v>0</v>
      </c>
      <c r="FW100" s="75">
        <f t="shared" si="75"/>
        <v>0</v>
      </c>
      <c r="FX100" s="74">
        <v>0</v>
      </c>
      <c r="FY100" s="74"/>
      <c r="FZ100" s="74"/>
      <c r="GA100" s="74"/>
      <c r="GB100" s="71">
        <f t="shared" si="76"/>
        <v>0</v>
      </c>
      <c r="GC100" s="92"/>
      <c r="GD100" s="92"/>
      <c r="GE100" s="67">
        <f t="shared" si="77"/>
        <v>0</v>
      </c>
      <c r="GF100" s="66"/>
      <c r="GG100" s="66"/>
      <c r="GH100" s="66"/>
      <c r="GI100" s="66"/>
      <c r="GJ100" s="77"/>
    </row>
    <row r="101" spans="1:192" ht="18.600000000000001" customHeight="1" x14ac:dyDescent="0.25">
      <c r="A101" s="89"/>
      <c r="B101" s="17"/>
      <c r="C101" s="50"/>
      <c r="D101" s="140"/>
      <c r="E101" s="51"/>
      <c r="F101" s="139">
        <f t="shared" si="45"/>
        <v>1</v>
      </c>
      <c r="G101" s="49"/>
      <c r="H101" s="50"/>
      <c r="I101" s="122"/>
      <c r="J101" s="49"/>
      <c r="K101" s="50"/>
      <c r="L101" s="50"/>
      <c r="M101" s="90"/>
      <c r="N101" s="50"/>
      <c r="O101" s="50"/>
      <c r="P101" s="90"/>
      <c r="Q101" s="52">
        <f t="shared" si="47"/>
        <v>0</v>
      </c>
      <c r="R101" s="52">
        <f t="shared" si="48"/>
        <v>0</v>
      </c>
      <c r="S101" s="53">
        <f t="shared" si="49"/>
        <v>0</v>
      </c>
      <c r="T101" s="54">
        <f t="shared" si="50"/>
        <v>0</v>
      </c>
      <c r="U101" s="115">
        <f>SUM(Tableau1[[#This Row],[Vente confiserie]:[Vente boisson]])</f>
        <v>0</v>
      </c>
      <c r="V101" s="55"/>
      <c r="W101" s="55"/>
      <c r="X101" s="135">
        <f>SUM(Tableau1[[#This Row],[Vente lunette]:[Location lunette]])</f>
        <v>0</v>
      </c>
      <c r="Y101" s="55"/>
      <c r="Z101" s="55"/>
      <c r="AA101" s="55"/>
      <c r="AB101" s="55"/>
      <c r="AC101" s="56">
        <f t="shared" si="79"/>
        <v>0</v>
      </c>
      <c r="AD101" s="57"/>
      <c r="AE101" s="57"/>
      <c r="AF101" s="57"/>
      <c r="AG101" s="57"/>
      <c r="AH101" s="57"/>
      <c r="AI101" s="57"/>
      <c r="AJ101" s="118">
        <f>(Tableau1[[#This Row],[Recette guichet ]]*1.1275177)-Tableau1[[#This Row],[Recette guichet ]]</f>
        <v>0</v>
      </c>
      <c r="AK101" s="57"/>
      <c r="AL101" s="56">
        <f t="shared" si="80"/>
        <v>0</v>
      </c>
      <c r="AM101" s="58"/>
      <c r="AN101" s="58"/>
      <c r="AO101" s="58"/>
      <c r="AP101" s="115">
        <f t="shared" si="51"/>
        <v>0</v>
      </c>
      <c r="AQ101" s="69"/>
      <c r="AR101" s="69"/>
      <c r="AS101" s="69"/>
      <c r="AT101" s="69"/>
      <c r="AU101" s="59">
        <f t="shared" si="52"/>
        <v>0</v>
      </c>
      <c r="AV101" s="60">
        <f t="shared" si="53"/>
        <v>0</v>
      </c>
      <c r="AW101" s="58"/>
      <c r="AX101" s="58"/>
      <c r="AY101" s="58"/>
      <c r="AZ101" s="60">
        <f t="shared" si="42"/>
        <v>0</v>
      </c>
      <c r="BA101" s="58"/>
      <c r="BB101" s="58"/>
      <c r="BC101" s="58"/>
      <c r="BD101" s="60">
        <f>SUM(Tableau1[[#This Row],[ticket/carte/abonnement périmé]:[Autres ou non précisé 5]])</f>
        <v>0</v>
      </c>
      <c r="BE101" s="58"/>
      <c r="BF101" s="58"/>
      <c r="BG101" s="58"/>
      <c r="BH101" s="61">
        <f t="shared" si="54"/>
        <v>0</v>
      </c>
      <c r="BI101" s="120"/>
      <c r="BJ101" s="120"/>
      <c r="BK101" s="62">
        <f t="shared" si="55"/>
        <v>0</v>
      </c>
      <c r="BL101" s="120"/>
      <c r="BM101" s="120"/>
      <c r="BN101" s="120"/>
      <c r="BO101" s="120"/>
      <c r="BP101" s="120"/>
      <c r="BQ101" s="63"/>
      <c r="BR101" s="52">
        <f t="shared" si="56"/>
        <v>0</v>
      </c>
      <c r="BS101" s="52">
        <f t="shared" si="57"/>
        <v>0</v>
      </c>
      <c r="BT101" s="61">
        <f t="shared" si="58"/>
        <v>0</v>
      </c>
      <c r="BU101" s="64">
        <f t="shared" si="59"/>
        <v>0</v>
      </c>
      <c r="BV101" s="119">
        <f>SUM(Tableau1[[#This Row],[Achats confiserie]:[Achats boisson]])</f>
        <v>0</v>
      </c>
      <c r="BW101" s="58"/>
      <c r="BX101" s="69"/>
      <c r="BY101" s="58"/>
      <c r="BZ101" s="56">
        <f t="shared" si="60"/>
        <v>0</v>
      </c>
      <c r="CA101" s="66"/>
      <c r="CB101" s="66"/>
      <c r="CC101" s="56">
        <f t="shared" si="61"/>
        <v>0</v>
      </c>
      <c r="CD101" s="55"/>
      <c r="CE101" s="65"/>
      <c r="CF101" s="55"/>
      <c r="CG101" s="55"/>
      <c r="CH101" s="67">
        <f t="shared" si="62"/>
        <v>0</v>
      </c>
      <c r="CI101" s="68">
        <f t="shared" si="78"/>
        <v>0</v>
      </c>
      <c r="CJ101" s="55"/>
      <c r="CK101" s="55"/>
      <c r="CL101" s="55"/>
      <c r="CM101" s="55"/>
      <c r="CN101" s="55"/>
      <c r="CO101" s="68">
        <f t="shared" si="63"/>
        <v>0</v>
      </c>
      <c r="CP101" s="75">
        <f>SUM(Tableau1[[#This Row],[Fourniture eau]:[Energie (non précisé)]])</f>
        <v>0</v>
      </c>
      <c r="CQ101" s="55"/>
      <c r="CR101" s="55"/>
      <c r="CS101" s="55"/>
      <c r="CT101" s="55"/>
      <c r="CU101" s="55"/>
      <c r="CV101" s="55">
        <v>0</v>
      </c>
      <c r="CW101" s="55"/>
      <c r="CX101" s="68">
        <f>SUM(Tableau1[[#This Row],[Sous-traitance]:[Autres ou non précisé 12]])</f>
        <v>0</v>
      </c>
      <c r="CY101" s="65"/>
      <c r="CZ101" s="65"/>
      <c r="DA101" s="65"/>
      <c r="DB101" s="65"/>
      <c r="DC101" s="55"/>
      <c r="DD101" s="68">
        <f t="shared" si="43"/>
        <v>0</v>
      </c>
      <c r="DE101" s="55"/>
      <c r="DF101" s="65"/>
      <c r="DG101" s="65"/>
      <c r="DH101" s="65"/>
      <c r="DI101" s="68">
        <f>SUM(Tableau1[[#This Row],[Entretien et réparation matériel de projection]:[Autres ou non précisé 14]])</f>
        <v>0</v>
      </c>
      <c r="DJ101" s="58"/>
      <c r="DK101" s="58"/>
      <c r="DL101" s="69"/>
      <c r="DM101" s="68">
        <f t="shared" si="64"/>
        <v>0</v>
      </c>
      <c r="DN101" s="58"/>
      <c r="DO101" s="58"/>
      <c r="DP101" s="68">
        <f t="shared" si="65"/>
        <v>0</v>
      </c>
      <c r="DQ101" s="65"/>
      <c r="DR101" s="65"/>
      <c r="DS101" s="68">
        <f t="shared" si="66"/>
        <v>0</v>
      </c>
      <c r="DT101" s="65"/>
      <c r="DU101" s="65"/>
      <c r="DV101" s="65"/>
      <c r="DW101" s="68">
        <f>SUM(Tableau1[[#This Row],[Comission et courtage sur achats]:[Autres ou honoraires
 non précisé ]])</f>
        <v>0</v>
      </c>
      <c r="DX101" s="57"/>
      <c r="DY101" s="57"/>
      <c r="DZ101" s="65"/>
      <c r="EA101" s="65"/>
      <c r="EB101" s="65"/>
      <c r="EC101" s="68">
        <f t="shared" si="67"/>
        <v>0</v>
      </c>
      <c r="ED101" s="69"/>
      <c r="EE101" s="69"/>
      <c r="EF101" s="69"/>
      <c r="EG101" s="69"/>
      <c r="EH101" s="69"/>
      <c r="EI101" s="84">
        <f>SUM(Tableau1[[#This Row],[Transports sur films]:[autres ]])</f>
        <v>0</v>
      </c>
      <c r="EJ101" s="132">
        <v>0</v>
      </c>
      <c r="EK101" s="132"/>
      <c r="EL101" s="68">
        <f t="shared" si="68"/>
        <v>0</v>
      </c>
      <c r="EM101" s="65"/>
      <c r="EN101" s="65">
        <v>0</v>
      </c>
      <c r="EO101" s="65"/>
      <c r="EP101" s="65"/>
      <c r="EQ101" s="65"/>
      <c r="ER101" s="65"/>
      <c r="ES101" s="65"/>
      <c r="ET101" s="68">
        <f t="shared" si="69"/>
        <v>0</v>
      </c>
      <c r="EU101" s="65"/>
      <c r="EV101" s="65"/>
      <c r="EW101" s="65"/>
      <c r="EX101" s="65"/>
      <c r="EY101" s="65"/>
      <c r="EZ101" s="68">
        <f t="shared" si="46"/>
        <v>0</v>
      </c>
      <c r="FA101" s="65"/>
      <c r="FB101" s="65"/>
      <c r="FC101" s="70">
        <f t="shared" si="44"/>
        <v>0</v>
      </c>
      <c r="FD101" s="65"/>
      <c r="FE101" s="71">
        <f t="shared" si="70"/>
        <v>0</v>
      </c>
      <c r="FF101" s="72">
        <f t="shared" si="71"/>
        <v>0</v>
      </c>
      <c r="FG101" s="65"/>
      <c r="FH101" s="65"/>
      <c r="FI101" s="65"/>
      <c r="FJ101" s="56">
        <f t="shared" si="72"/>
        <v>0</v>
      </c>
      <c r="FK101" s="65"/>
      <c r="FL101" s="65"/>
      <c r="FM101" s="65"/>
      <c r="FN101" s="65"/>
      <c r="FO101" s="67">
        <f t="shared" si="73"/>
        <v>0</v>
      </c>
      <c r="FP101" s="57"/>
      <c r="FQ101" s="73"/>
      <c r="FR101" s="73"/>
      <c r="FS101" s="71">
        <f t="shared" si="74"/>
        <v>0</v>
      </c>
      <c r="FT101" s="91"/>
      <c r="FU101" s="91"/>
      <c r="FV101" s="67">
        <f>SUM(Tableau1[[#This Row],[Droits d''auteurs SACEM + cotisations SACEM]:[Autres ou non préciés]])</f>
        <v>0</v>
      </c>
      <c r="FW101" s="75">
        <f t="shared" si="75"/>
        <v>0</v>
      </c>
      <c r="FX101" s="74">
        <v>0</v>
      </c>
      <c r="FY101" s="74"/>
      <c r="FZ101" s="74"/>
      <c r="GA101" s="74"/>
      <c r="GB101" s="71">
        <f t="shared" si="76"/>
        <v>0</v>
      </c>
      <c r="GC101" s="92"/>
      <c r="GD101" s="92"/>
      <c r="GE101" s="67">
        <f t="shared" si="77"/>
        <v>0</v>
      </c>
      <c r="GF101" s="66"/>
      <c r="GG101" s="66"/>
      <c r="GH101" s="66"/>
      <c r="GI101" s="66"/>
      <c r="GJ101" s="77"/>
    </row>
    <row r="102" spans="1:192" ht="18.600000000000001" customHeight="1" x14ac:dyDescent="0.25">
      <c r="A102" s="89"/>
      <c r="B102" s="17"/>
      <c r="C102" s="50"/>
      <c r="D102" s="140"/>
      <c r="E102" s="51"/>
      <c r="F102" s="139">
        <f t="shared" si="45"/>
        <v>1</v>
      </c>
      <c r="G102" s="49"/>
      <c r="H102" s="50"/>
      <c r="I102" s="122"/>
      <c r="J102" s="49"/>
      <c r="K102" s="50"/>
      <c r="L102" s="50"/>
      <c r="M102" s="90"/>
      <c r="N102" s="50"/>
      <c r="O102" s="50"/>
      <c r="P102" s="90"/>
      <c r="Q102" s="52">
        <f t="shared" si="47"/>
        <v>0</v>
      </c>
      <c r="R102" s="52">
        <f t="shared" si="48"/>
        <v>0</v>
      </c>
      <c r="S102" s="53">
        <f t="shared" si="49"/>
        <v>0</v>
      </c>
      <c r="T102" s="54">
        <f t="shared" si="50"/>
        <v>0</v>
      </c>
      <c r="U102" s="115">
        <f>SUM(Tableau1[[#This Row],[Vente confiserie]:[Vente boisson]])</f>
        <v>0</v>
      </c>
      <c r="V102" s="55"/>
      <c r="W102" s="55"/>
      <c r="X102" s="135">
        <f>SUM(Tableau1[[#This Row],[Vente lunette]:[Location lunette]])</f>
        <v>0</v>
      </c>
      <c r="Y102" s="55"/>
      <c r="Z102" s="55"/>
      <c r="AA102" s="55"/>
      <c r="AB102" s="55"/>
      <c r="AC102" s="56">
        <f t="shared" si="79"/>
        <v>0</v>
      </c>
      <c r="AD102" s="57"/>
      <c r="AE102" s="57"/>
      <c r="AF102" s="57"/>
      <c r="AG102" s="57"/>
      <c r="AH102" s="57"/>
      <c r="AI102" s="57"/>
      <c r="AJ102" s="118">
        <f>(Tableau1[[#This Row],[Recette guichet ]]*1.1275177)-Tableau1[[#This Row],[Recette guichet ]]</f>
        <v>0</v>
      </c>
      <c r="AK102" s="57"/>
      <c r="AL102" s="56">
        <f t="shared" si="80"/>
        <v>0</v>
      </c>
      <c r="AM102" s="58"/>
      <c r="AN102" s="58"/>
      <c r="AO102" s="58"/>
      <c r="AP102" s="115">
        <f t="shared" si="51"/>
        <v>0</v>
      </c>
      <c r="AQ102" s="69"/>
      <c r="AR102" s="69"/>
      <c r="AS102" s="69"/>
      <c r="AT102" s="69"/>
      <c r="AU102" s="59">
        <f t="shared" si="52"/>
        <v>0</v>
      </c>
      <c r="AV102" s="60">
        <f t="shared" si="53"/>
        <v>0</v>
      </c>
      <c r="AW102" s="58"/>
      <c r="AX102" s="58"/>
      <c r="AY102" s="58"/>
      <c r="AZ102" s="60">
        <f t="shared" si="42"/>
        <v>0</v>
      </c>
      <c r="BA102" s="58"/>
      <c r="BB102" s="58"/>
      <c r="BC102" s="58"/>
      <c r="BD102" s="60">
        <f>SUM(Tableau1[[#This Row],[ticket/carte/abonnement périmé]:[Autres ou non précisé 5]])</f>
        <v>0</v>
      </c>
      <c r="BE102" s="58"/>
      <c r="BF102" s="58"/>
      <c r="BG102" s="58"/>
      <c r="BH102" s="61">
        <f t="shared" si="54"/>
        <v>0</v>
      </c>
      <c r="BI102" s="120"/>
      <c r="BJ102" s="120"/>
      <c r="BK102" s="62">
        <f t="shared" si="55"/>
        <v>0</v>
      </c>
      <c r="BL102" s="120"/>
      <c r="BM102" s="120"/>
      <c r="BN102" s="120"/>
      <c r="BO102" s="120"/>
      <c r="BP102" s="120"/>
      <c r="BQ102" s="63"/>
      <c r="BR102" s="52">
        <f t="shared" si="56"/>
        <v>0</v>
      </c>
      <c r="BS102" s="52">
        <f t="shared" si="57"/>
        <v>0</v>
      </c>
      <c r="BT102" s="61">
        <f t="shared" si="58"/>
        <v>0</v>
      </c>
      <c r="BU102" s="64">
        <f t="shared" si="59"/>
        <v>0</v>
      </c>
      <c r="BV102" s="119">
        <f>SUM(Tableau1[[#This Row],[Achats confiserie]:[Achats boisson]])</f>
        <v>0</v>
      </c>
      <c r="BW102" s="58"/>
      <c r="BX102" s="69"/>
      <c r="BY102" s="58"/>
      <c r="BZ102" s="56">
        <f t="shared" si="60"/>
        <v>0</v>
      </c>
      <c r="CA102" s="66"/>
      <c r="CB102" s="66"/>
      <c r="CC102" s="56">
        <f t="shared" si="61"/>
        <v>0</v>
      </c>
      <c r="CD102" s="55"/>
      <c r="CE102" s="65"/>
      <c r="CF102" s="55"/>
      <c r="CG102" s="55"/>
      <c r="CH102" s="67">
        <f t="shared" si="62"/>
        <v>0</v>
      </c>
      <c r="CI102" s="68">
        <f t="shared" si="78"/>
        <v>0</v>
      </c>
      <c r="CJ102" s="55"/>
      <c r="CK102" s="55"/>
      <c r="CL102" s="55"/>
      <c r="CM102" s="55"/>
      <c r="CN102" s="55"/>
      <c r="CO102" s="68">
        <f t="shared" si="63"/>
        <v>0</v>
      </c>
      <c r="CP102" s="75">
        <f>SUM(Tableau1[[#This Row],[Fourniture eau]:[Energie (non précisé)]])</f>
        <v>0</v>
      </c>
      <c r="CQ102" s="55"/>
      <c r="CR102" s="55"/>
      <c r="CS102" s="55"/>
      <c r="CT102" s="55"/>
      <c r="CU102" s="55"/>
      <c r="CV102" s="55">
        <v>0</v>
      </c>
      <c r="CW102" s="55"/>
      <c r="CX102" s="68">
        <f>SUM(Tableau1[[#This Row],[Sous-traitance]:[Autres ou non précisé 12]])</f>
        <v>0</v>
      </c>
      <c r="CY102" s="65"/>
      <c r="CZ102" s="65"/>
      <c r="DA102" s="65"/>
      <c r="DB102" s="65"/>
      <c r="DC102" s="55"/>
      <c r="DD102" s="68">
        <f t="shared" si="43"/>
        <v>0</v>
      </c>
      <c r="DE102" s="55"/>
      <c r="DF102" s="65"/>
      <c r="DG102" s="65"/>
      <c r="DH102" s="65"/>
      <c r="DI102" s="68">
        <f>SUM(Tableau1[[#This Row],[Entretien et réparation matériel de projection]:[Autres ou non précisé 14]])</f>
        <v>0</v>
      </c>
      <c r="DJ102" s="58"/>
      <c r="DK102" s="58"/>
      <c r="DL102" s="69"/>
      <c r="DM102" s="68">
        <f t="shared" si="64"/>
        <v>0</v>
      </c>
      <c r="DN102" s="58"/>
      <c r="DO102" s="58"/>
      <c r="DP102" s="68">
        <f t="shared" si="65"/>
        <v>0</v>
      </c>
      <c r="DQ102" s="65"/>
      <c r="DR102" s="65"/>
      <c r="DS102" s="68">
        <f t="shared" si="66"/>
        <v>0</v>
      </c>
      <c r="DT102" s="65"/>
      <c r="DU102" s="65"/>
      <c r="DV102" s="65"/>
      <c r="DW102" s="68">
        <f>SUM(Tableau1[[#This Row],[Comission et courtage sur achats]:[Autres ou honoraires
 non précisé ]])</f>
        <v>0</v>
      </c>
      <c r="DX102" s="57"/>
      <c r="DY102" s="57"/>
      <c r="DZ102" s="65"/>
      <c r="EA102" s="65"/>
      <c r="EB102" s="65"/>
      <c r="EC102" s="68">
        <f t="shared" si="67"/>
        <v>0</v>
      </c>
      <c r="ED102" s="69"/>
      <c r="EE102" s="69"/>
      <c r="EF102" s="69"/>
      <c r="EG102" s="69"/>
      <c r="EH102" s="69"/>
      <c r="EI102" s="84">
        <f>SUM(Tableau1[[#This Row],[Transports sur films]:[autres ]])</f>
        <v>0</v>
      </c>
      <c r="EJ102" s="132">
        <v>0</v>
      </c>
      <c r="EK102" s="132"/>
      <c r="EL102" s="68">
        <f t="shared" si="68"/>
        <v>0</v>
      </c>
      <c r="EM102" s="65"/>
      <c r="EN102" s="65">
        <v>0</v>
      </c>
      <c r="EO102" s="65"/>
      <c r="EP102" s="65"/>
      <c r="EQ102" s="65"/>
      <c r="ER102" s="65"/>
      <c r="ES102" s="65"/>
      <c r="ET102" s="68">
        <f t="shared" si="69"/>
        <v>0</v>
      </c>
      <c r="EU102" s="65"/>
      <c r="EV102" s="65"/>
      <c r="EW102" s="65"/>
      <c r="EX102" s="65"/>
      <c r="EY102" s="65"/>
      <c r="EZ102" s="68">
        <f t="shared" si="46"/>
        <v>0</v>
      </c>
      <c r="FA102" s="65"/>
      <c r="FB102" s="65"/>
      <c r="FC102" s="70">
        <f t="shared" si="44"/>
        <v>0</v>
      </c>
      <c r="FD102" s="65"/>
      <c r="FE102" s="71">
        <f t="shared" si="70"/>
        <v>0</v>
      </c>
      <c r="FF102" s="72">
        <f t="shared" si="71"/>
        <v>0</v>
      </c>
      <c r="FG102" s="65"/>
      <c r="FH102" s="65"/>
      <c r="FI102" s="65"/>
      <c r="FJ102" s="56">
        <f t="shared" si="72"/>
        <v>0</v>
      </c>
      <c r="FK102" s="65"/>
      <c r="FL102" s="65"/>
      <c r="FM102" s="65"/>
      <c r="FN102" s="65"/>
      <c r="FO102" s="67">
        <f t="shared" si="73"/>
        <v>0</v>
      </c>
      <c r="FP102" s="57"/>
      <c r="FQ102" s="73"/>
      <c r="FR102" s="73"/>
      <c r="FS102" s="71">
        <f t="shared" si="74"/>
        <v>0</v>
      </c>
      <c r="FT102" s="91"/>
      <c r="FU102" s="91"/>
      <c r="FV102" s="67">
        <f>SUM(Tableau1[[#This Row],[Droits d''auteurs SACEM + cotisations SACEM]:[Autres ou non préciés]])</f>
        <v>0</v>
      </c>
      <c r="FW102" s="75">
        <f t="shared" si="75"/>
        <v>0</v>
      </c>
      <c r="FX102" s="74">
        <v>0</v>
      </c>
      <c r="FY102" s="74"/>
      <c r="FZ102" s="74"/>
      <c r="GA102" s="74"/>
      <c r="GB102" s="71">
        <f t="shared" si="76"/>
        <v>0</v>
      </c>
      <c r="GC102" s="92"/>
      <c r="GD102" s="92"/>
      <c r="GE102" s="67">
        <f t="shared" si="77"/>
        <v>0</v>
      </c>
      <c r="GF102" s="66"/>
      <c r="GG102" s="66"/>
      <c r="GH102" s="66"/>
      <c r="GI102" s="66"/>
      <c r="GJ102" s="77"/>
    </row>
    <row r="103" spans="1:192" ht="18.600000000000001" customHeight="1" x14ac:dyDescent="0.25">
      <c r="A103" s="89"/>
      <c r="B103" s="17"/>
      <c r="C103" s="50"/>
      <c r="D103" s="140"/>
      <c r="E103" s="51"/>
      <c r="F103" s="139">
        <f t="shared" si="45"/>
        <v>1</v>
      </c>
      <c r="G103" s="49"/>
      <c r="H103" s="50"/>
      <c r="I103" s="122"/>
      <c r="J103" s="49"/>
      <c r="K103" s="50"/>
      <c r="L103" s="50"/>
      <c r="M103" s="90"/>
      <c r="N103" s="50"/>
      <c r="O103" s="50"/>
      <c r="P103" s="90"/>
      <c r="Q103" s="52">
        <f t="shared" si="47"/>
        <v>0</v>
      </c>
      <c r="R103" s="52">
        <f t="shared" si="48"/>
        <v>0</v>
      </c>
      <c r="S103" s="53">
        <f t="shared" si="49"/>
        <v>0</v>
      </c>
      <c r="T103" s="54">
        <f t="shared" si="50"/>
        <v>0</v>
      </c>
      <c r="U103" s="115">
        <f>SUM(Tableau1[[#This Row],[Vente confiserie]:[Vente boisson]])</f>
        <v>0</v>
      </c>
      <c r="V103" s="55"/>
      <c r="W103" s="55"/>
      <c r="X103" s="135">
        <f>SUM(Tableau1[[#This Row],[Vente lunette]:[Location lunette]])</f>
        <v>0</v>
      </c>
      <c r="Y103" s="55"/>
      <c r="Z103" s="55"/>
      <c r="AA103" s="55"/>
      <c r="AB103" s="55"/>
      <c r="AC103" s="56">
        <f t="shared" si="79"/>
        <v>0</v>
      </c>
      <c r="AD103" s="57"/>
      <c r="AE103" s="57"/>
      <c r="AF103" s="57"/>
      <c r="AG103" s="57"/>
      <c r="AH103" s="57"/>
      <c r="AI103" s="57"/>
      <c r="AJ103" s="118">
        <f>(Tableau1[[#This Row],[Recette guichet ]]*1.1275177)-Tableau1[[#This Row],[Recette guichet ]]</f>
        <v>0</v>
      </c>
      <c r="AK103" s="57"/>
      <c r="AL103" s="56">
        <f t="shared" si="80"/>
        <v>0</v>
      </c>
      <c r="AM103" s="58"/>
      <c r="AN103" s="58"/>
      <c r="AO103" s="58"/>
      <c r="AP103" s="115">
        <f t="shared" si="51"/>
        <v>0</v>
      </c>
      <c r="AQ103" s="69"/>
      <c r="AR103" s="69"/>
      <c r="AS103" s="69"/>
      <c r="AT103" s="69"/>
      <c r="AU103" s="59">
        <f t="shared" si="52"/>
        <v>0</v>
      </c>
      <c r="AV103" s="60">
        <f t="shared" si="53"/>
        <v>0</v>
      </c>
      <c r="AW103" s="58"/>
      <c r="AX103" s="58"/>
      <c r="AY103" s="58"/>
      <c r="AZ103" s="60">
        <f t="shared" si="42"/>
        <v>0</v>
      </c>
      <c r="BA103" s="58"/>
      <c r="BB103" s="58"/>
      <c r="BC103" s="58"/>
      <c r="BD103" s="60">
        <f>SUM(Tableau1[[#This Row],[ticket/carte/abonnement périmé]:[Autres ou non précisé 5]])</f>
        <v>0</v>
      </c>
      <c r="BE103" s="58"/>
      <c r="BF103" s="58"/>
      <c r="BG103" s="58"/>
      <c r="BH103" s="61">
        <f t="shared" si="54"/>
        <v>0</v>
      </c>
      <c r="BI103" s="120"/>
      <c r="BJ103" s="120"/>
      <c r="BK103" s="62">
        <f t="shared" si="55"/>
        <v>0</v>
      </c>
      <c r="BL103" s="120"/>
      <c r="BM103" s="120"/>
      <c r="BN103" s="120"/>
      <c r="BO103" s="120"/>
      <c r="BP103" s="120"/>
      <c r="BQ103" s="63"/>
      <c r="BR103" s="52">
        <f t="shared" si="56"/>
        <v>0</v>
      </c>
      <c r="BS103" s="52">
        <f t="shared" si="57"/>
        <v>0</v>
      </c>
      <c r="BT103" s="61">
        <f t="shared" si="58"/>
        <v>0</v>
      </c>
      <c r="BU103" s="64">
        <f t="shared" si="59"/>
        <v>0</v>
      </c>
      <c r="BV103" s="119">
        <f>SUM(Tableau1[[#This Row],[Achats confiserie]:[Achats boisson]])</f>
        <v>0</v>
      </c>
      <c r="BW103" s="58"/>
      <c r="BX103" s="69"/>
      <c r="BY103" s="58"/>
      <c r="BZ103" s="56">
        <f t="shared" si="60"/>
        <v>0</v>
      </c>
      <c r="CA103" s="66"/>
      <c r="CB103" s="66"/>
      <c r="CC103" s="56">
        <f t="shared" si="61"/>
        <v>0</v>
      </c>
      <c r="CD103" s="55"/>
      <c r="CE103" s="65"/>
      <c r="CF103" s="55"/>
      <c r="CG103" s="55"/>
      <c r="CH103" s="67">
        <f t="shared" si="62"/>
        <v>0</v>
      </c>
      <c r="CI103" s="68">
        <f t="shared" si="78"/>
        <v>0</v>
      </c>
      <c r="CJ103" s="55"/>
      <c r="CK103" s="55"/>
      <c r="CL103" s="55"/>
      <c r="CM103" s="55"/>
      <c r="CN103" s="55"/>
      <c r="CO103" s="68">
        <f t="shared" si="63"/>
        <v>0</v>
      </c>
      <c r="CP103" s="75">
        <f>SUM(Tableau1[[#This Row],[Fourniture eau]:[Energie (non précisé)]])</f>
        <v>0</v>
      </c>
      <c r="CQ103" s="55"/>
      <c r="CR103" s="55"/>
      <c r="CS103" s="55"/>
      <c r="CT103" s="55"/>
      <c r="CU103" s="55"/>
      <c r="CV103" s="55">
        <v>0</v>
      </c>
      <c r="CW103" s="55"/>
      <c r="CX103" s="68">
        <f>SUM(Tableau1[[#This Row],[Sous-traitance]:[Autres ou non précisé 12]])</f>
        <v>0</v>
      </c>
      <c r="CY103" s="65"/>
      <c r="CZ103" s="65"/>
      <c r="DA103" s="65"/>
      <c r="DB103" s="65"/>
      <c r="DC103" s="55"/>
      <c r="DD103" s="68">
        <f t="shared" si="43"/>
        <v>0</v>
      </c>
      <c r="DE103" s="55"/>
      <c r="DF103" s="65"/>
      <c r="DG103" s="65"/>
      <c r="DH103" s="65"/>
      <c r="DI103" s="68">
        <f>SUM(Tableau1[[#This Row],[Entretien et réparation matériel de projection]:[Autres ou non précisé 14]])</f>
        <v>0</v>
      </c>
      <c r="DJ103" s="58"/>
      <c r="DK103" s="58"/>
      <c r="DL103" s="69"/>
      <c r="DM103" s="68">
        <f t="shared" si="64"/>
        <v>0</v>
      </c>
      <c r="DN103" s="58"/>
      <c r="DO103" s="58"/>
      <c r="DP103" s="68">
        <f t="shared" si="65"/>
        <v>0</v>
      </c>
      <c r="DQ103" s="65"/>
      <c r="DR103" s="65"/>
      <c r="DS103" s="68">
        <f t="shared" si="66"/>
        <v>0</v>
      </c>
      <c r="DT103" s="65"/>
      <c r="DU103" s="65"/>
      <c r="DV103" s="65"/>
      <c r="DW103" s="68">
        <f>SUM(Tableau1[[#This Row],[Comission et courtage sur achats]:[Autres ou honoraires
 non précisé ]])</f>
        <v>0</v>
      </c>
      <c r="DX103" s="57"/>
      <c r="DY103" s="57"/>
      <c r="DZ103" s="65"/>
      <c r="EA103" s="65"/>
      <c r="EB103" s="65"/>
      <c r="EC103" s="68">
        <f t="shared" si="67"/>
        <v>0</v>
      </c>
      <c r="ED103" s="69"/>
      <c r="EE103" s="69"/>
      <c r="EF103" s="69"/>
      <c r="EG103" s="69"/>
      <c r="EH103" s="69"/>
      <c r="EI103" s="84">
        <f>SUM(Tableau1[[#This Row],[Transports sur films]:[autres ]])</f>
        <v>0</v>
      </c>
      <c r="EJ103" s="132">
        <v>0</v>
      </c>
      <c r="EK103" s="132"/>
      <c r="EL103" s="68">
        <f t="shared" si="68"/>
        <v>0</v>
      </c>
      <c r="EM103" s="65"/>
      <c r="EN103" s="65">
        <v>0</v>
      </c>
      <c r="EO103" s="65"/>
      <c r="EP103" s="65"/>
      <c r="EQ103" s="65"/>
      <c r="ER103" s="65"/>
      <c r="ES103" s="65"/>
      <c r="ET103" s="68">
        <f t="shared" si="69"/>
        <v>0</v>
      </c>
      <c r="EU103" s="65"/>
      <c r="EV103" s="65"/>
      <c r="EW103" s="65"/>
      <c r="EX103" s="65"/>
      <c r="EY103" s="65"/>
      <c r="EZ103" s="68">
        <f t="shared" si="46"/>
        <v>0</v>
      </c>
      <c r="FA103" s="65"/>
      <c r="FB103" s="65"/>
      <c r="FC103" s="70">
        <f t="shared" si="44"/>
        <v>0</v>
      </c>
      <c r="FD103" s="65"/>
      <c r="FE103" s="71">
        <f t="shared" si="70"/>
        <v>0</v>
      </c>
      <c r="FF103" s="72">
        <f t="shared" si="71"/>
        <v>0</v>
      </c>
      <c r="FG103" s="65"/>
      <c r="FH103" s="65"/>
      <c r="FI103" s="65"/>
      <c r="FJ103" s="56">
        <f t="shared" si="72"/>
        <v>0</v>
      </c>
      <c r="FK103" s="65"/>
      <c r="FL103" s="65"/>
      <c r="FM103" s="65"/>
      <c r="FN103" s="65"/>
      <c r="FO103" s="67">
        <f t="shared" si="73"/>
        <v>0</v>
      </c>
      <c r="FP103" s="57"/>
      <c r="FQ103" s="73"/>
      <c r="FR103" s="73"/>
      <c r="FS103" s="71">
        <f t="shared" si="74"/>
        <v>0</v>
      </c>
      <c r="FT103" s="91"/>
      <c r="FU103" s="91"/>
      <c r="FV103" s="67">
        <f>SUM(Tableau1[[#This Row],[Droits d''auteurs SACEM + cotisations SACEM]:[Autres ou non préciés]])</f>
        <v>0</v>
      </c>
      <c r="FW103" s="75">
        <f t="shared" si="75"/>
        <v>0</v>
      </c>
      <c r="FX103" s="74">
        <v>0</v>
      </c>
      <c r="FY103" s="74"/>
      <c r="FZ103" s="74"/>
      <c r="GA103" s="74"/>
      <c r="GB103" s="71">
        <f t="shared" si="76"/>
        <v>0</v>
      </c>
      <c r="GC103" s="92"/>
      <c r="GD103" s="92"/>
      <c r="GE103" s="67">
        <f t="shared" si="77"/>
        <v>0</v>
      </c>
      <c r="GF103" s="66"/>
      <c r="GG103" s="66"/>
      <c r="GH103" s="66"/>
      <c r="GI103" s="66"/>
      <c r="GJ103" s="77"/>
    </row>
    <row r="104" spans="1:192" ht="18.600000000000001" customHeight="1" x14ac:dyDescent="0.25">
      <c r="A104" s="89"/>
      <c r="B104" s="17"/>
      <c r="C104" s="50"/>
      <c r="D104" s="140"/>
      <c r="E104" s="51"/>
      <c r="F104" s="139">
        <f t="shared" si="45"/>
        <v>1</v>
      </c>
      <c r="G104" s="49"/>
      <c r="H104" s="50"/>
      <c r="I104" s="122"/>
      <c r="J104" s="49"/>
      <c r="K104" s="50"/>
      <c r="L104" s="50"/>
      <c r="M104" s="90"/>
      <c r="N104" s="50"/>
      <c r="O104" s="50"/>
      <c r="P104" s="90"/>
      <c r="Q104" s="52">
        <f t="shared" si="47"/>
        <v>0</v>
      </c>
      <c r="R104" s="52">
        <f t="shared" si="48"/>
        <v>0</v>
      </c>
      <c r="S104" s="53">
        <f t="shared" si="49"/>
        <v>0</v>
      </c>
      <c r="T104" s="54">
        <f t="shared" si="50"/>
        <v>0</v>
      </c>
      <c r="U104" s="115">
        <f>SUM(Tableau1[[#This Row],[Vente confiserie]:[Vente boisson]])</f>
        <v>0</v>
      </c>
      <c r="V104" s="55"/>
      <c r="W104" s="55"/>
      <c r="X104" s="135">
        <f>SUM(Tableau1[[#This Row],[Vente lunette]:[Location lunette]])</f>
        <v>0</v>
      </c>
      <c r="Y104" s="55"/>
      <c r="Z104" s="55"/>
      <c r="AA104" s="55"/>
      <c r="AB104" s="55"/>
      <c r="AC104" s="56">
        <f t="shared" si="79"/>
        <v>0</v>
      </c>
      <c r="AD104" s="57"/>
      <c r="AE104" s="57"/>
      <c r="AF104" s="57"/>
      <c r="AG104" s="57"/>
      <c r="AH104" s="57"/>
      <c r="AI104" s="57"/>
      <c r="AJ104" s="118">
        <f>(Tableau1[[#This Row],[Recette guichet ]]*1.1275177)-Tableau1[[#This Row],[Recette guichet ]]</f>
        <v>0</v>
      </c>
      <c r="AK104" s="57"/>
      <c r="AL104" s="56">
        <f t="shared" si="80"/>
        <v>0</v>
      </c>
      <c r="AM104" s="58"/>
      <c r="AN104" s="58"/>
      <c r="AO104" s="58"/>
      <c r="AP104" s="115">
        <f t="shared" si="51"/>
        <v>0</v>
      </c>
      <c r="AQ104" s="69"/>
      <c r="AR104" s="69"/>
      <c r="AS104" s="69"/>
      <c r="AT104" s="69"/>
      <c r="AU104" s="59">
        <f t="shared" si="52"/>
        <v>0</v>
      </c>
      <c r="AV104" s="60">
        <f t="shared" si="53"/>
        <v>0</v>
      </c>
      <c r="AW104" s="58"/>
      <c r="AX104" s="58"/>
      <c r="AY104" s="58"/>
      <c r="AZ104" s="60">
        <f t="shared" si="42"/>
        <v>0</v>
      </c>
      <c r="BA104" s="58"/>
      <c r="BB104" s="58"/>
      <c r="BC104" s="58"/>
      <c r="BD104" s="60">
        <f>SUM(Tableau1[[#This Row],[ticket/carte/abonnement périmé]:[Autres ou non précisé 5]])</f>
        <v>0</v>
      </c>
      <c r="BE104" s="58"/>
      <c r="BF104" s="58"/>
      <c r="BG104" s="58"/>
      <c r="BH104" s="61">
        <f t="shared" si="54"/>
        <v>0</v>
      </c>
      <c r="BI104" s="120"/>
      <c r="BJ104" s="120"/>
      <c r="BK104" s="62">
        <f t="shared" si="55"/>
        <v>0</v>
      </c>
      <c r="BL104" s="120"/>
      <c r="BM104" s="120"/>
      <c r="BN104" s="120"/>
      <c r="BO104" s="120"/>
      <c r="BP104" s="120"/>
      <c r="BQ104" s="63"/>
      <c r="BR104" s="52">
        <f t="shared" si="56"/>
        <v>0</v>
      </c>
      <c r="BS104" s="52">
        <f t="shared" si="57"/>
        <v>0</v>
      </c>
      <c r="BT104" s="61">
        <f t="shared" si="58"/>
        <v>0</v>
      </c>
      <c r="BU104" s="64">
        <f t="shared" si="59"/>
        <v>0</v>
      </c>
      <c r="BV104" s="119">
        <f>SUM(Tableau1[[#This Row],[Achats confiserie]:[Achats boisson]])</f>
        <v>0</v>
      </c>
      <c r="BW104" s="58"/>
      <c r="BX104" s="69"/>
      <c r="BY104" s="58"/>
      <c r="BZ104" s="56">
        <f t="shared" si="60"/>
        <v>0</v>
      </c>
      <c r="CA104" s="66"/>
      <c r="CB104" s="66"/>
      <c r="CC104" s="56">
        <f t="shared" si="61"/>
        <v>0</v>
      </c>
      <c r="CD104" s="55"/>
      <c r="CE104" s="65"/>
      <c r="CF104" s="55"/>
      <c r="CG104" s="55"/>
      <c r="CH104" s="67">
        <f t="shared" si="62"/>
        <v>0</v>
      </c>
      <c r="CI104" s="68">
        <f t="shared" si="78"/>
        <v>0</v>
      </c>
      <c r="CJ104" s="55"/>
      <c r="CK104" s="55"/>
      <c r="CL104" s="55"/>
      <c r="CM104" s="55"/>
      <c r="CN104" s="55"/>
      <c r="CO104" s="68">
        <f t="shared" si="63"/>
        <v>0</v>
      </c>
      <c r="CP104" s="75">
        <f>SUM(Tableau1[[#This Row],[Fourniture eau]:[Energie (non précisé)]])</f>
        <v>0</v>
      </c>
      <c r="CQ104" s="55"/>
      <c r="CR104" s="55"/>
      <c r="CS104" s="55"/>
      <c r="CT104" s="55"/>
      <c r="CU104" s="55"/>
      <c r="CV104" s="55">
        <v>0</v>
      </c>
      <c r="CW104" s="55"/>
      <c r="CX104" s="68">
        <f>SUM(Tableau1[[#This Row],[Sous-traitance]:[Autres ou non précisé 12]])</f>
        <v>0</v>
      </c>
      <c r="CY104" s="65"/>
      <c r="CZ104" s="65"/>
      <c r="DA104" s="65"/>
      <c r="DB104" s="65"/>
      <c r="DC104" s="55"/>
      <c r="DD104" s="68">
        <f t="shared" si="43"/>
        <v>0</v>
      </c>
      <c r="DE104" s="55"/>
      <c r="DF104" s="65"/>
      <c r="DG104" s="65"/>
      <c r="DH104" s="65"/>
      <c r="DI104" s="68">
        <f>SUM(Tableau1[[#This Row],[Entretien et réparation matériel de projection]:[Autres ou non précisé 14]])</f>
        <v>0</v>
      </c>
      <c r="DJ104" s="58"/>
      <c r="DK104" s="58"/>
      <c r="DL104" s="69"/>
      <c r="DM104" s="68">
        <f t="shared" si="64"/>
        <v>0</v>
      </c>
      <c r="DN104" s="58"/>
      <c r="DO104" s="58"/>
      <c r="DP104" s="68">
        <f t="shared" si="65"/>
        <v>0</v>
      </c>
      <c r="DQ104" s="65"/>
      <c r="DR104" s="65"/>
      <c r="DS104" s="68">
        <f t="shared" si="66"/>
        <v>0</v>
      </c>
      <c r="DT104" s="65"/>
      <c r="DU104" s="65"/>
      <c r="DV104" s="65"/>
      <c r="DW104" s="68">
        <f>SUM(Tableau1[[#This Row],[Comission et courtage sur achats]:[Autres ou honoraires
 non précisé ]])</f>
        <v>0</v>
      </c>
      <c r="DX104" s="57"/>
      <c r="DY104" s="57"/>
      <c r="DZ104" s="65"/>
      <c r="EA104" s="65"/>
      <c r="EB104" s="65"/>
      <c r="EC104" s="68">
        <f t="shared" si="67"/>
        <v>0</v>
      </c>
      <c r="ED104" s="69"/>
      <c r="EE104" s="69"/>
      <c r="EF104" s="69"/>
      <c r="EG104" s="69"/>
      <c r="EH104" s="69"/>
      <c r="EI104" s="84">
        <f>SUM(Tableau1[[#This Row],[Transports sur films]:[autres ]])</f>
        <v>0</v>
      </c>
      <c r="EJ104" s="132">
        <v>0</v>
      </c>
      <c r="EK104" s="132"/>
      <c r="EL104" s="68">
        <f t="shared" si="68"/>
        <v>0</v>
      </c>
      <c r="EM104" s="65"/>
      <c r="EN104" s="65">
        <v>0</v>
      </c>
      <c r="EO104" s="65"/>
      <c r="EP104" s="65"/>
      <c r="EQ104" s="65"/>
      <c r="ER104" s="65"/>
      <c r="ES104" s="65"/>
      <c r="ET104" s="68">
        <f t="shared" si="69"/>
        <v>0</v>
      </c>
      <c r="EU104" s="65"/>
      <c r="EV104" s="65"/>
      <c r="EW104" s="65"/>
      <c r="EX104" s="65"/>
      <c r="EY104" s="65"/>
      <c r="EZ104" s="68">
        <f t="shared" si="46"/>
        <v>0</v>
      </c>
      <c r="FA104" s="65"/>
      <c r="FB104" s="65"/>
      <c r="FC104" s="70">
        <f t="shared" si="44"/>
        <v>0</v>
      </c>
      <c r="FD104" s="65"/>
      <c r="FE104" s="71">
        <f t="shared" si="70"/>
        <v>0</v>
      </c>
      <c r="FF104" s="72">
        <f t="shared" si="71"/>
        <v>0</v>
      </c>
      <c r="FG104" s="65"/>
      <c r="FH104" s="65"/>
      <c r="FI104" s="65"/>
      <c r="FJ104" s="56">
        <f t="shared" si="72"/>
        <v>0</v>
      </c>
      <c r="FK104" s="65"/>
      <c r="FL104" s="65"/>
      <c r="FM104" s="65"/>
      <c r="FN104" s="65"/>
      <c r="FO104" s="67">
        <f t="shared" si="73"/>
        <v>0</v>
      </c>
      <c r="FP104" s="57"/>
      <c r="FQ104" s="73"/>
      <c r="FR104" s="73"/>
      <c r="FS104" s="71">
        <f t="shared" si="74"/>
        <v>0</v>
      </c>
      <c r="FT104" s="91"/>
      <c r="FU104" s="91"/>
      <c r="FV104" s="67">
        <f>SUM(Tableau1[[#This Row],[Droits d''auteurs SACEM + cotisations SACEM]:[Autres ou non préciés]])</f>
        <v>0</v>
      </c>
      <c r="FW104" s="75">
        <f t="shared" si="75"/>
        <v>0</v>
      </c>
      <c r="FX104" s="74">
        <v>0</v>
      </c>
      <c r="FY104" s="74"/>
      <c r="FZ104" s="74"/>
      <c r="GA104" s="74"/>
      <c r="GB104" s="71">
        <f t="shared" si="76"/>
        <v>0</v>
      </c>
      <c r="GC104" s="92"/>
      <c r="GD104" s="92"/>
      <c r="GE104" s="67">
        <f t="shared" si="77"/>
        <v>0</v>
      </c>
      <c r="GF104" s="66"/>
      <c r="GG104" s="66"/>
      <c r="GH104" s="66"/>
      <c r="GI104" s="66"/>
      <c r="GJ104" s="77"/>
    </row>
    <row r="105" spans="1:192" ht="18.600000000000001" customHeight="1" x14ac:dyDescent="0.25">
      <c r="A105" s="89"/>
      <c r="B105" s="17"/>
      <c r="C105" s="50"/>
      <c r="D105" s="140"/>
      <c r="E105" s="51"/>
      <c r="F105" s="139">
        <f t="shared" si="45"/>
        <v>1</v>
      </c>
      <c r="G105" s="49"/>
      <c r="H105" s="50"/>
      <c r="I105" s="122"/>
      <c r="J105" s="49"/>
      <c r="K105" s="50"/>
      <c r="L105" s="50"/>
      <c r="M105" s="90"/>
      <c r="N105" s="50"/>
      <c r="O105" s="50"/>
      <c r="P105" s="90"/>
      <c r="Q105" s="52">
        <f t="shared" si="47"/>
        <v>0</v>
      </c>
      <c r="R105" s="52">
        <f t="shared" si="48"/>
        <v>0</v>
      </c>
      <c r="S105" s="53">
        <f t="shared" si="49"/>
        <v>0</v>
      </c>
      <c r="T105" s="54">
        <f t="shared" si="50"/>
        <v>0</v>
      </c>
      <c r="U105" s="115">
        <f>SUM(Tableau1[[#This Row],[Vente confiserie]:[Vente boisson]])</f>
        <v>0</v>
      </c>
      <c r="V105" s="55"/>
      <c r="W105" s="55"/>
      <c r="X105" s="135">
        <f>SUM(Tableau1[[#This Row],[Vente lunette]:[Location lunette]])</f>
        <v>0</v>
      </c>
      <c r="Y105" s="55"/>
      <c r="Z105" s="55"/>
      <c r="AA105" s="55"/>
      <c r="AB105" s="55"/>
      <c r="AC105" s="56">
        <f t="shared" si="79"/>
        <v>0</v>
      </c>
      <c r="AD105" s="57"/>
      <c r="AE105" s="57"/>
      <c r="AF105" s="57"/>
      <c r="AG105" s="57"/>
      <c r="AH105" s="57"/>
      <c r="AI105" s="57"/>
      <c r="AJ105" s="118">
        <f>(Tableau1[[#This Row],[Recette guichet ]]*1.1275177)-Tableau1[[#This Row],[Recette guichet ]]</f>
        <v>0</v>
      </c>
      <c r="AK105" s="57"/>
      <c r="AL105" s="56">
        <f t="shared" si="80"/>
        <v>0</v>
      </c>
      <c r="AM105" s="58"/>
      <c r="AN105" s="58"/>
      <c r="AO105" s="58"/>
      <c r="AP105" s="115">
        <f t="shared" si="51"/>
        <v>0</v>
      </c>
      <c r="AQ105" s="69"/>
      <c r="AR105" s="69"/>
      <c r="AS105" s="69"/>
      <c r="AT105" s="69"/>
      <c r="AU105" s="59">
        <f t="shared" si="52"/>
        <v>0</v>
      </c>
      <c r="AV105" s="60">
        <f t="shared" si="53"/>
        <v>0</v>
      </c>
      <c r="AW105" s="58"/>
      <c r="AX105" s="58"/>
      <c r="AY105" s="58"/>
      <c r="AZ105" s="60">
        <f t="shared" si="42"/>
        <v>0</v>
      </c>
      <c r="BA105" s="58"/>
      <c r="BB105" s="58"/>
      <c r="BC105" s="58"/>
      <c r="BD105" s="60">
        <f>SUM(Tableau1[[#This Row],[ticket/carte/abonnement périmé]:[Autres ou non précisé 5]])</f>
        <v>0</v>
      </c>
      <c r="BE105" s="58"/>
      <c r="BF105" s="58"/>
      <c r="BG105" s="58"/>
      <c r="BH105" s="61">
        <f t="shared" si="54"/>
        <v>0</v>
      </c>
      <c r="BI105" s="120"/>
      <c r="BJ105" s="120"/>
      <c r="BK105" s="62">
        <f t="shared" si="55"/>
        <v>0</v>
      </c>
      <c r="BL105" s="120"/>
      <c r="BM105" s="120"/>
      <c r="BN105" s="120"/>
      <c r="BO105" s="120"/>
      <c r="BP105" s="120"/>
      <c r="BQ105" s="63"/>
      <c r="BR105" s="52">
        <f t="shared" si="56"/>
        <v>0</v>
      </c>
      <c r="BS105" s="52">
        <f t="shared" si="57"/>
        <v>0</v>
      </c>
      <c r="BT105" s="61">
        <f t="shared" si="58"/>
        <v>0</v>
      </c>
      <c r="BU105" s="64">
        <f t="shared" si="59"/>
        <v>0</v>
      </c>
      <c r="BV105" s="119">
        <f>SUM(Tableau1[[#This Row],[Achats confiserie]:[Achats boisson]])</f>
        <v>0</v>
      </c>
      <c r="BW105" s="58"/>
      <c r="BX105" s="69"/>
      <c r="BY105" s="58"/>
      <c r="BZ105" s="56">
        <f t="shared" si="60"/>
        <v>0</v>
      </c>
      <c r="CA105" s="66"/>
      <c r="CB105" s="66"/>
      <c r="CC105" s="56">
        <f t="shared" si="61"/>
        <v>0</v>
      </c>
      <c r="CD105" s="55"/>
      <c r="CE105" s="65"/>
      <c r="CF105" s="55"/>
      <c r="CG105" s="55"/>
      <c r="CH105" s="67">
        <f t="shared" si="62"/>
        <v>0</v>
      </c>
      <c r="CI105" s="68">
        <f t="shared" si="78"/>
        <v>0</v>
      </c>
      <c r="CJ105" s="55"/>
      <c r="CK105" s="55"/>
      <c r="CL105" s="55"/>
      <c r="CM105" s="55"/>
      <c r="CN105" s="55"/>
      <c r="CO105" s="68">
        <f t="shared" si="63"/>
        <v>0</v>
      </c>
      <c r="CP105" s="75">
        <f>SUM(Tableau1[[#This Row],[Fourniture eau]:[Energie (non précisé)]])</f>
        <v>0</v>
      </c>
      <c r="CQ105" s="55"/>
      <c r="CR105" s="55"/>
      <c r="CS105" s="55"/>
      <c r="CT105" s="55"/>
      <c r="CU105" s="55"/>
      <c r="CV105" s="55">
        <v>0</v>
      </c>
      <c r="CW105" s="55"/>
      <c r="CX105" s="68">
        <f>SUM(Tableau1[[#This Row],[Sous-traitance]:[Autres ou non précisé 12]])</f>
        <v>0</v>
      </c>
      <c r="CY105" s="65"/>
      <c r="CZ105" s="65"/>
      <c r="DA105" s="65"/>
      <c r="DB105" s="65"/>
      <c r="DC105" s="55"/>
      <c r="DD105" s="68">
        <f t="shared" si="43"/>
        <v>0</v>
      </c>
      <c r="DE105" s="55"/>
      <c r="DF105" s="65"/>
      <c r="DG105" s="65"/>
      <c r="DH105" s="65"/>
      <c r="DI105" s="68">
        <f>SUM(Tableau1[[#This Row],[Entretien et réparation matériel de projection]:[Autres ou non précisé 14]])</f>
        <v>0</v>
      </c>
      <c r="DJ105" s="58"/>
      <c r="DK105" s="58"/>
      <c r="DL105" s="69"/>
      <c r="DM105" s="68">
        <f t="shared" si="64"/>
        <v>0</v>
      </c>
      <c r="DN105" s="58"/>
      <c r="DO105" s="58"/>
      <c r="DP105" s="68">
        <f t="shared" si="65"/>
        <v>0</v>
      </c>
      <c r="DQ105" s="65"/>
      <c r="DR105" s="65"/>
      <c r="DS105" s="68">
        <f t="shared" si="66"/>
        <v>0</v>
      </c>
      <c r="DT105" s="65"/>
      <c r="DU105" s="65"/>
      <c r="DV105" s="65"/>
      <c r="DW105" s="68">
        <f>SUM(Tableau1[[#This Row],[Comission et courtage sur achats]:[Autres ou honoraires
 non précisé ]])</f>
        <v>0</v>
      </c>
      <c r="DX105" s="57"/>
      <c r="DY105" s="57"/>
      <c r="DZ105" s="65"/>
      <c r="EA105" s="65"/>
      <c r="EB105" s="65"/>
      <c r="EC105" s="68">
        <f t="shared" si="67"/>
        <v>0</v>
      </c>
      <c r="ED105" s="69"/>
      <c r="EE105" s="69"/>
      <c r="EF105" s="69"/>
      <c r="EG105" s="69"/>
      <c r="EH105" s="69"/>
      <c r="EI105" s="84">
        <f>SUM(Tableau1[[#This Row],[Transports sur films]:[autres ]])</f>
        <v>0</v>
      </c>
      <c r="EJ105" s="132">
        <v>0</v>
      </c>
      <c r="EK105" s="132"/>
      <c r="EL105" s="68">
        <f t="shared" si="68"/>
        <v>0</v>
      </c>
      <c r="EM105" s="65"/>
      <c r="EN105" s="65">
        <v>0</v>
      </c>
      <c r="EO105" s="65"/>
      <c r="EP105" s="65"/>
      <c r="EQ105" s="65"/>
      <c r="ER105" s="65"/>
      <c r="ES105" s="65"/>
      <c r="ET105" s="68">
        <f t="shared" si="69"/>
        <v>0</v>
      </c>
      <c r="EU105" s="65"/>
      <c r="EV105" s="65"/>
      <c r="EW105" s="65"/>
      <c r="EX105" s="65"/>
      <c r="EY105" s="65"/>
      <c r="EZ105" s="68">
        <f t="shared" si="46"/>
        <v>0</v>
      </c>
      <c r="FA105" s="65"/>
      <c r="FB105" s="65"/>
      <c r="FC105" s="70">
        <f t="shared" si="44"/>
        <v>0</v>
      </c>
      <c r="FD105" s="65"/>
      <c r="FE105" s="71">
        <f t="shared" si="70"/>
        <v>0</v>
      </c>
      <c r="FF105" s="72">
        <f t="shared" si="71"/>
        <v>0</v>
      </c>
      <c r="FG105" s="65"/>
      <c r="FH105" s="65"/>
      <c r="FI105" s="65"/>
      <c r="FJ105" s="56">
        <f t="shared" si="72"/>
        <v>0</v>
      </c>
      <c r="FK105" s="65"/>
      <c r="FL105" s="65"/>
      <c r="FM105" s="65"/>
      <c r="FN105" s="65"/>
      <c r="FO105" s="67">
        <f t="shared" si="73"/>
        <v>0</v>
      </c>
      <c r="FP105" s="57"/>
      <c r="FQ105" s="73"/>
      <c r="FR105" s="73"/>
      <c r="FS105" s="71">
        <f t="shared" si="74"/>
        <v>0</v>
      </c>
      <c r="FT105" s="91"/>
      <c r="FU105" s="91"/>
      <c r="FV105" s="67">
        <f>SUM(Tableau1[[#This Row],[Droits d''auteurs SACEM + cotisations SACEM]:[Autres ou non préciés]])</f>
        <v>0</v>
      </c>
      <c r="FW105" s="75">
        <f t="shared" si="75"/>
        <v>0</v>
      </c>
      <c r="FX105" s="74">
        <v>0</v>
      </c>
      <c r="FY105" s="74"/>
      <c r="FZ105" s="74"/>
      <c r="GA105" s="74"/>
      <c r="GB105" s="71">
        <f t="shared" si="76"/>
        <v>0</v>
      </c>
      <c r="GC105" s="92"/>
      <c r="GD105" s="92"/>
      <c r="GE105" s="67">
        <f t="shared" si="77"/>
        <v>0</v>
      </c>
      <c r="GF105" s="66"/>
      <c r="GG105" s="66"/>
      <c r="GH105" s="66"/>
      <c r="GI105" s="66"/>
      <c r="GJ105" s="77"/>
    </row>
    <row r="106" spans="1:192" ht="18.600000000000001" customHeight="1" x14ac:dyDescent="0.25">
      <c r="A106" s="89"/>
      <c r="B106" s="17"/>
      <c r="C106" s="50"/>
      <c r="D106" s="140"/>
      <c r="E106" s="51"/>
      <c r="F106" s="139">
        <f t="shared" ref="F106:F169" si="81">DATEDIF(D106,E106,"m")+1</f>
        <v>1</v>
      </c>
      <c r="G106" s="49"/>
      <c r="H106" s="50"/>
      <c r="I106" s="122"/>
      <c r="J106" s="49"/>
      <c r="K106" s="50"/>
      <c r="L106" s="50"/>
      <c r="M106" s="90"/>
      <c r="N106" s="50"/>
      <c r="O106" s="50"/>
      <c r="P106" s="90"/>
      <c r="Q106" s="52">
        <f t="shared" si="47"/>
        <v>0</v>
      </c>
      <c r="R106" s="52">
        <f t="shared" si="48"/>
        <v>0</v>
      </c>
      <c r="S106" s="53">
        <f t="shared" si="49"/>
        <v>0</v>
      </c>
      <c r="T106" s="54">
        <f t="shared" si="50"/>
        <v>0</v>
      </c>
      <c r="U106" s="115">
        <f>SUM(Tableau1[[#This Row],[Vente confiserie]:[Vente boisson]])</f>
        <v>0</v>
      </c>
      <c r="V106" s="55"/>
      <c r="W106" s="55"/>
      <c r="X106" s="135">
        <f>SUM(Tableau1[[#This Row],[Vente lunette]:[Location lunette]])</f>
        <v>0</v>
      </c>
      <c r="Y106" s="55"/>
      <c r="Z106" s="55"/>
      <c r="AA106" s="55"/>
      <c r="AB106" s="55"/>
      <c r="AC106" s="56">
        <f t="shared" si="79"/>
        <v>0</v>
      </c>
      <c r="AD106" s="57"/>
      <c r="AE106" s="57"/>
      <c r="AF106" s="57"/>
      <c r="AG106" s="57"/>
      <c r="AH106" s="57"/>
      <c r="AI106" s="57"/>
      <c r="AJ106" s="118">
        <f>(Tableau1[[#This Row],[Recette guichet ]]*1.1275177)-Tableau1[[#This Row],[Recette guichet ]]</f>
        <v>0</v>
      </c>
      <c r="AK106" s="57"/>
      <c r="AL106" s="56">
        <f t="shared" si="80"/>
        <v>0</v>
      </c>
      <c r="AM106" s="58"/>
      <c r="AN106" s="58"/>
      <c r="AO106" s="58"/>
      <c r="AP106" s="115">
        <f t="shared" si="51"/>
        <v>0</v>
      </c>
      <c r="AQ106" s="69"/>
      <c r="AR106" s="69"/>
      <c r="AS106" s="69"/>
      <c r="AT106" s="69"/>
      <c r="AU106" s="59">
        <f t="shared" si="52"/>
        <v>0</v>
      </c>
      <c r="AV106" s="60">
        <f t="shared" si="53"/>
        <v>0</v>
      </c>
      <c r="AW106" s="58"/>
      <c r="AX106" s="58"/>
      <c r="AY106" s="58"/>
      <c r="AZ106" s="60">
        <f t="shared" si="42"/>
        <v>0</v>
      </c>
      <c r="BA106" s="58"/>
      <c r="BB106" s="58"/>
      <c r="BC106" s="58"/>
      <c r="BD106" s="60">
        <f>SUM(Tableau1[[#This Row],[ticket/carte/abonnement périmé]:[Autres ou non précisé 5]])</f>
        <v>0</v>
      </c>
      <c r="BE106" s="58"/>
      <c r="BF106" s="58"/>
      <c r="BG106" s="58"/>
      <c r="BH106" s="61">
        <f t="shared" si="54"/>
        <v>0</v>
      </c>
      <c r="BI106" s="120"/>
      <c r="BJ106" s="120"/>
      <c r="BK106" s="62">
        <f t="shared" si="55"/>
        <v>0</v>
      </c>
      <c r="BL106" s="120"/>
      <c r="BM106" s="120"/>
      <c r="BN106" s="120"/>
      <c r="BO106" s="120"/>
      <c r="BP106" s="120"/>
      <c r="BQ106" s="63"/>
      <c r="BR106" s="52">
        <f t="shared" si="56"/>
        <v>0</v>
      </c>
      <c r="BS106" s="52">
        <f t="shared" si="57"/>
        <v>0</v>
      </c>
      <c r="BT106" s="61">
        <f t="shared" si="58"/>
        <v>0</v>
      </c>
      <c r="BU106" s="64">
        <f t="shared" si="59"/>
        <v>0</v>
      </c>
      <c r="BV106" s="119">
        <f>SUM(Tableau1[[#This Row],[Achats confiserie]:[Achats boisson]])</f>
        <v>0</v>
      </c>
      <c r="BW106" s="58"/>
      <c r="BX106" s="69"/>
      <c r="BY106" s="58"/>
      <c r="BZ106" s="56">
        <f t="shared" si="60"/>
        <v>0</v>
      </c>
      <c r="CA106" s="66"/>
      <c r="CB106" s="66"/>
      <c r="CC106" s="56">
        <f t="shared" si="61"/>
        <v>0</v>
      </c>
      <c r="CD106" s="55"/>
      <c r="CE106" s="65"/>
      <c r="CF106" s="55"/>
      <c r="CG106" s="55"/>
      <c r="CH106" s="67">
        <f t="shared" si="62"/>
        <v>0</v>
      </c>
      <c r="CI106" s="68">
        <f t="shared" si="78"/>
        <v>0</v>
      </c>
      <c r="CJ106" s="55"/>
      <c r="CK106" s="55"/>
      <c r="CL106" s="55"/>
      <c r="CM106" s="55"/>
      <c r="CN106" s="55"/>
      <c r="CO106" s="68">
        <f t="shared" si="63"/>
        <v>0</v>
      </c>
      <c r="CP106" s="75">
        <f>SUM(Tableau1[[#This Row],[Fourniture eau]:[Energie (non précisé)]])</f>
        <v>0</v>
      </c>
      <c r="CQ106" s="55"/>
      <c r="CR106" s="55"/>
      <c r="CS106" s="55"/>
      <c r="CT106" s="55"/>
      <c r="CU106" s="55"/>
      <c r="CV106" s="55">
        <v>0</v>
      </c>
      <c r="CW106" s="55"/>
      <c r="CX106" s="68">
        <f>SUM(Tableau1[[#This Row],[Sous-traitance]:[Autres ou non précisé 12]])</f>
        <v>0</v>
      </c>
      <c r="CY106" s="65"/>
      <c r="CZ106" s="65"/>
      <c r="DA106" s="65"/>
      <c r="DB106" s="65"/>
      <c r="DC106" s="55"/>
      <c r="DD106" s="68">
        <f t="shared" si="43"/>
        <v>0</v>
      </c>
      <c r="DE106" s="55"/>
      <c r="DF106" s="65"/>
      <c r="DG106" s="65"/>
      <c r="DH106" s="65"/>
      <c r="DI106" s="68">
        <f>SUM(Tableau1[[#This Row],[Entretien et réparation matériel de projection]:[Autres ou non précisé 14]])</f>
        <v>0</v>
      </c>
      <c r="DJ106" s="58"/>
      <c r="DK106" s="58"/>
      <c r="DL106" s="69"/>
      <c r="DM106" s="68">
        <f t="shared" si="64"/>
        <v>0</v>
      </c>
      <c r="DN106" s="58"/>
      <c r="DO106" s="58"/>
      <c r="DP106" s="68">
        <f t="shared" si="65"/>
        <v>0</v>
      </c>
      <c r="DQ106" s="65"/>
      <c r="DR106" s="65"/>
      <c r="DS106" s="68">
        <f t="shared" si="66"/>
        <v>0</v>
      </c>
      <c r="DT106" s="65"/>
      <c r="DU106" s="65"/>
      <c r="DV106" s="65"/>
      <c r="DW106" s="68">
        <f>SUM(Tableau1[[#This Row],[Comission et courtage sur achats]:[Autres ou honoraires
 non précisé ]])</f>
        <v>0</v>
      </c>
      <c r="DX106" s="57"/>
      <c r="DY106" s="57"/>
      <c r="DZ106" s="65"/>
      <c r="EA106" s="65"/>
      <c r="EB106" s="65"/>
      <c r="EC106" s="68">
        <f t="shared" si="67"/>
        <v>0</v>
      </c>
      <c r="ED106" s="69"/>
      <c r="EE106" s="69"/>
      <c r="EF106" s="69"/>
      <c r="EG106" s="69"/>
      <c r="EH106" s="69"/>
      <c r="EI106" s="84">
        <f>SUM(Tableau1[[#This Row],[Transports sur films]:[autres ]])</f>
        <v>0</v>
      </c>
      <c r="EJ106" s="132">
        <v>0</v>
      </c>
      <c r="EK106" s="132"/>
      <c r="EL106" s="68">
        <f t="shared" si="68"/>
        <v>0</v>
      </c>
      <c r="EM106" s="65"/>
      <c r="EN106" s="65">
        <v>0</v>
      </c>
      <c r="EO106" s="65"/>
      <c r="EP106" s="65"/>
      <c r="EQ106" s="65"/>
      <c r="ER106" s="65"/>
      <c r="ES106" s="65"/>
      <c r="ET106" s="68">
        <f t="shared" si="69"/>
        <v>0</v>
      </c>
      <c r="EU106" s="65"/>
      <c r="EV106" s="65"/>
      <c r="EW106" s="65"/>
      <c r="EX106" s="65"/>
      <c r="EY106" s="65"/>
      <c r="EZ106" s="68">
        <f t="shared" si="46"/>
        <v>0</v>
      </c>
      <c r="FA106" s="65"/>
      <c r="FB106" s="65"/>
      <c r="FC106" s="70">
        <f t="shared" si="44"/>
        <v>0</v>
      </c>
      <c r="FD106" s="65"/>
      <c r="FE106" s="71">
        <f t="shared" si="70"/>
        <v>0</v>
      </c>
      <c r="FF106" s="72">
        <f t="shared" si="71"/>
        <v>0</v>
      </c>
      <c r="FG106" s="65"/>
      <c r="FH106" s="65"/>
      <c r="FI106" s="65"/>
      <c r="FJ106" s="56">
        <f t="shared" si="72"/>
        <v>0</v>
      </c>
      <c r="FK106" s="65"/>
      <c r="FL106" s="65"/>
      <c r="FM106" s="65"/>
      <c r="FN106" s="65"/>
      <c r="FO106" s="67">
        <f t="shared" si="73"/>
        <v>0</v>
      </c>
      <c r="FP106" s="57"/>
      <c r="FQ106" s="73"/>
      <c r="FR106" s="73"/>
      <c r="FS106" s="71">
        <f t="shared" si="74"/>
        <v>0</v>
      </c>
      <c r="FT106" s="91"/>
      <c r="FU106" s="91"/>
      <c r="FV106" s="67">
        <f>SUM(Tableau1[[#This Row],[Droits d''auteurs SACEM + cotisations SACEM]:[Autres ou non préciés]])</f>
        <v>0</v>
      </c>
      <c r="FW106" s="75">
        <f t="shared" si="75"/>
        <v>0</v>
      </c>
      <c r="FX106" s="74">
        <v>0</v>
      </c>
      <c r="FY106" s="74"/>
      <c r="FZ106" s="74"/>
      <c r="GA106" s="74"/>
      <c r="GB106" s="71">
        <f t="shared" si="76"/>
        <v>0</v>
      </c>
      <c r="GC106" s="92"/>
      <c r="GD106" s="92"/>
      <c r="GE106" s="67">
        <f t="shared" si="77"/>
        <v>0</v>
      </c>
      <c r="GF106" s="66"/>
      <c r="GG106" s="66"/>
      <c r="GH106" s="66"/>
      <c r="GI106" s="66"/>
      <c r="GJ106" s="77"/>
    </row>
    <row r="107" spans="1:192" ht="18.600000000000001" customHeight="1" x14ac:dyDescent="0.25">
      <c r="A107" s="89"/>
      <c r="B107" s="17"/>
      <c r="C107" s="50"/>
      <c r="D107" s="140"/>
      <c r="E107" s="51"/>
      <c r="F107" s="139">
        <f t="shared" si="81"/>
        <v>1</v>
      </c>
      <c r="G107" s="49"/>
      <c r="H107" s="50"/>
      <c r="I107" s="122"/>
      <c r="J107" s="49"/>
      <c r="K107" s="50"/>
      <c r="L107" s="50"/>
      <c r="M107" s="90"/>
      <c r="N107" s="50"/>
      <c r="O107" s="50"/>
      <c r="P107" s="90"/>
      <c r="Q107" s="52">
        <f t="shared" si="47"/>
        <v>0</v>
      </c>
      <c r="R107" s="52">
        <f t="shared" si="48"/>
        <v>0</v>
      </c>
      <c r="S107" s="53">
        <f t="shared" si="49"/>
        <v>0</v>
      </c>
      <c r="T107" s="54">
        <f t="shared" si="50"/>
        <v>0</v>
      </c>
      <c r="U107" s="115">
        <f>SUM(Tableau1[[#This Row],[Vente confiserie]:[Vente boisson]])</f>
        <v>0</v>
      </c>
      <c r="V107" s="55"/>
      <c r="W107" s="55"/>
      <c r="X107" s="135">
        <f>SUM(Tableau1[[#This Row],[Vente lunette]:[Location lunette]])</f>
        <v>0</v>
      </c>
      <c r="Y107" s="55"/>
      <c r="Z107" s="55"/>
      <c r="AA107" s="55"/>
      <c r="AB107" s="55"/>
      <c r="AC107" s="56">
        <f t="shared" si="79"/>
        <v>0</v>
      </c>
      <c r="AD107" s="57"/>
      <c r="AE107" s="57"/>
      <c r="AF107" s="57"/>
      <c r="AG107" s="57"/>
      <c r="AH107" s="57"/>
      <c r="AI107" s="57"/>
      <c r="AJ107" s="118">
        <f>(Tableau1[[#This Row],[Recette guichet ]]*1.1275177)-Tableau1[[#This Row],[Recette guichet ]]</f>
        <v>0</v>
      </c>
      <c r="AK107" s="57"/>
      <c r="AL107" s="56">
        <f t="shared" si="80"/>
        <v>0</v>
      </c>
      <c r="AM107" s="58"/>
      <c r="AN107" s="58"/>
      <c r="AO107" s="58"/>
      <c r="AP107" s="115">
        <f t="shared" si="51"/>
        <v>0</v>
      </c>
      <c r="AQ107" s="69"/>
      <c r="AR107" s="69"/>
      <c r="AS107" s="69"/>
      <c r="AT107" s="69"/>
      <c r="AU107" s="59">
        <f t="shared" si="52"/>
        <v>0</v>
      </c>
      <c r="AV107" s="60">
        <f t="shared" si="53"/>
        <v>0</v>
      </c>
      <c r="AW107" s="58"/>
      <c r="AX107" s="58"/>
      <c r="AY107" s="58"/>
      <c r="AZ107" s="60">
        <f t="shared" si="42"/>
        <v>0</v>
      </c>
      <c r="BA107" s="58"/>
      <c r="BB107" s="58"/>
      <c r="BC107" s="58"/>
      <c r="BD107" s="60">
        <f>SUM(Tableau1[[#This Row],[ticket/carte/abonnement périmé]:[Autres ou non précisé 5]])</f>
        <v>0</v>
      </c>
      <c r="BE107" s="58"/>
      <c r="BF107" s="58"/>
      <c r="BG107" s="58"/>
      <c r="BH107" s="61">
        <f t="shared" si="54"/>
        <v>0</v>
      </c>
      <c r="BI107" s="120"/>
      <c r="BJ107" s="120"/>
      <c r="BK107" s="62">
        <f t="shared" si="55"/>
        <v>0</v>
      </c>
      <c r="BL107" s="120"/>
      <c r="BM107" s="120"/>
      <c r="BN107" s="120"/>
      <c r="BO107" s="120"/>
      <c r="BP107" s="120"/>
      <c r="BQ107" s="63"/>
      <c r="BR107" s="52">
        <f t="shared" si="56"/>
        <v>0</v>
      </c>
      <c r="BS107" s="52">
        <f t="shared" si="57"/>
        <v>0</v>
      </c>
      <c r="BT107" s="61">
        <f t="shared" si="58"/>
        <v>0</v>
      </c>
      <c r="BU107" s="64">
        <f t="shared" si="59"/>
        <v>0</v>
      </c>
      <c r="BV107" s="119">
        <f>SUM(Tableau1[[#This Row],[Achats confiserie]:[Achats boisson]])</f>
        <v>0</v>
      </c>
      <c r="BW107" s="58"/>
      <c r="BX107" s="69"/>
      <c r="BY107" s="58"/>
      <c r="BZ107" s="56">
        <f t="shared" si="60"/>
        <v>0</v>
      </c>
      <c r="CA107" s="66"/>
      <c r="CB107" s="66"/>
      <c r="CC107" s="56">
        <f t="shared" si="61"/>
        <v>0</v>
      </c>
      <c r="CD107" s="55"/>
      <c r="CE107" s="65"/>
      <c r="CF107" s="55"/>
      <c r="CG107" s="55"/>
      <c r="CH107" s="67">
        <f t="shared" si="62"/>
        <v>0</v>
      </c>
      <c r="CI107" s="68">
        <f t="shared" si="78"/>
        <v>0</v>
      </c>
      <c r="CJ107" s="55"/>
      <c r="CK107" s="55"/>
      <c r="CL107" s="55"/>
      <c r="CM107" s="55"/>
      <c r="CN107" s="55"/>
      <c r="CO107" s="68">
        <f t="shared" si="63"/>
        <v>0</v>
      </c>
      <c r="CP107" s="75">
        <f>SUM(Tableau1[[#This Row],[Fourniture eau]:[Energie (non précisé)]])</f>
        <v>0</v>
      </c>
      <c r="CQ107" s="55"/>
      <c r="CR107" s="55"/>
      <c r="CS107" s="55"/>
      <c r="CT107" s="55"/>
      <c r="CU107" s="55"/>
      <c r="CV107" s="55">
        <v>0</v>
      </c>
      <c r="CW107" s="55"/>
      <c r="CX107" s="68">
        <f>SUM(Tableau1[[#This Row],[Sous-traitance]:[Autres ou non précisé 12]])</f>
        <v>0</v>
      </c>
      <c r="CY107" s="65"/>
      <c r="CZ107" s="65"/>
      <c r="DA107" s="65"/>
      <c r="DB107" s="65"/>
      <c r="DC107" s="55"/>
      <c r="DD107" s="68">
        <f t="shared" si="43"/>
        <v>0</v>
      </c>
      <c r="DE107" s="55"/>
      <c r="DF107" s="65"/>
      <c r="DG107" s="65"/>
      <c r="DH107" s="65"/>
      <c r="DI107" s="68">
        <f>SUM(Tableau1[[#This Row],[Entretien et réparation matériel de projection]:[Autres ou non précisé 14]])</f>
        <v>0</v>
      </c>
      <c r="DJ107" s="58"/>
      <c r="DK107" s="58"/>
      <c r="DL107" s="69"/>
      <c r="DM107" s="68">
        <f t="shared" si="64"/>
        <v>0</v>
      </c>
      <c r="DN107" s="58"/>
      <c r="DO107" s="58"/>
      <c r="DP107" s="68">
        <f t="shared" si="65"/>
        <v>0</v>
      </c>
      <c r="DQ107" s="65"/>
      <c r="DR107" s="65"/>
      <c r="DS107" s="68">
        <f t="shared" si="66"/>
        <v>0</v>
      </c>
      <c r="DT107" s="65"/>
      <c r="DU107" s="65"/>
      <c r="DV107" s="65"/>
      <c r="DW107" s="68">
        <f>SUM(Tableau1[[#This Row],[Comission et courtage sur achats]:[Autres ou honoraires
 non précisé ]])</f>
        <v>0</v>
      </c>
      <c r="DX107" s="57"/>
      <c r="DY107" s="57"/>
      <c r="DZ107" s="65"/>
      <c r="EA107" s="65"/>
      <c r="EB107" s="65"/>
      <c r="EC107" s="68">
        <f t="shared" si="67"/>
        <v>0</v>
      </c>
      <c r="ED107" s="69"/>
      <c r="EE107" s="69"/>
      <c r="EF107" s="69"/>
      <c r="EG107" s="69"/>
      <c r="EH107" s="69"/>
      <c r="EI107" s="84">
        <f>SUM(Tableau1[[#This Row],[Transports sur films]:[autres ]])</f>
        <v>0</v>
      </c>
      <c r="EJ107" s="132">
        <v>0</v>
      </c>
      <c r="EK107" s="132"/>
      <c r="EL107" s="68">
        <f t="shared" si="68"/>
        <v>0</v>
      </c>
      <c r="EM107" s="65"/>
      <c r="EN107" s="65">
        <v>0</v>
      </c>
      <c r="EO107" s="65"/>
      <c r="EP107" s="65"/>
      <c r="EQ107" s="65"/>
      <c r="ER107" s="65"/>
      <c r="ES107" s="65"/>
      <c r="ET107" s="68">
        <f t="shared" si="69"/>
        <v>0</v>
      </c>
      <c r="EU107" s="65"/>
      <c r="EV107" s="65"/>
      <c r="EW107" s="65"/>
      <c r="EX107" s="65"/>
      <c r="EY107" s="65"/>
      <c r="EZ107" s="68">
        <f t="shared" si="46"/>
        <v>0</v>
      </c>
      <c r="FA107" s="65"/>
      <c r="FB107" s="65"/>
      <c r="FC107" s="70">
        <f t="shared" si="44"/>
        <v>0</v>
      </c>
      <c r="FD107" s="65"/>
      <c r="FE107" s="71">
        <f t="shared" si="70"/>
        <v>0</v>
      </c>
      <c r="FF107" s="72">
        <f t="shared" si="71"/>
        <v>0</v>
      </c>
      <c r="FG107" s="65"/>
      <c r="FH107" s="65"/>
      <c r="FI107" s="65"/>
      <c r="FJ107" s="56">
        <f t="shared" si="72"/>
        <v>0</v>
      </c>
      <c r="FK107" s="65"/>
      <c r="FL107" s="65"/>
      <c r="FM107" s="65"/>
      <c r="FN107" s="65"/>
      <c r="FO107" s="67">
        <f t="shared" si="73"/>
        <v>0</v>
      </c>
      <c r="FP107" s="57"/>
      <c r="FQ107" s="73"/>
      <c r="FR107" s="73"/>
      <c r="FS107" s="71">
        <f t="shared" si="74"/>
        <v>0</v>
      </c>
      <c r="FT107" s="91"/>
      <c r="FU107" s="91"/>
      <c r="FV107" s="67">
        <f>SUM(Tableau1[[#This Row],[Droits d''auteurs SACEM + cotisations SACEM]:[Autres ou non préciés]])</f>
        <v>0</v>
      </c>
      <c r="FW107" s="75">
        <f t="shared" si="75"/>
        <v>0</v>
      </c>
      <c r="FX107" s="74">
        <v>0</v>
      </c>
      <c r="FY107" s="74"/>
      <c r="FZ107" s="74"/>
      <c r="GA107" s="74"/>
      <c r="GB107" s="71">
        <f t="shared" si="76"/>
        <v>0</v>
      </c>
      <c r="GC107" s="92"/>
      <c r="GD107" s="92"/>
      <c r="GE107" s="67">
        <f t="shared" si="77"/>
        <v>0</v>
      </c>
      <c r="GF107" s="66"/>
      <c r="GG107" s="66"/>
      <c r="GH107" s="66"/>
      <c r="GI107" s="66"/>
      <c r="GJ107" s="77"/>
    </row>
    <row r="108" spans="1:192" ht="18.600000000000001" customHeight="1" x14ac:dyDescent="0.25">
      <c r="A108" s="89"/>
      <c r="B108" s="17"/>
      <c r="C108" s="50"/>
      <c r="D108" s="140"/>
      <c r="E108" s="51"/>
      <c r="F108" s="139">
        <f t="shared" si="81"/>
        <v>1</v>
      </c>
      <c r="G108" s="49"/>
      <c r="H108" s="50"/>
      <c r="I108" s="122"/>
      <c r="J108" s="49"/>
      <c r="K108" s="50"/>
      <c r="L108" s="50"/>
      <c r="M108" s="90"/>
      <c r="N108" s="50"/>
      <c r="O108" s="50"/>
      <c r="P108" s="90"/>
      <c r="Q108" s="52">
        <f t="shared" si="47"/>
        <v>0</v>
      </c>
      <c r="R108" s="52">
        <f t="shared" si="48"/>
        <v>0</v>
      </c>
      <c r="S108" s="53">
        <f t="shared" si="49"/>
        <v>0</v>
      </c>
      <c r="T108" s="54">
        <f t="shared" si="50"/>
        <v>0</v>
      </c>
      <c r="U108" s="115">
        <f>SUM(Tableau1[[#This Row],[Vente confiserie]:[Vente boisson]])</f>
        <v>0</v>
      </c>
      <c r="V108" s="55"/>
      <c r="W108" s="55"/>
      <c r="X108" s="135">
        <f>SUM(Tableau1[[#This Row],[Vente lunette]:[Location lunette]])</f>
        <v>0</v>
      </c>
      <c r="Y108" s="55"/>
      <c r="Z108" s="55"/>
      <c r="AA108" s="55"/>
      <c r="AB108" s="55"/>
      <c r="AC108" s="56">
        <f t="shared" si="79"/>
        <v>0</v>
      </c>
      <c r="AD108" s="57"/>
      <c r="AE108" s="57"/>
      <c r="AF108" s="57"/>
      <c r="AG108" s="57"/>
      <c r="AH108" s="57"/>
      <c r="AI108" s="57"/>
      <c r="AJ108" s="118">
        <f>(Tableau1[[#This Row],[Recette guichet ]]*1.1275177)-Tableau1[[#This Row],[Recette guichet ]]</f>
        <v>0</v>
      </c>
      <c r="AK108" s="57"/>
      <c r="AL108" s="56">
        <f t="shared" si="80"/>
        <v>0</v>
      </c>
      <c r="AM108" s="58"/>
      <c r="AN108" s="58"/>
      <c r="AO108" s="58"/>
      <c r="AP108" s="115">
        <f t="shared" si="51"/>
        <v>0</v>
      </c>
      <c r="AQ108" s="69"/>
      <c r="AR108" s="69"/>
      <c r="AS108" s="69"/>
      <c r="AT108" s="69"/>
      <c r="AU108" s="59">
        <f t="shared" si="52"/>
        <v>0</v>
      </c>
      <c r="AV108" s="60">
        <f t="shared" si="53"/>
        <v>0</v>
      </c>
      <c r="AW108" s="58"/>
      <c r="AX108" s="58"/>
      <c r="AY108" s="58"/>
      <c r="AZ108" s="60">
        <f t="shared" si="42"/>
        <v>0</v>
      </c>
      <c r="BA108" s="58"/>
      <c r="BB108" s="58"/>
      <c r="BC108" s="58"/>
      <c r="BD108" s="60">
        <f>SUM(Tableau1[[#This Row],[ticket/carte/abonnement périmé]:[Autres ou non précisé 5]])</f>
        <v>0</v>
      </c>
      <c r="BE108" s="58"/>
      <c r="BF108" s="58"/>
      <c r="BG108" s="58"/>
      <c r="BH108" s="61">
        <f t="shared" si="54"/>
        <v>0</v>
      </c>
      <c r="BI108" s="120"/>
      <c r="BJ108" s="120"/>
      <c r="BK108" s="62">
        <f t="shared" si="55"/>
        <v>0</v>
      </c>
      <c r="BL108" s="120"/>
      <c r="BM108" s="120"/>
      <c r="BN108" s="120"/>
      <c r="BO108" s="120"/>
      <c r="BP108" s="120"/>
      <c r="BQ108" s="63"/>
      <c r="BR108" s="52">
        <f t="shared" si="56"/>
        <v>0</v>
      </c>
      <c r="BS108" s="52">
        <f t="shared" si="57"/>
        <v>0</v>
      </c>
      <c r="BT108" s="61">
        <f t="shared" si="58"/>
        <v>0</v>
      </c>
      <c r="BU108" s="64">
        <f t="shared" si="59"/>
        <v>0</v>
      </c>
      <c r="BV108" s="119">
        <f>SUM(Tableau1[[#This Row],[Achats confiserie]:[Achats boisson]])</f>
        <v>0</v>
      </c>
      <c r="BW108" s="58"/>
      <c r="BX108" s="69"/>
      <c r="BY108" s="58"/>
      <c r="BZ108" s="56">
        <f t="shared" si="60"/>
        <v>0</v>
      </c>
      <c r="CA108" s="66"/>
      <c r="CB108" s="66"/>
      <c r="CC108" s="56">
        <f t="shared" si="61"/>
        <v>0</v>
      </c>
      <c r="CD108" s="55"/>
      <c r="CE108" s="65"/>
      <c r="CF108" s="55"/>
      <c r="CG108" s="55"/>
      <c r="CH108" s="67">
        <f t="shared" si="62"/>
        <v>0</v>
      </c>
      <c r="CI108" s="68">
        <f t="shared" si="78"/>
        <v>0</v>
      </c>
      <c r="CJ108" s="55"/>
      <c r="CK108" s="55"/>
      <c r="CL108" s="55"/>
      <c r="CM108" s="55"/>
      <c r="CN108" s="55"/>
      <c r="CO108" s="68">
        <f t="shared" si="63"/>
        <v>0</v>
      </c>
      <c r="CP108" s="75">
        <f>SUM(Tableau1[[#This Row],[Fourniture eau]:[Energie (non précisé)]])</f>
        <v>0</v>
      </c>
      <c r="CQ108" s="55"/>
      <c r="CR108" s="55"/>
      <c r="CS108" s="55"/>
      <c r="CT108" s="55"/>
      <c r="CU108" s="55"/>
      <c r="CV108" s="55">
        <v>0</v>
      </c>
      <c r="CW108" s="55"/>
      <c r="CX108" s="68">
        <f>SUM(Tableau1[[#This Row],[Sous-traitance]:[Autres ou non précisé 12]])</f>
        <v>0</v>
      </c>
      <c r="CY108" s="65"/>
      <c r="CZ108" s="65"/>
      <c r="DA108" s="65"/>
      <c r="DB108" s="65"/>
      <c r="DC108" s="55"/>
      <c r="DD108" s="68">
        <f t="shared" si="43"/>
        <v>0</v>
      </c>
      <c r="DE108" s="55"/>
      <c r="DF108" s="65"/>
      <c r="DG108" s="65"/>
      <c r="DH108" s="65"/>
      <c r="DI108" s="68">
        <f>SUM(Tableau1[[#This Row],[Entretien et réparation matériel de projection]:[Autres ou non précisé 14]])</f>
        <v>0</v>
      </c>
      <c r="DJ108" s="58"/>
      <c r="DK108" s="58"/>
      <c r="DL108" s="69"/>
      <c r="DM108" s="68">
        <f t="shared" si="64"/>
        <v>0</v>
      </c>
      <c r="DN108" s="58"/>
      <c r="DO108" s="58"/>
      <c r="DP108" s="68">
        <f t="shared" si="65"/>
        <v>0</v>
      </c>
      <c r="DQ108" s="65"/>
      <c r="DR108" s="65"/>
      <c r="DS108" s="68">
        <f t="shared" si="66"/>
        <v>0</v>
      </c>
      <c r="DT108" s="65"/>
      <c r="DU108" s="65"/>
      <c r="DV108" s="65"/>
      <c r="DW108" s="68">
        <f>SUM(Tableau1[[#This Row],[Comission et courtage sur achats]:[Autres ou honoraires
 non précisé ]])</f>
        <v>0</v>
      </c>
      <c r="DX108" s="57"/>
      <c r="DY108" s="57"/>
      <c r="DZ108" s="65"/>
      <c r="EA108" s="65"/>
      <c r="EB108" s="65"/>
      <c r="EC108" s="68">
        <f t="shared" si="67"/>
        <v>0</v>
      </c>
      <c r="ED108" s="69"/>
      <c r="EE108" s="69"/>
      <c r="EF108" s="69"/>
      <c r="EG108" s="69"/>
      <c r="EH108" s="69"/>
      <c r="EI108" s="84">
        <f>SUM(Tableau1[[#This Row],[Transports sur films]:[autres ]])</f>
        <v>0</v>
      </c>
      <c r="EJ108" s="132">
        <v>0</v>
      </c>
      <c r="EK108" s="132"/>
      <c r="EL108" s="68">
        <f t="shared" si="68"/>
        <v>0</v>
      </c>
      <c r="EM108" s="65"/>
      <c r="EN108" s="65">
        <v>0</v>
      </c>
      <c r="EO108" s="65"/>
      <c r="EP108" s="65"/>
      <c r="EQ108" s="65"/>
      <c r="ER108" s="65"/>
      <c r="ES108" s="65"/>
      <c r="ET108" s="68">
        <f t="shared" si="69"/>
        <v>0</v>
      </c>
      <c r="EU108" s="65"/>
      <c r="EV108" s="65"/>
      <c r="EW108" s="65"/>
      <c r="EX108" s="65"/>
      <c r="EY108" s="65"/>
      <c r="EZ108" s="68">
        <f t="shared" si="46"/>
        <v>0</v>
      </c>
      <c r="FA108" s="65"/>
      <c r="FB108" s="65"/>
      <c r="FC108" s="70">
        <f t="shared" si="44"/>
        <v>0</v>
      </c>
      <c r="FD108" s="65"/>
      <c r="FE108" s="71">
        <f t="shared" si="70"/>
        <v>0</v>
      </c>
      <c r="FF108" s="72">
        <f t="shared" si="71"/>
        <v>0</v>
      </c>
      <c r="FG108" s="65"/>
      <c r="FH108" s="65"/>
      <c r="FI108" s="65"/>
      <c r="FJ108" s="56">
        <f t="shared" si="72"/>
        <v>0</v>
      </c>
      <c r="FK108" s="65"/>
      <c r="FL108" s="65"/>
      <c r="FM108" s="65"/>
      <c r="FN108" s="65"/>
      <c r="FO108" s="67">
        <f t="shared" si="73"/>
        <v>0</v>
      </c>
      <c r="FP108" s="57"/>
      <c r="FQ108" s="73"/>
      <c r="FR108" s="73"/>
      <c r="FS108" s="71">
        <f t="shared" si="74"/>
        <v>0</v>
      </c>
      <c r="FT108" s="91"/>
      <c r="FU108" s="91"/>
      <c r="FV108" s="67">
        <f>SUM(Tableau1[[#This Row],[Droits d''auteurs SACEM + cotisations SACEM]:[Autres ou non préciés]])</f>
        <v>0</v>
      </c>
      <c r="FW108" s="75">
        <f t="shared" si="75"/>
        <v>0</v>
      </c>
      <c r="FX108" s="74">
        <v>0</v>
      </c>
      <c r="FY108" s="74"/>
      <c r="FZ108" s="74"/>
      <c r="GA108" s="74"/>
      <c r="GB108" s="71">
        <f t="shared" si="76"/>
        <v>0</v>
      </c>
      <c r="GC108" s="92"/>
      <c r="GD108" s="92"/>
      <c r="GE108" s="67">
        <f t="shared" si="77"/>
        <v>0</v>
      </c>
      <c r="GF108" s="66"/>
      <c r="GG108" s="66"/>
      <c r="GH108" s="66"/>
      <c r="GI108" s="66"/>
      <c r="GJ108" s="77"/>
    </row>
    <row r="109" spans="1:192" ht="18.600000000000001" customHeight="1" x14ac:dyDescent="0.25">
      <c r="A109" s="89"/>
      <c r="B109" s="17"/>
      <c r="C109" s="50"/>
      <c r="D109" s="140"/>
      <c r="E109" s="51"/>
      <c r="F109" s="139">
        <f t="shared" si="81"/>
        <v>1</v>
      </c>
      <c r="G109" s="49"/>
      <c r="H109" s="50"/>
      <c r="I109" s="122"/>
      <c r="J109" s="49"/>
      <c r="K109" s="50"/>
      <c r="L109" s="50"/>
      <c r="M109" s="90"/>
      <c r="N109" s="50"/>
      <c r="O109" s="50"/>
      <c r="P109" s="90"/>
      <c r="Q109" s="52">
        <f t="shared" si="47"/>
        <v>0</v>
      </c>
      <c r="R109" s="52">
        <f t="shared" si="48"/>
        <v>0</v>
      </c>
      <c r="S109" s="53">
        <f t="shared" si="49"/>
        <v>0</v>
      </c>
      <c r="T109" s="54">
        <f t="shared" si="50"/>
        <v>0</v>
      </c>
      <c r="U109" s="115">
        <f>SUM(Tableau1[[#This Row],[Vente confiserie]:[Vente boisson]])</f>
        <v>0</v>
      </c>
      <c r="V109" s="55"/>
      <c r="W109" s="55"/>
      <c r="X109" s="135">
        <f>SUM(Tableau1[[#This Row],[Vente lunette]:[Location lunette]])</f>
        <v>0</v>
      </c>
      <c r="Y109" s="55"/>
      <c r="Z109" s="55"/>
      <c r="AA109" s="55"/>
      <c r="AB109" s="55"/>
      <c r="AC109" s="56">
        <f t="shared" si="79"/>
        <v>0</v>
      </c>
      <c r="AD109" s="57"/>
      <c r="AE109" s="57"/>
      <c r="AF109" s="57"/>
      <c r="AG109" s="57"/>
      <c r="AH109" s="57"/>
      <c r="AI109" s="57"/>
      <c r="AJ109" s="118">
        <f>(Tableau1[[#This Row],[Recette guichet ]]*1.1275177)-Tableau1[[#This Row],[Recette guichet ]]</f>
        <v>0</v>
      </c>
      <c r="AK109" s="57"/>
      <c r="AL109" s="56">
        <f t="shared" si="80"/>
        <v>0</v>
      </c>
      <c r="AM109" s="58"/>
      <c r="AN109" s="58"/>
      <c r="AO109" s="58"/>
      <c r="AP109" s="115">
        <f t="shared" si="51"/>
        <v>0</v>
      </c>
      <c r="AQ109" s="69"/>
      <c r="AR109" s="69"/>
      <c r="AS109" s="69"/>
      <c r="AT109" s="69"/>
      <c r="AU109" s="59">
        <f t="shared" si="52"/>
        <v>0</v>
      </c>
      <c r="AV109" s="60">
        <f t="shared" si="53"/>
        <v>0</v>
      </c>
      <c r="AW109" s="58"/>
      <c r="AX109" s="58"/>
      <c r="AY109" s="58"/>
      <c r="AZ109" s="60">
        <f t="shared" si="42"/>
        <v>0</v>
      </c>
      <c r="BA109" s="58"/>
      <c r="BB109" s="58"/>
      <c r="BC109" s="58"/>
      <c r="BD109" s="60">
        <f>SUM(Tableau1[[#This Row],[ticket/carte/abonnement périmé]:[Autres ou non précisé 5]])</f>
        <v>0</v>
      </c>
      <c r="BE109" s="58"/>
      <c r="BF109" s="58"/>
      <c r="BG109" s="58"/>
      <c r="BH109" s="61">
        <f t="shared" si="54"/>
        <v>0</v>
      </c>
      <c r="BI109" s="120"/>
      <c r="BJ109" s="120"/>
      <c r="BK109" s="62">
        <f t="shared" si="55"/>
        <v>0</v>
      </c>
      <c r="BL109" s="120"/>
      <c r="BM109" s="120"/>
      <c r="BN109" s="120"/>
      <c r="BO109" s="120"/>
      <c r="BP109" s="120"/>
      <c r="BQ109" s="63"/>
      <c r="BR109" s="52">
        <f t="shared" si="56"/>
        <v>0</v>
      </c>
      <c r="BS109" s="52">
        <f t="shared" si="57"/>
        <v>0</v>
      </c>
      <c r="BT109" s="61">
        <f t="shared" si="58"/>
        <v>0</v>
      </c>
      <c r="BU109" s="64">
        <f t="shared" si="59"/>
        <v>0</v>
      </c>
      <c r="BV109" s="119">
        <f>SUM(Tableau1[[#This Row],[Achats confiserie]:[Achats boisson]])</f>
        <v>0</v>
      </c>
      <c r="BW109" s="58"/>
      <c r="BX109" s="69"/>
      <c r="BY109" s="58"/>
      <c r="BZ109" s="56">
        <f t="shared" si="60"/>
        <v>0</v>
      </c>
      <c r="CA109" s="66"/>
      <c r="CB109" s="66"/>
      <c r="CC109" s="56">
        <f t="shared" si="61"/>
        <v>0</v>
      </c>
      <c r="CD109" s="55"/>
      <c r="CE109" s="65"/>
      <c r="CF109" s="55"/>
      <c r="CG109" s="55"/>
      <c r="CH109" s="67">
        <f t="shared" si="62"/>
        <v>0</v>
      </c>
      <c r="CI109" s="68">
        <f t="shared" si="78"/>
        <v>0</v>
      </c>
      <c r="CJ109" s="55"/>
      <c r="CK109" s="55"/>
      <c r="CL109" s="55"/>
      <c r="CM109" s="55"/>
      <c r="CN109" s="55"/>
      <c r="CO109" s="68">
        <f t="shared" si="63"/>
        <v>0</v>
      </c>
      <c r="CP109" s="75">
        <f>SUM(Tableau1[[#This Row],[Fourniture eau]:[Energie (non précisé)]])</f>
        <v>0</v>
      </c>
      <c r="CQ109" s="55"/>
      <c r="CR109" s="55"/>
      <c r="CS109" s="55"/>
      <c r="CT109" s="55"/>
      <c r="CU109" s="55"/>
      <c r="CV109" s="55">
        <v>0</v>
      </c>
      <c r="CW109" s="55"/>
      <c r="CX109" s="68">
        <f>SUM(Tableau1[[#This Row],[Sous-traitance]:[Autres ou non précisé 12]])</f>
        <v>0</v>
      </c>
      <c r="CY109" s="65"/>
      <c r="CZ109" s="65"/>
      <c r="DA109" s="65"/>
      <c r="DB109" s="65"/>
      <c r="DC109" s="55"/>
      <c r="DD109" s="68">
        <f t="shared" si="43"/>
        <v>0</v>
      </c>
      <c r="DE109" s="55"/>
      <c r="DF109" s="65"/>
      <c r="DG109" s="65"/>
      <c r="DH109" s="65"/>
      <c r="DI109" s="68">
        <f>SUM(Tableau1[[#This Row],[Entretien et réparation matériel de projection]:[Autres ou non précisé 14]])</f>
        <v>0</v>
      </c>
      <c r="DJ109" s="58"/>
      <c r="DK109" s="58"/>
      <c r="DL109" s="69"/>
      <c r="DM109" s="68">
        <f t="shared" si="64"/>
        <v>0</v>
      </c>
      <c r="DN109" s="58"/>
      <c r="DO109" s="58"/>
      <c r="DP109" s="68">
        <f t="shared" si="65"/>
        <v>0</v>
      </c>
      <c r="DQ109" s="65"/>
      <c r="DR109" s="65"/>
      <c r="DS109" s="68">
        <f t="shared" si="66"/>
        <v>0</v>
      </c>
      <c r="DT109" s="65"/>
      <c r="DU109" s="65"/>
      <c r="DV109" s="65"/>
      <c r="DW109" s="68">
        <f>SUM(Tableau1[[#This Row],[Comission et courtage sur achats]:[Autres ou honoraires
 non précisé ]])</f>
        <v>0</v>
      </c>
      <c r="DX109" s="57"/>
      <c r="DY109" s="57"/>
      <c r="DZ109" s="65"/>
      <c r="EA109" s="65"/>
      <c r="EB109" s="65"/>
      <c r="EC109" s="68">
        <f t="shared" si="67"/>
        <v>0</v>
      </c>
      <c r="ED109" s="69"/>
      <c r="EE109" s="69"/>
      <c r="EF109" s="69"/>
      <c r="EG109" s="69"/>
      <c r="EH109" s="69"/>
      <c r="EI109" s="84">
        <f>SUM(Tableau1[[#This Row],[Transports sur films]:[autres ]])</f>
        <v>0</v>
      </c>
      <c r="EJ109" s="132">
        <v>0</v>
      </c>
      <c r="EK109" s="132"/>
      <c r="EL109" s="68">
        <f t="shared" si="68"/>
        <v>0</v>
      </c>
      <c r="EM109" s="65"/>
      <c r="EN109" s="65">
        <v>0</v>
      </c>
      <c r="EO109" s="65"/>
      <c r="EP109" s="65"/>
      <c r="EQ109" s="65"/>
      <c r="ER109" s="65"/>
      <c r="ES109" s="65"/>
      <c r="ET109" s="68">
        <f t="shared" si="69"/>
        <v>0</v>
      </c>
      <c r="EU109" s="65"/>
      <c r="EV109" s="65"/>
      <c r="EW109" s="65"/>
      <c r="EX109" s="65"/>
      <c r="EY109" s="65"/>
      <c r="EZ109" s="68">
        <f t="shared" si="46"/>
        <v>0</v>
      </c>
      <c r="FA109" s="65"/>
      <c r="FB109" s="65"/>
      <c r="FC109" s="70">
        <f t="shared" si="44"/>
        <v>0</v>
      </c>
      <c r="FD109" s="65"/>
      <c r="FE109" s="71">
        <f t="shared" si="70"/>
        <v>0</v>
      </c>
      <c r="FF109" s="72">
        <f t="shared" si="71"/>
        <v>0</v>
      </c>
      <c r="FG109" s="65"/>
      <c r="FH109" s="65"/>
      <c r="FI109" s="65"/>
      <c r="FJ109" s="56">
        <f t="shared" si="72"/>
        <v>0</v>
      </c>
      <c r="FK109" s="65"/>
      <c r="FL109" s="65"/>
      <c r="FM109" s="65"/>
      <c r="FN109" s="65"/>
      <c r="FO109" s="67">
        <f t="shared" si="73"/>
        <v>0</v>
      </c>
      <c r="FP109" s="57"/>
      <c r="FQ109" s="73"/>
      <c r="FR109" s="73"/>
      <c r="FS109" s="71">
        <f t="shared" si="74"/>
        <v>0</v>
      </c>
      <c r="FT109" s="91"/>
      <c r="FU109" s="91"/>
      <c r="FV109" s="67">
        <f>SUM(Tableau1[[#This Row],[Droits d''auteurs SACEM + cotisations SACEM]:[Autres ou non préciés]])</f>
        <v>0</v>
      </c>
      <c r="FW109" s="75">
        <f t="shared" si="75"/>
        <v>0</v>
      </c>
      <c r="FX109" s="74">
        <v>0</v>
      </c>
      <c r="FY109" s="74"/>
      <c r="FZ109" s="74"/>
      <c r="GA109" s="74"/>
      <c r="GB109" s="71">
        <f t="shared" si="76"/>
        <v>0</v>
      </c>
      <c r="GC109" s="92"/>
      <c r="GD109" s="92"/>
      <c r="GE109" s="67">
        <f t="shared" si="77"/>
        <v>0</v>
      </c>
      <c r="GF109" s="66"/>
      <c r="GG109" s="66"/>
      <c r="GH109" s="66"/>
      <c r="GI109" s="66"/>
      <c r="GJ109" s="77"/>
    </row>
    <row r="110" spans="1:192" ht="18.600000000000001" customHeight="1" x14ac:dyDescent="0.25">
      <c r="A110" s="89"/>
      <c r="B110" s="17"/>
      <c r="C110" s="50"/>
      <c r="D110" s="140"/>
      <c r="E110" s="51"/>
      <c r="F110" s="139">
        <f t="shared" si="81"/>
        <v>1</v>
      </c>
      <c r="G110" s="49"/>
      <c r="H110" s="50"/>
      <c r="I110" s="122"/>
      <c r="J110" s="49"/>
      <c r="K110" s="50"/>
      <c r="L110" s="50"/>
      <c r="M110" s="90"/>
      <c r="N110" s="50"/>
      <c r="O110" s="50"/>
      <c r="P110" s="90"/>
      <c r="Q110" s="52">
        <f t="shared" si="47"/>
        <v>0</v>
      </c>
      <c r="R110" s="52">
        <f t="shared" si="48"/>
        <v>0</v>
      </c>
      <c r="S110" s="53">
        <f t="shared" si="49"/>
        <v>0</v>
      </c>
      <c r="T110" s="54">
        <f t="shared" si="50"/>
        <v>0</v>
      </c>
      <c r="U110" s="115">
        <f>SUM(Tableau1[[#This Row],[Vente confiserie]:[Vente boisson]])</f>
        <v>0</v>
      </c>
      <c r="V110" s="55"/>
      <c r="W110" s="55"/>
      <c r="X110" s="135">
        <f>SUM(Tableau1[[#This Row],[Vente lunette]:[Location lunette]])</f>
        <v>0</v>
      </c>
      <c r="Y110" s="55"/>
      <c r="Z110" s="55"/>
      <c r="AA110" s="55"/>
      <c r="AB110" s="55"/>
      <c r="AC110" s="56">
        <f t="shared" si="79"/>
        <v>0</v>
      </c>
      <c r="AD110" s="57"/>
      <c r="AE110" s="57"/>
      <c r="AF110" s="57"/>
      <c r="AG110" s="57"/>
      <c r="AH110" s="57"/>
      <c r="AI110" s="57"/>
      <c r="AJ110" s="118">
        <f>(Tableau1[[#This Row],[Recette guichet ]]*1.1275177)-Tableau1[[#This Row],[Recette guichet ]]</f>
        <v>0</v>
      </c>
      <c r="AK110" s="57"/>
      <c r="AL110" s="56">
        <f t="shared" si="80"/>
        <v>0</v>
      </c>
      <c r="AM110" s="58"/>
      <c r="AN110" s="58"/>
      <c r="AO110" s="58"/>
      <c r="AP110" s="115">
        <f t="shared" si="51"/>
        <v>0</v>
      </c>
      <c r="AQ110" s="69"/>
      <c r="AR110" s="69"/>
      <c r="AS110" s="69"/>
      <c r="AT110" s="69"/>
      <c r="AU110" s="59">
        <f t="shared" si="52"/>
        <v>0</v>
      </c>
      <c r="AV110" s="60">
        <f t="shared" si="53"/>
        <v>0</v>
      </c>
      <c r="AW110" s="58"/>
      <c r="AX110" s="58"/>
      <c r="AY110" s="58"/>
      <c r="AZ110" s="60">
        <f t="shared" si="42"/>
        <v>0</v>
      </c>
      <c r="BA110" s="58"/>
      <c r="BB110" s="58"/>
      <c r="BC110" s="58"/>
      <c r="BD110" s="60">
        <f>SUM(Tableau1[[#This Row],[ticket/carte/abonnement périmé]:[Autres ou non précisé 5]])</f>
        <v>0</v>
      </c>
      <c r="BE110" s="58"/>
      <c r="BF110" s="58"/>
      <c r="BG110" s="58"/>
      <c r="BH110" s="61">
        <f t="shared" si="54"/>
        <v>0</v>
      </c>
      <c r="BI110" s="120"/>
      <c r="BJ110" s="120"/>
      <c r="BK110" s="62">
        <f t="shared" si="55"/>
        <v>0</v>
      </c>
      <c r="BL110" s="120"/>
      <c r="BM110" s="120"/>
      <c r="BN110" s="120"/>
      <c r="BO110" s="120"/>
      <c r="BP110" s="120"/>
      <c r="BQ110" s="63"/>
      <c r="BR110" s="52">
        <f t="shared" si="56"/>
        <v>0</v>
      </c>
      <c r="BS110" s="52">
        <f t="shared" si="57"/>
        <v>0</v>
      </c>
      <c r="BT110" s="61">
        <f t="shared" si="58"/>
        <v>0</v>
      </c>
      <c r="BU110" s="64">
        <f t="shared" si="59"/>
        <v>0</v>
      </c>
      <c r="BV110" s="119">
        <f>SUM(Tableau1[[#This Row],[Achats confiserie]:[Achats boisson]])</f>
        <v>0</v>
      </c>
      <c r="BW110" s="58"/>
      <c r="BX110" s="69"/>
      <c r="BY110" s="58"/>
      <c r="BZ110" s="56">
        <f t="shared" si="60"/>
        <v>0</v>
      </c>
      <c r="CA110" s="66"/>
      <c r="CB110" s="66"/>
      <c r="CC110" s="56">
        <f t="shared" si="61"/>
        <v>0</v>
      </c>
      <c r="CD110" s="55"/>
      <c r="CE110" s="65"/>
      <c r="CF110" s="55"/>
      <c r="CG110" s="55"/>
      <c r="CH110" s="67">
        <f t="shared" si="62"/>
        <v>0</v>
      </c>
      <c r="CI110" s="68">
        <f t="shared" si="78"/>
        <v>0</v>
      </c>
      <c r="CJ110" s="55"/>
      <c r="CK110" s="55"/>
      <c r="CL110" s="55"/>
      <c r="CM110" s="55"/>
      <c r="CN110" s="55"/>
      <c r="CO110" s="68">
        <f t="shared" si="63"/>
        <v>0</v>
      </c>
      <c r="CP110" s="75">
        <f>SUM(Tableau1[[#This Row],[Fourniture eau]:[Energie (non précisé)]])</f>
        <v>0</v>
      </c>
      <c r="CQ110" s="55"/>
      <c r="CR110" s="55"/>
      <c r="CS110" s="55"/>
      <c r="CT110" s="55"/>
      <c r="CU110" s="55"/>
      <c r="CV110" s="55">
        <v>0</v>
      </c>
      <c r="CW110" s="55"/>
      <c r="CX110" s="68">
        <f>SUM(Tableau1[[#This Row],[Sous-traitance]:[Autres ou non précisé 12]])</f>
        <v>0</v>
      </c>
      <c r="CY110" s="65"/>
      <c r="CZ110" s="65"/>
      <c r="DA110" s="65"/>
      <c r="DB110" s="65"/>
      <c r="DC110" s="55"/>
      <c r="DD110" s="68">
        <f t="shared" si="43"/>
        <v>0</v>
      </c>
      <c r="DE110" s="55"/>
      <c r="DF110" s="65"/>
      <c r="DG110" s="65"/>
      <c r="DH110" s="65"/>
      <c r="DI110" s="68">
        <f>SUM(Tableau1[[#This Row],[Entretien et réparation matériel de projection]:[Autres ou non précisé 14]])</f>
        <v>0</v>
      </c>
      <c r="DJ110" s="58"/>
      <c r="DK110" s="58"/>
      <c r="DL110" s="69"/>
      <c r="DM110" s="68">
        <f t="shared" si="64"/>
        <v>0</v>
      </c>
      <c r="DN110" s="58"/>
      <c r="DO110" s="58"/>
      <c r="DP110" s="68">
        <f t="shared" si="65"/>
        <v>0</v>
      </c>
      <c r="DQ110" s="65"/>
      <c r="DR110" s="65"/>
      <c r="DS110" s="68">
        <f t="shared" si="66"/>
        <v>0</v>
      </c>
      <c r="DT110" s="65"/>
      <c r="DU110" s="65"/>
      <c r="DV110" s="65"/>
      <c r="DW110" s="68">
        <f>SUM(Tableau1[[#This Row],[Comission et courtage sur achats]:[Autres ou honoraires
 non précisé ]])</f>
        <v>0</v>
      </c>
      <c r="DX110" s="57"/>
      <c r="DY110" s="57"/>
      <c r="DZ110" s="65"/>
      <c r="EA110" s="65"/>
      <c r="EB110" s="65"/>
      <c r="EC110" s="68">
        <f t="shared" si="67"/>
        <v>0</v>
      </c>
      <c r="ED110" s="69"/>
      <c r="EE110" s="69"/>
      <c r="EF110" s="69"/>
      <c r="EG110" s="69"/>
      <c r="EH110" s="69"/>
      <c r="EI110" s="84">
        <f>SUM(Tableau1[[#This Row],[Transports sur films]:[autres ]])</f>
        <v>0</v>
      </c>
      <c r="EJ110" s="132">
        <v>0</v>
      </c>
      <c r="EK110" s="132"/>
      <c r="EL110" s="68">
        <f t="shared" si="68"/>
        <v>0</v>
      </c>
      <c r="EM110" s="65"/>
      <c r="EN110" s="65">
        <v>0</v>
      </c>
      <c r="EO110" s="65"/>
      <c r="EP110" s="65"/>
      <c r="EQ110" s="65"/>
      <c r="ER110" s="65"/>
      <c r="ES110" s="65"/>
      <c r="ET110" s="68">
        <f t="shared" si="69"/>
        <v>0</v>
      </c>
      <c r="EU110" s="65"/>
      <c r="EV110" s="65"/>
      <c r="EW110" s="65"/>
      <c r="EX110" s="65"/>
      <c r="EY110" s="65"/>
      <c r="EZ110" s="68">
        <f t="shared" si="46"/>
        <v>0</v>
      </c>
      <c r="FA110" s="65"/>
      <c r="FB110" s="65"/>
      <c r="FC110" s="70">
        <f t="shared" si="44"/>
        <v>0</v>
      </c>
      <c r="FD110" s="65"/>
      <c r="FE110" s="71">
        <f t="shared" si="70"/>
        <v>0</v>
      </c>
      <c r="FF110" s="72">
        <f t="shared" si="71"/>
        <v>0</v>
      </c>
      <c r="FG110" s="65"/>
      <c r="FH110" s="65"/>
      <c r="FI110" s="65"/>
      <c r="FJ110" s="56">
        <f t="shared" si="72"/>
        <v>0</v>
      </c>
      <c r="FK110" s="65"/>
      <c r="FL110" s="65"/>
      <c r="FM110" s="65"/>
      <c r="FN110" s="65"/>
      <c r="FO110" s="67">
        <f t="shared" si="73"/>
        <v>0</v>
      </c>
      <c r="FP110" s="57"/>
      <c r="FQ110" s="73"/>
      <c r="FR110" s="73"/>
      <c r="FS110" s="71">
        <f t="shared" si="74"/>
        <v>0</v>
      </c>
      <c r="FT110" s="91"/>
      <c r="FU110" s="91"/>
      <c r="FV110" s="67">
        <f>SUM(Tableau1[[#This Row],[Droits d''auteurs SACEM + cotisations SACEM]:[Autres ou non préciés]])</f>
        <v>0</v>
      </c>
      <c r="FW110" s="75">
        <f t="shared" si="75"/>
        <v>0</v>
      </c>
      <c r="FX110" s="74">
        <v>0</v>
      </c>
      <c r="FY110" s="74"/>
      <c r="FZ110" s="74"/>
      <c r="GA110" s="74"/>
      <c r="GB110" s="71">
        <f t="shared" si="76"/>
        <v>0</v>
      </c>
      <c r="GC110" s="92"/>
      <c r="GD110" s="92"/>
      <c r="GE110" s="67">
        <f t="shared" si="77"/>
        <v>0</v>
      </c>
      <c r="GF110" s="66"/>
      <c r="GG110" s="66"/>
      <c r="GH110" s="66"/>
      <c r="GI110" s="66"/>
      <c r="GJ110" s="77"/>
    </row>
    <row r="111" spans="1:192" ht="18.600000000000001" customHeight="1" x14ac:dyDescent="0.25">
      <c r="A111" s="89"/>
      <c r="B111" s="17"/>
      <c r="C111" s="50"/>
      <c r="D111" s="140"/>
      <c r="E111" s="51"/>
      <c r="F111" s="139">
        <f t="shared" si="81"/>
        <v>1</v>
      </c>
      <c r="G111" s="49"/>
      <c r="H111" s="50"/>
      <c r="I111" s="122"/>
      <c r="J111" s="49"/>
      <c r="K111" s="50"/>
      <c r="L111" s="50"/>
      <c r="M111" s="90"/>
      <c r="N111" s="50"/>
      <c r="O111" s="50"/>
      <c r="P111" s="90"/>
      <c r="Q111" s="52">
        <f t="shared" si="47"/>
        <v>0</v>
      </c>
      <c r="R111" s="52">
        <f t="shared" si="48"/>
        <v>0</v>
      </c>
      <c r="S111" s="53">
        <f t="shared" si="49"/>
        <v>0</v>
      </c>
      <c r="T111" s="54">
        <f t="shared" si="50"/>
        <v>0</v>
      </c>
      <c r="U111" s="115">
        <f>SUM(Tableau1[[#This Row],[Vente confiserie]:[Vente boisson]])</f>
        <v>0</v>
      </c>
      <c r="V111" s="55"/>
      <c r="W111" s="55"/>
      <c r="X111" s="135">
        <f>SUM(Tableau1[[#This Row],[Vente lunette]:[Location lunette]])</f>
        <v>0</v>
      </c>
      <c r="Y111" s="55"/>
      <c r="Z111" s="55"/>
      <c r="AA111" s="55"/>
      <c r="AB111" s="55"/>
      <c r="AC111" s="56">
        <f t="shared" si="79"/>
        <v>0</v>
      </c>
      <c r="AD111" s="57"/>
      <c r="AE111" s="57"/>
      <c r="AF111" s="57"/>
      <c r="AG111" s="57"/>
      <c r="AH111" s="57"/>
      <c r="AI111" s="57"/>
      <c r="AJ111" s="118">
        <f>(Tableau1[[#This Row],[Recette guichet ]]*1.1275177)-Tableau1[[#This Row],[Recette guichet ]]</f>
        <v>0</v>
      </c>
      <c r="AK111" s="57"/>
      <c r="AL111" s="56">
        <f t="shared" si="80"/>
        <v>0</v>
      </c>
      <c r="AM111" s="58"/>
      <c r="AN111" s="58"/>
      <c r="AO111" s="58"/>
      <c r="AP111" s="115">
        <f t="shared" si="51"/>
        <v>0</v>
      </c>
      <c r="AQ111" s="69"/>
      <c r="AR111" s="69"/>
      <c r="AS111" s="69"/>
      <c r="AT111" s="69"/>
      <c r="AU111" s="59">
        <f t="shared" si="52"/>
        <v>0</v>
      </c>
      <c r="AV111" s="60">
        <f t="shared" si="53"/>
        <v>0</v>
      </c>
      <c r="AW111" s="58"/>
      <c r="AX111" s="58"/>
      <c r="AY111" s="58"/>
      <c r="AZ111" s="60">
        <f t="shared" si="42"/>
        <v>0</v>
      </c>
      <c r="BA111" s="58"/>
      <c r="BB111" s="58"/>
      <c r="BC111" s="58"/>
      <c r="BD111" s="60">
        <f>SUM(Tableau1[[#This Row],[ticket/carte/abonnement périmé]:[Autres ou non précisé 5]])</f>
        <v>0</v>
      </c>
      <c r="BE111" s="58"/>
      <c r="BF111" s="58"/>
      <c r="BG111" s="58"/>
      <c r="BH111" s="61">
        <f t="shared" si="54"/>
        <v>0</v>
      </c>
      <c r="BI111" s="120"/>
      <c r="BJ111" s="120"/>
      <c r="BK111" s="62">
        <f t="shared" si="55"/>
        <v>0</v>
      </c>
      <c r="BL111" s="120"/>
      <c r="BM111" s="120"/>
      <c r="BN111" s="120"/>
      <c r="BO111" s="120"/>
      <c r="BP111" s="120"/>
      <c r="BQ111" s="63"/>
      <c r="BR111" s="52">
        <f t="shared" si="56"/>
        <v>0</v>
      </c>
      <c r="BS111" s="52">
        <f t="shared" si="57"/>
        <v>0</v>
      </c>
      <c r="BT111" s="61">
        <f t="shared" si="58"/>
        <v>0</v>
      </c>
      <c r="BU111" s="64">
        <f t="shared" si="59"/>
        <v>0</v>
      </c>
      <c r="BV111" s="119">
        <f>SUM(Tableau1[[#This Row],[Achats confiserie]:[Achats boisson]])</f>
        <v>0</v>
      </c>
      <c r="BW111" s="58"/>
      <c r="BX111" s="69"/>
      <c r="BY111" s="58"/>
      <c r="BZ111" s="56">
        <f t="shared" si="60"/>
        <v>0</v>
      </c>
      <c r="CA111" s="66"/>
      <c r="CB111" s="66"/>
      <c r="CC111" s="56">
        <f t="shared" si="61"/>
        <v>0</v>
      </c>
      <c r="CD111" s="55"/>
      <c r="CE111" s="65"/>
      <c r="CF111" s="55"/>
      <c r="CG111" s="55"/>
      <c r="CH111" s="67">
        <f t="shared" si="62"/>
        <v>0</v>
      </c>
      <c r="CI111" s="68">
        <f t="shared" si="78"/>
        <v>0</v>
      </c>
      <c r="CJ111" s="55"/>
      <c r="CK111" s="55"/>
      <c r="CL111" s="55"/>
      <c r="CM111" s="55"/>
      <c r="CN111" s="55"/>
      <c r="CO111" s="68">
        <f t="shared" si="63"/>
        <v>0</v>
      </c>
      <c r="CP111" s="75">
        <f>SUM(Tableau1[[#This Row],[Fourniture eau]:[Energie (non précisé)]])</f>
        <v>0</v>
      </c>
      <c r="CQ111" s="55"/>
      <c r="CR111" s="55"/>
      <c r="CS111" s="55"/>
      <c r="CT111" s="55"/>
      <c r="CU111" s="55"/>
      <c r="CV111" s="55">
        <v>0</v>
      </c>
      <c r="CW111" s="55"/>
      <c r="CX111" s="68">
        <f>SUM(Tableau1[[#This Row],[Sous-traitance]:[Autres ou non précisé 12]])</f>
        <v>0</v>
      </c>
      <c r="CY111" s="65"/>
      <c r="CZ111" s="65"/>
      <c r="DA111" s="65"/>
      <c r="DB111" s="65"/>
      <c r="DC111" s="55"/>
      <c r="DD111" s="68">
        <f t="shared" si="43"/>
        <v>0</v>
      </c>
      <c r="DE111" s="55"/>
      <c r="DF111" s="65"/>
      <c r="DG111" s="65"/>
      <c r="DH111" s="65"/>
      <c r="DI111" s="68">
        <f>SUM(Tableau1[[#This Row],[Entretien et réparation matériel de projection]:[Autres ou non précisé 14]])</f>
        <v>0</v>
      </c>
      <c r="DJ111" s="58"/>
      <c r="DK111" s="58"/>
      <c r="DL111" s="69"/>
      <c r="DM111" s="68">
        <f t="shared" si="64"/>
        <v>0</v>
      </c>
      <c r="DN111" s="58"/>
      <c r="DO111" s="58"/>
      <c r="DP111" s="68">
        <f t="shared" si="65"/>
        <v>0</v>
      </c>
      <c r="DQ111" s="65"/>
      <c r="DR111" s="65"/>
      <c r="DS111" s="68">
        <f t="shared" si="66"/>
        <v>0</v>
      </c>
      <c r="DT111" s="65"/>
      <c r="DU111" s="65"/>
      <c r="DV111" s="65"/>
      <c r="DW111" s="68">
        <f>SUM(Tableau1[[#This Row],[Comission et courtage sur achats]:[Autres ou honoraires
 non précisé ]])</f>
        <v>0</v>
      </c>
      <c r="DX111" s="57"/>
      <c r="DY111" s="57"/>
      <c r="DZ111" s="65"/>
      <c r="EA111" s="65"/>
      <c r="EB111" s="65"/>
      <c r="EC111" s="68">
        <f t="shared" si="67"/>
        <v>0</v>
      </c>
      <c r="ED111" s="69"/>
      <c r="EE111" s="69"/>
      <c r="EF111" s="69"/>
      <c r="EG111" s="69"/>
      <c r="EH111" s="69"/>
      <c r="EI111" s="84">
        <f>SUM(Tableau1[[#This Row],[Transports sur films]:[autres ]])</f>
        <v>0</v>
      </c>
      <c r="EJ111" s="132">
        <v>0</v>
      </c>
      <c r="EK111" s="132"/>
      <c r="EL111" s="68">
        <f t="shared" si="68"/>
        <v>0</v>
      </c>
      <c r="EM111" s="65"/>
      <c r="EN111" s="65">
        <v>0</v>
      </c>
      <c r="EO111" s="65"/>
      <c r="EP111" s="65"/>
      <c r="EQ111" s="65"/>
      <c r="ER111" s="65"/>
      <c r="ES111" s="65"/>
      <c r="ET111" s="68">
        <f t="shared" si="69"/>
        <v>0</v>
      </c>
      <c r="EU111" s="65"/>
      <c r="EV111" s="65"/>
      <c r="EW111" s="65"/>
      <c r="EX111" s="65"/>
      <c r="EY111" s="65"/>
      <c r="EZ111" s="68">
        <f t="shared" si="46"/>
        <v>0</v>
      </c>
      <c r="FA111" s="65"/>
      <c r="FB111" s="65"/>
      <c r="FC111" s="70">
        <f t="shared" si="44"/>
        <v>0</v>
      </c>
      <c r="FD111" s="65"/>
      <c r="FE111" s="71">
        <f t="shared" si="70"/>
        <v>0</v>
      </c>
      <c r="FF111" s="72">
        <f t="shared" si="71"/>
        <v>0</v>
      </c>
      <c r="FG111" s="65"/>
      <c r="FH111" s="65"/>
      <c r="FI111" s="65"/>
      <c r="FJ111" s="56">
        <f t="shared" si="72"/>
        <v>0</v>
      </c>
      <c r="FK111" s="65"/>
      <c r="FL111" s="65"/>
      <c r="FM111" s="65"/>
      <c r="FN111" s="65"/>
      <c r="FO111" s="67">
        <f t="shared" si="73"/>
        <v>0</v>
      </c>
      <c r="FP111" s="57"/>
      <c r="FQ111" s="73"/>
      <c r="FR111" s="73"/>
      <c r="FS111" s="71">
        <f t="shared" si="74"/>
        <v>0</v>
      </c>
      <c r="FT111" s="91"/>
      <c r="FU111" s="91"/>
      <c r="FV111" s="67">
        <f>SUM(Tableau1[[#This Row],[Droits d''auteurs SACEM + cotisations SACEM]:[Autres ou non préciés]])</f>
        <v>0</v>
      </c>
      <c r="FW111" s="75">
        <f t="shared" si="75"/>
        <v>0</v>
      </c>
      <c r="FX111" s="74">
        <v>0</v>
      </c>
      <c r="FY111" s="74"/>
      <c r="FZ111" s="74"/>
      <c r="GA111" s="74"/>
      <c r="GB111" s="71">
        <f t="shared" si="76"/>
        <v>0</v>
      </c>
      <c r="GC111" s="92"/>
      <c r="GD111" s="92"/>
      <c r="GE111" s="67">
        <f t="shared" si="77"/>
        <v>0</v>
      </c>
      <c r="GF111" s="66"/>
      <c r="GG111" s="66"/>
      <c r="GH111" s="66"/>
      <c r="GI111" s="66"/>
      <c r="GJ111" s="77"/>
    </row>
    <row r="112" spans="1:192" ht="18.600000000000001" customHeight="1" x14ac:dyDescent="0.25">
      <c r="A112" s="89"/>
      <c r="B112" s="17"/>
      <c r="C112" s="50"/>
      <c r="D112" s="140"/>
      <c r="E112" s="51"/>
      <c r="F112" s="139">
        <f t="shared" si="81"/>
        <v>1</v>
      </c>
      <c r="G112" s="49"/>
      <c r="H112" s="50"/>
      <c r="I112" s="122"/>
      <c r="J112" s="49"/>
      <c r="K112" s="50"/>
      <c r="L112" s="50"/>
      <c r="M112" s="90"/>
      <c r="N112" s="50"/>
      <c r="O112" s="50"/>
      <c r="P112" s="90"/>
      <c r="Q112" s="52">
        <f t="shared" si="47"/>
        <v>0</v>
      </c>
      <c r="R112" s="52">
        <f t="shared" si="48"/>
        <v>0</v>
      </c>
      <c r="S112" s="53">
        <f t="shared" si="49"/>
        <v>0</v>
      </c>
      <c r="T112" s="54">
        <f t="shared" si="50"/>
        <v>0</v>
      </c>
      <c r="U112" s="115">
        <f>SUM(Tableau1[[#This Row],[Vente confiserie]:[Vente boisson]])</f>
        <v>0</v>
      </c>
      <c r="V112" s="55"/>
      <c r="W112" s="55"/>
      <c r="X112" s="135">
        <f>SUM(Tableau1[[#This Row],[Vente lunette]:[Location lunette]])</f>
        <v>0</v>
      </c>
      <c r="Y112" s="55"/>
      <c r="Z112" s="55"/>
      <c r="AA112" s="55"/>
      <c r="AB112" s="55"/>
      <c r="AC112" s="56">
        <f t="shared" si="79"/>
        <v>0</v>
      </c>
      <c r="AD112" s="57"/>
      <c r="AE112" s="57"/>
      <c r="AF112" s="57"/>
      <c r="AG112" s="57"/>
      <c r="AH112" s="57"/>
      <c r="AI112" s="57"/>
      <c r="AJ112" s="118">
        <f>(Tableau1[[#This Row],[Recette guichet ]]*1.1275177)-Tableau1[[#This Row],[Recette guichet ]]</f>
        <v>0</v>
      </c>
      <c r="AK112" s="57"/>
      <c r="AL112" s="56">
        <f t="shared" si="80"/>
        <v>0</v>
      </c>
      <c r="AM112" s="58"/>
      <c r="AN112" s="58"/>
      <c r="AO112" s="58"/>
      <c r="AP112" s="115">
        <f t="shared" si="51"/>
        <v>0</v>
      </c>
      <c r="AQ112" s="69"/>
      <c r="AR112" s="69"/>
      <c r="AS112" s="69"/>
      <c r="AT112" s="69"/>
      <c r="AU112" s="59">
        <f t="shared" si="52"/>
        <v>0</v>
      </c>
      <c r="AV112" s="60">
        <f t="shared" si="53"/>
        <v>0</v>
      </c>
      <c r="AW112" s="58"/>
      <c r="AX112" s="58"/>
      <c r="AY112" s="58"/>
      <c r="AZ112" s="60">
        <f t="shared" si="42"/>
        <v>0</v>
      </c>
      <c r="BA112" s="58"/>
      <c r="BB112" s="58"/>
      <c r="BC112" s="58"/>
      <c r="BD112" s="60">
        <f>SUM(Tableau1[[#This Row],[ticket/carte/abonnement périmé]:[Autres ou non précisé 5]])</f>
        <v>0</v>
      </c>
      <c r="BE112" s="58"/>
      <c r="BF112" s="58"/>
      <c r="BG112" s="58"/>
      <c r="BH112" s="61">
        <f t="shared" si="54"/>
        <v>0</v>
      </c>
      <c r="BI112" s="120"/>
      <c r="BJ112" s="120"/>
      <c r="BK112" s="62">
        <f t="shared" si="55"/>
        <v>0</v>
      </c>
      <c r="BL112" s="120"/>
      <c r="BM112" s="120"/>
      <c r="BN112" s="120"/>
      <c r="BO112" s="120"/>
      <c r="BP112" s="120"/>
      <c r="BQ112" s="63"/>
      <c r="BR112" s="52">
        <f t="shared" si="56"/>
        <v>0</v>
      </c>
      <c r="BS112" s="52">
        <f t="shared" si="57"/>
        <v>0</v>
      </c>
      <c r="BT112" s="61">
        <f t="shared" si="58"/>
        <v>0</v>
      </c>
      <c r="BU112" s="64">
        <f t="shared" si="59"/>
        <v>0</v>
      </c>
      <c r="BV112" s="119">
        <f>SUM(Tableau1[[#This Row],[Achats confiserie]:[Achats boisson]])</f>
        <v>0</v>
      </c>
      <c r="BW112" s="58"/>
      <c r="BX112" s="69"/>
      <c r="BY112" s="58"/>
      <c r="BZ112" s="56">
        <f t="shared" si="60"/>
        <v>0</v>
      </c>
      <c r="CA112" s="66"/>
      <c r="CB112" s="66"/>
      <c r="CC112" s="56">
        <f t="shared" si="61"/>
        <v>0</v>
      </c>
      <c r="CD112" s="55"/>
      <c r="CE112" s="65"/>
      <c r="CF112" s="55"/>
      <c r="CG112" s="55"/>
      <c r="CH112" s="67">
        <f t="shared" si="62"/>
        <v>0</v>
      </c>
      <c r="CI112" s="68">
        <f t="shared" si="78"/>
        <v>0</v>
      </c>
      <c r="CJ112" s="55"/>
      <c r="CK112" s="55"/>
      <c r="CL112" s="55"/>
      <c r="CM112" s="55"/>
      <c r="CN112" s="55"/>
      <c r="CO112" s="68">
        <f t="shared" si="63"/>
        <v>0</v>
      </c>
      <c r="CP112" s="75">
        <f>SUM(Tableau1[[#This Row],[Fourniture eau]:[Energie (non précisé)]])</f>
        <v>0</v>
      </c>
      <c r="CQ112" s="55"/>
      <c r="CR112" s="55"/>
      <c r="CS112" s="55"/>
      <c r="CT112" s="55"/>
      <c r="CU112" s="55"/>
      <c r="CV112" s="55">
        <v>0</v>
      </c>
      <c r="CW112" s="55"/>
      <c r="CX112" s="68">
        <f>SUM(Tableau1[[#This Row],[Sous-traitance]:[Autres ou non précisé 12]])</f>
        <v>0</v>
      </c>
      <c r="CY112" s="65"/>
      <c r="CZ112" s="65"/>
      <c r="DA112" s="65"/>
      <c r="DB112" s="65"/>
      <c r="DC112" s="55"/>
      <c r="DD112" s="68">
        <f t="shared" si="43"/>
        <v>0</v>
      </c>
      <c r="DE112" s="55"/>
      <c r="DF112" s="65"/>
      <c r="DG112" s="65"/>
      <c r="DH112" s="65"/>
      <c r="DI112" s="68">
        <f>SUM(Tableau1[[#This Row],[Entretien et réparation matériel de projection]:[Autres ou non précisé 14]])</f>
        <v>0</v>
      </c>
      <c r="DJ112" s="58"/>
      <c r="DK112" s="58"/>
      <c r="DL112" s="69"/>
      <c r="DM112" s="68">
        <f t="shared" si="64"/>
        <v>0</v>
      </c>
      <c r="DN112" s="58"/>
      <c r="DO112" s="58"/>
      <c r="DP112" s="68">
        <f t="shared" si="65"/>
        <v>0</v>
      </c>
      <c r="DQ112" s="65"/>
      <c r="DR112" s="65"/>
      <c r="DS112" s="68">
        <f t="shared" si="66"/>
        <v>0</v>
      </c>
      <c r="DT112" s="65"/>
      <c r="DU112" s="65"/>
      <c r="DV112" s="65"/>
      <c r="DW112" s="68">
        <f>SUM(Tableau1[[#This Row],[Comission et courtage sur achats]:[Autres ou honoraires
 non précisé ]])</f>
        <v>0</v>
      </c>
      <c r="DX112" s="57"/>
      <c r="DY112" s="57"/>
      <c r="DZ112" s="65"/>
      <c r="EA112" s="65"/>
      <c r="EB112" s="65"/>
      <c r="EC112" s="68">
        <f t="shared" si="67"/>
        <v>0</v>
      </c>
      <c r="ED112" s="69"/>
      <c r="EE112" s="69"/>
      <c r="EF112" s="69"/>
      <c r="EG112" s="69"/>
      <c r="EH112" s="69"/>
      <c r="EI112" s="84">
        <f>SUM(Tableau1[[#This Row],[Transports sur films]:[autres ]])</f>
        <v>0</v>
      </c>
      <c r="EJ112" s="132">
        <v>0</v>
      </c>
      <c r="EK112" s="132"/>
      <c r="EL112" s="68">
        <f t="shared" si="68"/>
        <v>0</v>
      </c>
      <c r="EM112" s="65"/>
      <c r="EN112" s="65">
        <v>0</v>
      </c>
      <c r="EO112" s="65"/>
      <c r="EP112" s="65"/>
      <c r="EQ112" s="65"/>
      <c r="ER112" s="65"/>
      <c r="ES112" s="65"/>
      <c r="ET112" s="68">
        <f t="shared" si="69"/>
        <v>0</v>
      </c>
      <c r="EU112" s="65"/>
      <c r="EV112" s="65"/>
      <c r="EW112" s="65"/>
      <c r="EX112" s="65"/>
      <c r="EY112" s="65"/>
      <c r="EZ112" s="68">
        <f t="shared" si="46"/>
        <v>0</v>
      </c>
      <c r="FA112" s="65"/>
      <c r="FB112" s="65"/>
      <c r="FC112" s="70">
        <f t="shared" si="44"/>
        <v>0</v>
      </c>
      <c r="FD112" s="65"/>
      <c r="FE112" s="71">
        <f t="shared" si="70"/>
        <v>0</v>
      </c>
      <c r="FF112" s="72">
        <f t="shared" si="71"/>
        <v>0</v>
      </c>
      <c r="FG112" s="65"/>
      <c r="FH112" s="65"/>
      <c r="FI112" s="65"/>
      <c r="FJ112" s="56">
        <f t="shared" si="72"/>
        <v>0</v>
      </c>
      <c r="FK112" s="65"/>
      <c r="FL112" s="65"/>
      <c r="FM112" s="65"/>
      <c r="FN112" s="65"/>
      <c r="FO112" s="67">
        <f t="shared" si="73"/>
        <v>0</v>
      </c>
      <c r="FP112" s="57"/>
      <c r="FQ112" s="73"/>
      <c r="FR112" s="73"/>
      <c r="FS112" s="71">
        <f t="shared" si="74"/>
        <v>0</v>
      </c>
      <c r="FT112" s="91"/>
      <c r="FU112" s="91"/>
      <c r="FV112" s="67">
        <f>SUM(Tableau1[[#This Row],[Droits d''auteurs SACEM + cotisations SACEM]:[Autres ou non préciés]])</f>
        <v>0</v>
      </c>
      <c r="FW112" s="75">
        <f t="shared" si="75"/>
        <v>0</v>
      </c>
      <c r="FX112" s="74">
        <v>0</v>
      </c>
      <c r="FY112" s="74"/>
      <c r="FZ112" s="74"/>
      <c r="GA112" s="74"/>
      <c r="GB112" s="71">
        <f t="shared" si="76"/>
        <v>0</v>
      </c>
      <c r="GC112" s="92"/>
      <c r="GD112" s="92"/>
      <c r="GE112" s="67">
        <f t="shared" si="77"/>
        <v>0</v>
      </c>
      <c r="GF112" s="66"/>
      <c r="GG112" s="66"/>
      <c r="GH112" s="66"/>
      <c r="GI112" s="66"/>
      <c r="GJ112" s="77"/>
    </row>
    <row r="113" spans="1:192" ht="18.600000000000001" customHeight="1" x14ac:dyDescent="0.25">
      <c r="A113" s="89"/>
      <c r="B113" s="17"/>
      <c r="C113" s="50"/>
      <c r="D113" s="140"/>
      <c r="E113" s="51"/>
      <c r="F113" s="139">
        <f t="shared" si="81"/>
        <v>1</v>
      </c>
      <c r="G113" s="49"/>
      <c r="H113" s="50"/>
      <c r="I113" s="122"/>
      <c r="J113" s="49"/>
      <c r="K113" s="50"/>
      <c r="L113" s="50"/>
      <c r="M113" s="90"/>
      <c r="N113" s="50"/>
      <c r="O113" s="50"/>
      <c r="P113" s="90"/>
      <c r="Q113" s="52">
        <f t="shared" si="47"/>
        <v>0</v>
      </c>
      <c r="R113" s="52">
        <f t="shared" si="48"/>
        <v>0</v>
      </c>
      <c r="S113" s="53">
        <f t="shared" si="49"/>
        <v>0</v>
      </c>
      <c r="T113" s="54">
        <f t="shared" si="50"/>
        <v>0</v>
      </c>
      <c r="U113" s="115">
        <f>SUM(Tableau1[[#This Row],[Vente confiserie]:[Vente boisson]])</f>
        <v>0</v>
      </c>
      <c r="V113" s="55"/>
      <c r="W113" s="55"/>
      <c r="X113" s="135">
        <f>SUM(Tableau1[[#This Row],[Vente lunette]:[Location lunette]])</f>
        <v>0</v>
      </c>
      <c r="Y113" s="55"/>
      <c r="Z113" s="55"/>
      <c r="AA113" s="55"/>
      <c r="AB113" s="55"/>
      <c r="AC113" s="56">
        <f t="shared" si="79"/>
        <v>0</v>
      </c>
      <c r="AD113" s="57"/>
      <c r="AE113" s="57"/>
      <c r="AF113" s="57"/>
      <c r="AG113" s="57"/>
      <c r="AH113" s="57"/>
      <c r="AI113" s="57"/>
      <c r="AJ113" s="118">
        <f>(Tableau1[[#This Row],[Recette guichet ]]*1.1275177)-Tableau1[[#This Row],[Recette guichet ]]</f>
        <v>0</v>
      </c>
      <c r="AK113" s="57"/>
      <c r="AL113" s="56">
        <f t="shared" si="80"/>
        <v>0</v>
      </c>
      <c r="AM113" s="58"/>
      <c r="AN113" s="58"/>
      <c r="AO113" s="58"/>
      <c r="AP113" s="115">
        <f t="shared" si="51"/>
        <v>0</v>
      </c>
      <c r="AQ113" s="69"/>
      <c r="AR113" s="69"/>
      <c r="AS113" s="69"/>
      <c r="AT113" s="69"/>
      <c r="AU113" s="59">
        <f t="shared" si="52"/>
        <v>0</v>
      </c>
      <c r="AV113" s="60">
        <f t="shared" si="53"/>
        <v>0</v>
      </c>
      <c r="AW113" s="58"/>
      <c r="AX113" s="58"/>
      <c r="AY113" s="58"/>
      <c r="AZ113" s="60">
        <f t="shared" si="42"/>
        <v>0</v>
      </c>
      <c r="BA113" s="58"/>
      <c r="BB113" s="58"/>
      <c r="BC113" s="58"/>
      <c r="BD113" s="60">
        <f>SUM(Tableau1[[#This Row],[ticket/carte/abonnement périmé]:[Autres ou non précisé 5]])</f>
        <v>0</v>
      </c>
      <c r="BE113" s="58"/>
      <c r="BF113" s="58"/>
      <c r="BG113" s="58"/>
      <c r="BH113" s="61">
        <f t="shared" si="54"/>
        <v>0</v>
      </c>
      <c r="BI113" s="120"/>
      <c r="BJ113" s="120"/>
      <c r="BK113" s="62">
        <f t="shared" si="55"/>
        <v>0</v>
      </c>
      <c r="BL113" s="120"/>
      <c r="BM113" s="120"/>
      <c r="BN113" s="120"/>
      <c r="BO113" s="120"/>
      <c r="BP113" s="120"/>
      <c r="BQ113" s="63"/>
      <c r="BR113" s="52">
        <f t="shared" si="56"/>
        <v>0</v>
      </c>
      <c r="BS113" s="52">
        <f t="shared" si="57"/>
        <v>0</v>
      </c>
      <c r="BT113" s="61">
        <f t="shared" si="58"/>
        <v>0</v>
      </c>
      <c r="BU113" s="64">
        <f t="shared" si="59"/>
        <v>0</v>
      </c>
      <c r="BV113" s="119">
        <f>SUM(Tableau1[[#This Row],[Achats confiserie]:[Achats boisson]])</f>
        <v>0</v>
      </c>
      <c r="BW113" s="58"/>
      <c r="BX113" s="69"/>
      <c r="BY113" s="58"/>
      <c r="BZ113" s="56">
        <f t="shared" si="60"/>
        <v>0</v>
      </c>
      <c r="CA113" s="66"/>
      <c r="CB113" s="66"/>
      <c r="CC113" s="56">
        <f t="shared" si="61"/>
        <v>0</v>
      </c>
      <c r="CD113" s="55"/>
      <c r="CE113" s="65"/>
      <c r="CF113" s="55"/>
      <c r="CG113" s="55"/>
      <c r="CH113" s="67">
        <f t="shared" si="62"/>
        <v>0</v>
      </c>
      <c r="CI113" s="68">
        <f t="shared" si="78"/>
        <v>0</v>
      </c>
      <c r="CJ113" s="55"/>
      <c r="CK113" s="55"/>
      <c r="CL113" s="55"/>
      <c r="CM113" s="55"/>
      <c r="CN113" s="55"/>
      <c r="CO113" s="68">
        <f t="shared" si="63"/>
        <v>0</v>
      </c>
      <c r="CP113" s="75">
        <f>SUM(Tableau1[[#This Row],[Fourniture eau]:[Energie (non précisé)]])</f>
        <v>0</v>
      </c>
      <c r="CQ113" s="55"/>
      <c r="CR113" s="55"/>
      <c r="CS113" s="55"/>
      <c r="CT113" s="55"/>
      <c r="CU113" s="55"/>
      <c r="CV113" s="55">
        <v>0</v>
      </c>
      <c r="CW113" s="55"/>
      <c r="CX113" s="68">
        <f>SUM(Tableau1[[#This Row],[Sous-traitance]:[Autres ou non précisé 12]])</f>
        <v>0</v>
      </c>
      <c r="CY113" s="65"/>
      <c r="CZ113" s="65"/>
      <c r="DA113" s="65"/>
      <c r="DB113" s="65"/>
      <c r="DC113" s="55"/>
      <c r="DD113" s="68">
        <f t="shared" si="43"/>
        <v>0</v>
      </c>
      <c r="DE113" s="55"/>
      <c r="DF113" s="65"/>
      <c r="DG113" s="65"/>
      <c r="DH113" s="65"/>
      <c r="DI113" s="68">
        <f>SUM(Tableau1[[#This Row],[Entretien et réparation matériel de projection]:[Autres ou non précisé 14]])</f>
        <v>0</v>
      </c>
      <c r="DJ113" s="58"/>
      <c r="DK113" s="58"/>
      <c r="DL113" s="69"/>
      <c r="DM113" s="68">
        <f t="shared" si="64"/>
        <v>0</v>
      </c>
      <c r="DN113" s="58"/>
      <c r="DO113" s="58"/>
      <c r="DP113" s="68">
        <f t="shared" si="65"/>
        <v>0</v>
      </c>
      <c r="DQ113" s="65"/>
      <c r="DR113" s="65"/>
      <c r="DS113" s="68">
        <f t="shared" si="66"/>
        <v>0</v>
      </c>
      <c r="DT113" s="65"/>
      <c r="DU113" s="65"/>
      <c r="DV113" s="65"/>
      <c r="DW113" s="68">
        <f>SUM(Tableau1[[#This Row],[Comission et courtage sur achats]:[Autres ou honoraires
 non précisé ]])</f>
        <v>0</v>
      </c>
      <c r="DX113" s="57"/>
      <c r="DY113" s="57"/>
      <c r="DZ113" s="65"/>
      <c r="EA113" s="65"/>
      <c r="EB113" s="65"/>
      <c r="EC113" s="68">
        <f t="shared" si="67"/>
        <v>0</v>
      </c>
      <c r="ED113" s="69"/>
      <c r="EE113" s="69"/>
      <c r="EF113" s="69"/>
      <c r="EG113" s="69"/>
      <c r="EH113" s="69"/>
      <c r="EI113" s="84">
        <f>SUM(Tableau1[[#This Row],[Transports sur films]:[autres ]])</f>
        <v>0</v>
      </c>
      <c r="EJ113" s="132">
        <v>0</v>
      </c>
      <c r="EK113" s="132"/>
      <c r="EL113" s="68">
        <f t="shared" si="68"/>
        <v>0</v>
      </c>
      <c r="EM113" s="65"/>
      <c r="EN113" s="65">
        <v>0</v>
      </c>
      <c r="EO113" s="65"/>
      <c r="EP113" s="65"/>
      <c r="EQ113" s="65"/>
      <c r="ER113" s="65"/>
      <c r="ES113" s="65"/>
      <c r="ET113" s="68">
        <f t="shared" si="69"/>
        <v>0</v>
      </c>
      <c r="EU113" s="65"/>
      <c r="EV113" s="65"/>
      <c r="EW113" s="65"/>
      <c r="EX113" s="65"/>
      <c r="EY113" s="65"/>
      <c r="EZ113" s="68">
        <f t="shared" si="46"/>
        <v>0</v>
      </c>
      <c r="FA113" s="65"/>
      <c r="FB113" s="65"/>
      <c r="FC113" s="70">
        <f t="shared" si="44"/>
        <v>0</v>
      </c>
      <c r="FD113" s="65"/>
      <c r="FE113" s="71">
        <f t="shared" si="70"/>
        <v>0</v>
      </c>
      <c r="FF113" s="72">
        <f t="shared" si="71"/>
        <v>0</v>
      </c>
      <c r="FG113" s="65"/>
      <c r="FH113" s="65"/>
      <c r="FI113" s="65"/>
      <c r="FJ113" s="56">
        <f t="shared" si="72"/>
        <v>0</v>
      </c>
      <c r="FK113" s="65"/>
      <c r="FL113" s="65"/>
      <c r="FM113" s="65"/>
      <c r="FN113" s="65"/>
      <c r="FO113" s="67">
        <f t="shared" si="73"/>
        <v>0</v>
      </c>
      <c r="FP113" s="57"/>
      <c r="FQ113" s="73"/>
      <c r="FR113" s="73"/>
      <c r="FS113" s="71">
        <f t="shared" si="74"/>
        <v>0</v>
      </c>
      <c r="FT113" s="91"/>
      <c r="FU113" s="91"/>
      <c r="FV113" s="67">
        <f>SUM(Tableau1[[#This Row],[Droits d''auteurs SACEM + cotisations SACEM]:[Autres ou non préciés]])</f>
        <v>0</v>
      </c>
      <c r="FW113" s="75">
        <f t="shared" si="75"/>
        <v>0</v>
      </c>
      <c r="FX113" s="74">
        <v>0</v>
      </c>
      <c r="FY113" s="74"/>
      <c r="FZ113" s="74"/>
      <c r="GA113" s="74"/>
      <c r="GB113" s="71">
        <f t="shared" si="76"/>
        <v>0</v>
      </c>
      <c r="GC113" s="92"/>
      <c r="GD113" s="92"/>
      <c r="GE113" s="67">
        <f t="shared" si="77"/>
        <v>0</v>
      </c>
      <c r="GF113" s="66"/>
      <c r="GG113" s="66"/>
      <c r="GH113" s="66"/>
      <c r="GI113" s="66"/>
      <c r="GJ113" s="77"/>
    </row>
    <row r="114" spans="1:192" ht="18.600000000000001" customHeight="1" x14ac:dyDescent="0.25">
      <c r="A114" s="89"/>
      <c r="B114" s="17"/>
      <c r="C114" s="50"/>
      <c r="D114" s="140"/>
      <c r="E114" s="51"/>
      <c r="F114" s="139">
        <f t="shared" si="81"/>
        <v>1</v>
      </c>
      <c r="G114" s="49"/>
      <c r="H114" s="50"/>
      <c r="I114" s="122"/>
      <c r="J114" s="49"/>
      <c r="K114" s="50"/>
      <c r="L114" s="50"/>
      <c r="M114" s="90"/>
      <c r="N114" s="50"/>
      <c r="O114" s="50"/>
      <c r="P114" s="90"/>
      <c r="Q114" s="52">
        <f t="shared" si="47"/>
        <v>0</v>
      </c>
      <c r="R114" s="52">
        <f t="shared" si="48"/>
        <v>0</v>
      </c>
      <c r="S114" s="53">
        <f t="shared" si="49"/>
        <v>0</v>
      </c>
      <c r="T114" s="54">
        <f t="shared" si="50"/>
        <v>0</v>
      </c>
      <c r="U114" s="115">
        <f>SUM(Tableau1[[#This Row],[Vente confiserie]:[Vente boisson]])</f>
        <v>0</v>
      </c>
      <c r="V114" s="55"/>
      <c r="W114" s="55"/>
      <c r="X114" s="135">
        <f>SUM(Tableau1[[#This Row],[Vente lunette]:[Location lunette]])</f>
        <v>0</v>
      </c>
      <c r="Y114" s="55"/>
      <c r="Z114" s="55"/>
      <c r="AA114" s="55"/>
      <c r="AB114" s="55"/>
      <c r="AC114" s="56">
        <f t="shared" si="79"/>
        <v>0</v>
      </c>
      <c r="AD114" s="57"/>
      <c r="AE114" s="57"/>
      <c r="AF114" s="57"/>
      <c r="AG114" s="57"/>
      <c r="AH114" s="57"/>
      <c r="AI114" s="57"/>
      <c r="AJ114" s="118">
        <f>(Tableau1[[#This Row],[Recette guichet ]]*1.1275177)-Tableau1[[#This Row],[Recette guichet ]]</f>
        <v>0</v>
      </c>
      <c r="AK114" s="57"/>
      <c r="AL114" s="56">
        <f t="shared" si="80"/>
        <v>0</v>
      </c>
      <c r="AM114" s="58"/>
      <c r="AN114" s="58"/>
      <c r="AO114" s="58"/>
      <c r="AP114" s="115">
        <f t="shared" si="51"/>
        <v>0</v>
      </c>
      <c r="AQ114" s="69"/>
      <c r="AR114" s="69"/>
      <c r="AS114" s="69"/>
      <c r="AT114" s="69"/>
      <c r="AU114" s="59">
        <f t="shared" si="52"/>
        <v>0</v>
      </c>
      <c r="AV114" s="60">
        <f t="shared" si="53"/>
        <v>0</v>
      </c>
      <c r="AW114" s="58"/>
      <c r="AX114" s="58"/>
      <c r="AY114" s="58"/>
      <c r="AZ114" s="60">
        <f t="shared" si="42"/>
        <v>0</v>
      </c>
      <c r="BA114" s="58"/>
      <c r="BB114" s="58"/>
      <c r="BC114" s="58"/>
      <c r="BD114" s="60">
        <f>SUM(Tableau1[[#This Row],[ticket/carte/abonnement périmé]:[Autres ou non précisé 5]])</f>
        <v>0</v>
      </c>
      <c r="BE114" s="58"/>
      <c r="BF114" s="58"/>
      <c r="BG114" s="58"/>
      <c r="BH114" s="61">
        <f t="shared" si="54"/>
        <v>0</v>
      </c>
      <c r="BI114" s="120"/>
      <c r="BJ114" s="120"/>
      <c r="BK114" s="62">
        <f t="shared" si="55"/>
        <v>0</v>
      </c>
      <c r="BL114" s="120"/>
      <c r="BM114" s="120"/>
      <c r="BN114" s="120"/>
      <c r="BO114" s="120"/>
      <c r="BP114" s="120"/>
      <c r="BQ114" s="63"/>
      <c r="BR114" s="52">
        <f t="shared" si="56"/>
        <v>0</v>
      </c>
      <c r="BS114" s="52">
        <f t="shared" si="57"/>
        <v>0</v>
      </c>
      <c r="BT114" s="61">
        <f t="shared" si="58"/>
        <v>0</v>
      </c>
      <c r="BU114" s="64">
        <f t="shared" si="59"/>
        <v>0</v>
      </c>
      <c r="BV114" s="119">
        <f>SUM(Tableau1[[#This Row],[Achats confiserie]:[Achats boisson]])</f>
        <v>0</v>
      </c>
      <c r="BW114" s="58"/>
      <c r="BX114" s="69"/>
      <c r="BY114" s="58"/>
      <c r="BZ114" s="56">
        <f t="shared" si="60"/>
        <v>0</v>
      </c>
      <c r="CA114" s="66"/>
      <c r="CB114" s="66"/>
      <c r="CC114" s="56">
        <f t="shared" si="61"/>
        <v>0</v>
      </c>
      <c r="CD114" s="55"/>
      <c r="CE114" s="65"/>
      <c r="CF114" s="55"/>
      <c r="CG114" s="55"/>
      <c r="CH114" s="67">
        <f t="shared" si="62"/>
        <v>0</v>
      </c>
      <c r="CI114" s="68">
        <f t="shared" si="78"/>
        <v>0</v>
      </c>
      <c r="CJ114" s="55"/>
      <c r="CK114" s="55"/>
      <c r="CL114" s="55"/>
      <c r="CM114" s="55"/>
      <c r="CN114" s="55"/>
      <c r="CO114" s="68">
        <f t="shared" si="63"/>
        <v>0</v>
      </c>
      <c r="CP114" s="75">
        <f>SUM(Tableau1[[#This Row],[Fourniture eau]:[Energie (non précisé)]])</f>
        <v>0</v>
      </c>
      <c r="CQ114" s="55"/>
      <c r="CR114" s="55"/>
      <c r="CS114" s="55"/>
      <c r="CT114" s="55"/>
      <c r="CU114" s="55"/>
      <c r="CV114" s="55">
        <v>0</v>
      </c>
      <c r="CW114" s="55"/>
      <c r="CX114" s="68">
        <f>SUM(Tableau1[[#This Row],[Sous-traitance]:[Autres ou non précisé 12]])</f>
        <v>0</v>
      </c>
      <c r="CY114" s="65"/>
      <c r="CZ114" s="65"/>
      <c r="DA114" s="65"/>
      <c r="DB114" s="65"/>
      <c r="DC114" s="55"/>
      <c r="DD114" s="68">
        <f t="shared" si="43"/>
        <v>0</v>
      </c>
      <c r="DE114" s="55"/>
      <c r="DF114" s="65"/>
      <c r="DG114" s="65"/>
      <c r="DH114" s="65"/>
      <c r="DI114" s="68">
        <f>SUM(Tableau1[[#This Row],[Entretien et réparation matériel de projection]:[Autres ou non précisé 14]])</f>
        <v>0</v>
      </c>
      <c r="DJ114" s="58"/>
      <c r="DK114" s="58"/>
      <c r="DL114" s="69"/>
      <c r="DM114" s="68">
        <f t="shared" si="64"/>
        <v>0</v>
      </c>
      <c r="DN114" s="58"/>
      <c r="DO114" s="58"/>
      <c r="DP114" s="68">
        <f t="shared" si="65"/>
        <v>0</v>
      </c>
      <c r="DQ114" s="65"/>
      <c r="DR114" s="65"/>
      <c r="DS114" s="68">
        <f t="shared" si="66"/>
        <v>0</v>
      </c>
      <c r="DT114" s="65"/>
      <c r="DU114" s="65"/>
      <c r="DV114" s="65"/>
      <c r="DW114" s="68">
        <f>SUM(Tableau1[[#This Row],[Comission et courtage sur achats]:[Autres ou honoraires
 non précisé ]])</f>
        <v>0</v>
      </c>
      <c r="DX114" s="57"/>
      <c r="DY114" s="57"/>
      <c r="DZ114" s="65"/>
      <c r="EA114" s="65"/>
      <c r="EB114" s="65"/>
      <c r="EC114" s="68">
        <f t="shared" si="67"/>
        <v>0</v>
      </c>
      <c r="ED114" s="69"/>
      <c r="EE114" s="69"/>
      <c r="EF114" s="69"/>
      <c r="EG114" s="69"/>
      <c r="EH114" s="69"/>
      <c r="EI114" s="84">
        <f>SUM(Tableau1[[#This Row],[Transports sur films]:[autres ]])</f>
        <v>0</v>
      </c>
      <c r="EJ114" s="132">
        <v>0</v>
      </c>
      <c r="EK114" s="132"/>
      <c r="EL114" s="68">
        <f t="shared" si="68"/>
        <v>0</v>
      </c>
      <c r="EM114" s="65"/>
      <c r="EN114" s="65">
        <v>0</v>
      </c>
      <c r="EO114" s="65"/>
      <c r="EP114" s="65"/>
      <c r="EQ114" s="65"/>
      <c r="ER114" s="65"/>
      <c r="ES114" s="65"/>
      <c r="ET114" s="68">
        <f t="shared" si="69"/>
        <v>0</v>
      </c>
      <c r="EU114" s="65"/>
      <c r="EV114" s="65"/>
      <c r="EW114" s="65"/>
      <c r="EX114" s="65"/>
      <c r="EY114" s="65"/>
      <c r="EZ114" s="68">
        <f t="shared" si="46"/>
        <v>0</v>
      </c>
      <c r="FA114" s="65"/>
      <c r="FB114" s="65"/>
      <c r="FC114" s="70">
        <f t="shared" si="44"/>
        <v>0</v>
      </c>
      <c r="FD114" s="65"/>
      <c r="FE114" s="71">
        <f t="shared" si="70"/>
        <v>0</v>
      </c>
      <c r="FF114" s="72">
        <f t="shared" si="71"/>
        <v>0</v>
      </c>
      <c r="FG114" s="65"/>
      <c r="FH114" s="65"/>
      <c r="FI114" s="65"/>
      <c r="FJ114" s="56">
        <f t="shared" si="72"/>
        <v>0</v>
      </c>
      <c r="FK114" s="65"/>
      <c r="FL114" s="65"/>
      <c r="FM114" s="65"/>
      <c r="FN114" s="65"/>
      <c r="FO114" s="67">
        <f t="shared" si="73"/>
        <v>0</v>
      </c>
      <c r="FP114" s="57"/>
      <c r="FQ114" s="73"/>
      <c r="FR114" s="73"/>
      <c r="FS114" s="71">
        <f t="shared" si="74"/>
        <v>0</v>
      </c>
      <c r="FT114" s="91"/>
      <c r="FU114" s="91"/>
      <c r="FV114" s="67">
        <f>SUM(Tableau1[[#This Row],[Droits d''auteurs SACEM + cotisations SACEM]:[Autres ou non préciés]])</f>
        <v>0</v>
      </c>
      <c r="FW114" s="75">
        <f t="shared" si="75"/>
        <v>0</v>
      </c>
      <c r="FX114" s="74">
        <v>0</v>
      </c>
      <c r="FY114" s="74"/>
      <c r="FZ114" s="74"/>
      <c r="GA114" s="74"/>
      <c r="GB114" s="71">
        <f t="shared" si="76"/>
        <v>0</v>
      </c>
      <c r="GC114" s="92"/>
      <c r="GD114" s="92"/>
      <c r="GE114" s="67">
        <f t="shared" si="77"/>
        <v>0</v>
      </c>
      <c r="GF114" s="66"/>
      <c r="GG114" s="66"/>
      <c r="GH114" s="66"/>
      <c r="GI114" s="66"/>
      <c r="GJ114" s="77"/>
    </row>
    <row r="115" spans="1:192" ht="18.600000000000001" customHeight="1" x14ac:dyDescent="0.25">
      <c r="A115" s="89"/>
      <c r="B115" s="17"/>
      <c r="C115" s="50"/>
      <c r="D115" s="140"/>
      <c r="E115" s="51"/>
      <c r="F115" s="139">
        <f t="shared" si="81"/>
        <v>1</v>
      </c>
      <c r="G115" s="49"/>
      <c r="H115" s="50"/>
      <c r="I115" s="122"/>
      <c r="J115" s="49"/>
      <c r="K115" s="50"/>
      <c r="L115" s="50"/>
      <c r="M115" s="90"/>
      <c r="N115" s="50"/>
      <c r="O115" s="50"/>
      <c r="P115" s="90"/>
      <c r="Q115" s="52">
        <f t="shared" si="47"/>
        <v>0</v>
      </c>
      <c r="R115" s="52">
        <f t="shared" si="48"/>
        <v>0</v>
      </c>
      <c r="S115" s="53">
        <f t="shared" si="49"/>
        <v>0</v>
      </c>
      <c r="T115" s="54">
        <f t="shared" si="50"/>
        <v>0</v>
      </c>
      <c r="U115" s="115">
        <f>SUM(Tableau1[[#This Row],[Vente confiserie]:[Vente boisson]])</f>
        <v>0</v>
      </c>
      <c r="V115" s="55"/>
      <c r="W115" s="55"/>
      <c r="X115" s="135">
        <f>SUM(Tableau1[[#This Row],[Vente lunette]:[Location lunette]])</f>
        <v>0</v>
      </c>
      <c r="Y115" s="55"/>
      <c r="Z115" s="55"/>
      <c r="AA115" s="55"/>
      <c r="AB115" s="55"/>
      <c r="AC115" s="56">
        <f t="shared" si="79"/>
        <v>0</v>
      </c>
      <c r="AD115" s="57"/>
      <c r="AE115" s="57"/>
      <c r="AF115" s="57"/>
      <c r="AG115" s="57"/>
      <c r="AH115" s="57"/>
      <c r="AI115" s="57"/>
      <c r="AJ115" s="118">
        <f>(Tableau1[[#This Row],[Recette guichet ]]*1.1275177)-Tableau1[[#This Row],[Recette guichet ]]</f>
        <v>0</v>
      </c>
      <c r="AK115" s="57"/>
      <c r="AL115" s="56">
        <f t="shared" si="80"/>
        <v>0</v>
      </c>
      <c r="AM115" s="58"/>
      <c r="AN115" s="58"/>
      <c r="AO115" s="58"/>
      <c r="AP115" s="115">
        <f t="shared" si="51"/>
        <v>0</v>
      </c>
      <c r="AQ115" s="69"/>
      <c r="AR115" s="69"/>
      <c r="AS115" s="69"/>
      <c r="AT115" s="69"/>
      <c r="AU115" s="59">
        <f t="shared" si="52"/>
        <v>0</v>
      </c>
      <c r="AV115" s="60">
        <f t="shared" si="53"/>
        <v>0</v>
      </c>
      <c r="AW115" s="58"/>
      <c r="AX115" s="58"/>
      <c r="AY115" s="58"/>
      <c r="AZ115" s="60">
        <f t="shared" si="42"/>
        <v>0</v>
      </c>
      <c r="BA115" s="58"/>
      <c r="BB115" s="58"/>
      <c r="BC115" s="58"/>
      <c r="BD115" s="60">
        <f>SUM(Tableau1[[#This Row],[ticket/carte/abonnement périmé]:[Autres ou non précisé 5]])</f>
        <v>0</v>
      </c>
      <c r="BE115" s="58"/>
      <c r="BF115" s="58"/>
      <c r="BG115" s="58"/>
      <c r="BH115" s="61">
        <f t="shared" si="54"/>
        <v>0</v>
      </c>
      <c r="BI115" s="120"/>
      <c r="BJ115" s="120"/>
      <c r="BK115" s="62">
        <f t="shared" si="55"/>
        <v>0</v>
      </c>
      <c r="BL115" s="120"/>
      <c r="BM115" s="120"/>
      <c r="BN115" s="120"/>
      <c r="BO115" s="120"/>
      <c r="BP115" s="120"/>
      <c r="BQ115" s="63"/>
      <c r="BR115" s="52">
        <f t="shared" si="56"/>
        <v>0</v>
      </c>
      <c r="BS115" s="52">
        <f t="shared" si="57"/>
        <v>0</v>
      </c>
      <c r="BT115" s="61">
        <f t="shared" si="58"/>
        <v>0</v>
      </c>
      <c r="BU115" s="64">
        <f t="shared" si="59"/>
        <v>0</v>
      </c>
      <c r="BV115" s="119">
        <f>SUM(Tableau1[[#This Row],[Achats confiserie]:[Achats boisson]])</f>
        <v>0</v>
      </c>
      <c r="BW115" s="58"/>
      <c r="BX115" s="69"/>
      <c r="BY115" s="58"/>
      <c r="BZ115" s="56">
        <f t="shared" si="60"/>
        <v>0</v>
      </c>
      <c r="CA115" s="66"/>
      <c r="CB115" s="66"/>
      <c r="CC115" s="56">
        <f t="shared" si="61"/>
        <v>0</v>
      </c>
      <c r="CD115" s="55"/>
      <c r="CE115" s="65"/>
      <c r="CF115" s="55"/>
      <c r="CG115" s="55"/>
      <c r="CH115" s="67">
        <f t="shared" si="62"/>
        <v>0</v>
      </c>
      <c r="CI115" s="68">
        <f t="shared" si="78"/>
        <v>0</v>
      </c>
      <c r="CJ115" s="55"/>
      <c r="CK115" s="55"/>
      <c r="CL115" s="55"/>
      <c r="CM115" s="55"/>
      <c r="CN115" s="55"/>
      <c r="CO115" s="68">
        <f t="shared" si="63"/>
        <v>0</v>
      </c>
      <c r="CP115" s="75">
        <f>SUM(Tableau1[[#This Row],[Fourniture eau]:[Energie (non précisé)]])</f>
        <v>0</v>
      </c>
      <c r="CQ115" s="55"/>
      <c r="CR115" s="55"/>
      <c r="CS115" s="55"/>
      <c r="CT115" s="55"/>
      <c r="CU115" s="55"/>
      <c r="CV115" s="55">
        <v>0</v>
      </c>
      <c r="CW115" s="55"/>
      <c r="CX115" s="68">
        <f>SUM(Tableau1[[#This Row],[Sous-traitance]:[Autres ou non précisé 12]])</f>
        <v>0</v>
      </c>
      <c r="CY115" s="65"/>
      <c r="CZ115" s="65"/>
      <c r="DA115" s="65"/>
      <c r="DB115" s="65"/>
      <c r="DC115" s="55"/>
      <c r="DD115" s="68">
        <f t="shared" si="43"/>
        <v>0</v>
      </c>
      <c r="DE115" s="55"/>
      <c r="DF115" s="65"/>
      <c r="DG115" s="65"/>
      <c r="DH115" s="65"/>
      <c r="DI115" s="68">
        <f>SUM(Tableau1[[#This Row],[Entretien et réparation matériel de projection]:[Autres ou non précisé 14]])</f>
        <v>0</v>
      </c>
      <c r="DJ115" s="58"/>
      <c r="DK115" s="58"/>
      <c r="DL115" s="69"/>
      <c r="DM115" s="68">
        <f t="shared" si="64"/>
        <v>0</v>
      </c>
      <c r="DN115" s="58"/>
      <c r="DO115" s="58"/>
      <c r="DP115" s="68">
        <f t="shared" si="65"/>
        <v>0</v>
      </c>
      <c r="DQ115" s="65"/>
      <c r="DR115" s="65"/>
      <c r="DS115" s="68">
        <f t="shared" si="66"/>
        <v>0</v>
      </c>
      <c r="DT115" s="65"/>
      <c r="DU115" s="65"/>
      <c r="DV115" s="65"/>
      <c r="DW115" s="68">
        <f>SUM(Tableau1[[#This Row],[Comission et courtage sur achats]:[Autres ou honoraires
 non précisé ]])</f>
        <v>0</v>
      </c>
      <c r="DX115" s="57"/>
      <c r="DY115" s="57"/>
      <c r="DZ115" s="65"/>
      <c r="EA115" s="65"/>
      <c r="EB115" s="65"/>
      <c r="EC115" s="68">
        <f t="shared" si="67"/>
        <v>0</v>
      </c>
      <c r="ED115" s="69"/>
      <c r="EE115" s="69"/>
      <c r="EF115" s="69"/>
      <c r="EG115" s="69"/>
      <c r="EH115" s="69"/>
      <c r="EI115" s="84">
        <f>SUM(Tableau1[[#This Row],[Transports sur films]:[autres ]])</f>
        <v>0</v>
      </c>
      <c r="EJ115" s="132">
        <v>0</v>
      </c>
      <c r="EK115" s="132"/>
      <c r="EL115" s="68">
        <f t="shared" si="68"/>
        <v>0</v>
      </c>
      <c r="EM115" s="65"/>
      <c r="EN115" s="65">
        <v>0</v>
      </c>
      <c r="EO115" s="65"/>
      <c r="EP115" s="65"/>
      <c r="EQ115" s="65"/>
      <c r="ER115" s="65"/>
      <c r="ES115" s="65"/>
      <c r="ET115" s="68">
        <f t="shared" si="69"/>
        <v>0</v>
      </c>
      <c r="EU115" s="65"/>
      <c r="EV115" s="65"/>
      <c r="EW115" s="65"/>
      <c r="EX115" s="65"/>
      <c r="EY115" s="65"/>
      <c r="EZ115" s="68">
        <f t="shared" si="46"/>
        <v>0</v>
      </c>
      <c r="FA115" s="65"/>
      <c r="FB115" s="65"/>
      <c r="FC115" s="70">
        <f t="shared" si="44"/>
        <v>0</v>
      </c>
      <c r="FD115" s="65"/>
      <c r="FE115" s="71">
        <f t="shared" si="70"/>
        <v>0</v>
      </c>
      <c r="FF115" s="72">
        <f t="shared" si="71"/>
        <v>0</v>
      </c>
      <c r="FG115" s="65"/>
      <c r="FH115" s="65"/>
      <c r="FI115" s="65"/>
      <c r="FJ115" s="56">
        <f t="shared" si="72"/>
        <v>0</v>
      </c>
      <c r="FK115" s="65"/>
      <c r="FL115" s="65"/>
      <c r="FM115" s="65"/>
      <c r="FN115" s="65"/>
      <c r="FO115" s="67">
        <f t="shared" si="73"/>
        <v>0</v>
      </c>
      <c r="FP115" s="57"/>
      <c r="FQ115" s="73"/>
      <c r="FR115" s="73"/>
      <c r="FS115" s="71">
        <f t="shared" si="74"/>
        <v>0</v>
      </c>
      <c r="FT115" s="91"/>
      <c r="FU115" s="91"/>
      <c r="FV115" s="67">
        <f>SUM(Tableau1[[#This Row],[Droits d''auteurs SACEM + cotisations SACEM]:[Autres ou non préciés]])</f>
        <v>0</v>
      </c>
      <c r="FW115" s="75">
        <f t="shared" si="75"/>
        <v>0</v>
      </c>
      <c r="FX115" s="74">
        <v>0</v>
      </c>
      <c r="FY115" s="74"/>
      <c r="FZ115" s="74"/>
      <c r="GA115" s="74"/>
      <c r="GB115" s="71">
        <f t="shared" si="76"/>
        <v>0</v>
      </c>
      <c r="GC115" s="92"/>
      <c r="GD115" s="92"/>
      <c r="GE115" s="67">
        <f t="shared" si="77"/>
        <v>0</v>
      </c>
      <c r="GF115" s="66"/>
      <c r="GG115" s="66"/>
      <c r="GH115" s="66"/>
      <c r="GI115" s="66"/>
      <c r="GJ115" s="77"/>
    </row>
    <row r="116" spans="1:192" ht="18.600000000000001" customHeight="1" x14ac:dyDescent="0.25">
      <c r="A116" s="89"/>
      <c r="B116" s="17"/>
      <c r="C116" s="50"/>
      <c r="D116" s="140"/>
      <c r="E116" s="51"/>
      <c r="F116" s="139">
        <f t="shared" si="81"/>
        <v>1</v>
      </c>
      <c r="G116" s="49"/>
      <c r="H116" s="50"/>
      <c r="I116" s="122"/>
      <c r="J116" s="49"/>
      <c r="K116" s="50"/>
      <c r="L116" s="50"/>
      <c r="M116" s="90"/>
      <c r="N116" s="50"/>
      <c r="O116" s="50"/>
      <c r="P116" s="90"/>
      <c r="Q116" s="52">
        <f t="shared" si="47"/>
        <v>0</v>
      </c>
      <c r="R116" s="52">
        <f t="shared" si="48"/>
        <v>0</v>
      </c>
      <c r="S116" s="53">
        <f t="shared" si="49"/>
        <v>0</v>
      </c>
      <c r="T116" s="54">
        <f t="shared" si="50"/>
        <v>0</v>
      </c>
      <c r="U116" s="115">
        <f>SUM(Tableau1[[#This Row],[Vente confiserie]:[Vente boisson]])</f>
        <v>0</v>
      </c>
      <c r="V116" s="55"/>
      <c r="W116" s="55"/>
      <c r="X116" s="135">
        <f>SUM(Tableau1[[#This Row],[Vente lunette]:[Location lunette]])</f>
        <v>0</v>
      </c>
      <c r="Y116" s="55"/>
      <c r="Z116" s="55"/>
      <c r="AA116" s="55"/>
      <c r="AB116" s="55"/>
      <c r="AC116" s="56">
        <f t="shared" si="79"/>
        <v>0</v>
      </c>
      <c r="AD116" s="57"/>
      <c r="AE116" s="57"/>
      <c r="AF116" s="57"/>
      <c r="AG116" s="57"/>
      <c r="AH116" s="57"/>
      <c r="AI116" s="57"/>
      <c r="AJ116" s="118">
        <f>(Tableau1[[#This Row],[Recette guichet ]]*1.1275177)-Tableau1[[#This Row],[Recette guichet ]]</f>
        <v>0</v>
      </c>
      <c r="AK116" s="57"/>
      <c r="AL116" s="56">
        <f t="shared" si="80"/>
        <v>0</v>
      </c>
      <c r="AM116" s="58"/>
      <c r="AN116" s="58"/>
      <c r="AO116" s="58"/>
      <c r="AP116" s="115">
        <f t="shared" si="51"/>
        <v>0</v>
      </c>
      <c r="AQ116" s="69"/>
      <c r="AR116" s="69"/>
      <c r="AS116" s="69"/>
      <c r="AT116" s="69"/>
      <c r="AU116" s="59">
        <f t="shared" si="52"/>
        <v>0</v>
      </c>
      <c r="AV116" s="60">
        <f t="shared" si="53"/>
        <v>0</v>
      </c>
      <c r="AW116" s="58"/>
      <c r="AX116" s="58"/>
      <c r="AY116" s="58"/>
      <c r="AZ116" s="60">
        <f t="shared" si="42"/>
        <v>0</v>
      </c>
      <c r="BA116" s="58"/>
      <c r="BB116" s="58"/>
      <c r="BC116" s="58"/>
      <c r="BD116" s="60">
        <f>SUM(Tableau1[[#This Row],[ticket/carte/abonnement périmé]:[Autres ou non précisé 5]])</f>
        <v>0</v>
      </c>
      <c r="BE116" s="58"/>
      <c r="BF116" s="58"/>
      <c r="BG116" s="58"/>
      <c r="BH116" s="61">
        <f t="shared" si="54"/>
        <v>0</v>
      </c>
      <c r="BI116" s="120"/>
      <c r="BJ116" s="120"/>
      <c r="BK116" s="62">
        <f t="shared" si="55"/>
        <v>0</v>
      </c>
      <c r="BL116" s="120"/>
      <c r="BM116" s="120"/>
      <c r="BN116" s="120"/>
      <c r="BO116" s="120"/>
      <c r="BP116" s="120"/>
      <c r="BQ116" s="63"/>
      <c r="BR116" s="52">
        <f t="shared" si="56"/>
        <v>0</v>
      </c>
      <c r="BS116" s="52">
        <f t="shared" si="57"/>
        <v>0</v>
      </c>
      <c r="BT116" s="61">
        <f t="shared" si="58"/>
        <v>0</v>
      </c>
      <c r="BU116" s="64">
        <f t="shared" si="59"/>
        <v>0</v>
      </c>
      <c r="BV116" s="119">
        <f>SUM(Tableau1[[#This Row],[Achats confiserie]:[Achats boisson]])</f>
        <v>0</v>
      </c>
      <c r="BW116" s="58"/>
      <c r="BX116" s="69"/>
      <c r="BY116" s="58"/>
      <c r="BZ116" s="56">
        <f t="shared" si="60"/>
        <v>0</v>
      </c>
      <c r="CA116" s="66"/>
      <c r="CB116" s="66"/>
      <c r="CC116" s="56">
        <f t="shared" si="61"/>
        <v>0</v>
      </c>
      <c r="CD116" s="55"/>
      <c r="CE116" s="65"/>
      <c r="CF116" s="55"/>
      <c r="CG116" s="55"/>
      <c r="CH116" s="67">
        <f t="shared" si="62"/>
        <v>0</v>
      </c>
      <c r="CI116" s="68">
        <f t="shared" si="78"/>
        <v>0</v>
      </c>
      <c r="CJ116" s="55"/>
      <c r="CK116" s="55"/>
      <c r="CL116" s="55"/>
      <c r="CM116" s="55"/>
      <c r="CN116" s="55"/>
      <c r="CO116" s="68">
        <f t="shared" si="63"/>
        <v>0</v>
      </c>
      <c r="CP116" s="75">
        <f>SUM(Tableau1[[#This Row],[Fourniture eau]:[Energie (non précisé)]])</f>
        <v>0</v>
      </c>
      <c r="CQ116" s="55"/>
      <c r="CR116" s="55"/>
      <c r="CS116" s="55"/>
      <c r="CT116" s="55"/>
      <c r="CU116" s="55"/>
      <c r="CV116" s="55">
        <v>0</v>
      </c>
      <c r="CW116" s="55"/>
      <c r="CX116" s="68">
        <f>SUM(Tableau1[[#This Row],[Sous-traitance]:[Autres ou non précisé 12]])</f>
        <v>0</v>
      </c>
      <c r="CY116" s="65"/>
      <c r="CZ116" s="65"/>
      <c r="DA116" s="65"/>
      <c r="DB116" s="65"/>
      <c r="DC116" s="55"/>
      <c r="DD116" s="68">
        <f t="shared" si="43"/>
        <v>0</v>
      </c>
      <c r="DE116" s="55"/>
      <c r="DF116" s="65"/>
      <c r="DG116" s="65"/>
      <c r="DH116" s="65"/>
      <c r="DI116" s="68">
        <f>SUM(Tableau1[[#This Row],[Entretien et réparation matériel de projection]:[Autres ou non précisé 14]])</f>
        <v>0</v>
      </c>
      <c r="DJ116" s="58"/>
      <c r="DK116" s="58"/>
      <c r="DL116" s="69"/>
      <c r="DM116" s="68">
        <f t="shared" si="64"/>
        <v>0</v>
      </c>
      <c r="DN116" s="58"/>
      <c r="DO116" s="58"/>
      <c r="DP116" s="68">
        <f t="shared" si="65"/>
        <v>0</v>
      </c>
      <c r="DQ116" s="65"/>
      <c r="DR116" s="65"/>
      <c r="DS116" s="68">
        <f t="shared" si="66"/>
        <v>0</v>
      </c>
      <c r="DT116" s="65"/>
      <c r="DU116" s="65"/>
      <c r="DV116" s="65"/>
      <c r="DW116" s="68">
        <f>SUM(Tableau1[[#This Row],[Comission et courtage sur achats]:[Autres ou honoraires
 non précisé ]])</f>
        <v>0</v>
      </c>
      <c r="DX116" s="57"/>
      <c r="DY116" s="57"/>
      <c r="DZ116" s="65"/>
      <c r="EA116" s="65"/>
      <c r="EB116" s="65"/>
      <c r="EC116" s="68">
        <f t="shared" si="67"/>
        <v>0</v>
      </c>
      <c r="ED116" s="69"/>
      <c r="EE116" s="69"/>
      <c r="EF116" s="69"/>
      <c r="EG116" s="69"/>
      <c r="EH116" s="69"/>
      <c r="EI116" s="84">
        <f>SUM(Tableau1[[#This Row],[Transports sur films]:[autres ]])</f>
        <v>0</v>
      </c>
      <c r="EJ116" s="132">
        <v>0</v>
      </c>
      <c r="EK116" s="132"/>
      <c r="EL116" s="68">
        <f t="shared" si="68"/>
        <v>0</v>
      </c>
      <c r="EM116" s="65"/>
      <c r="EN116" s="65">
        <v>0</v>
      </c>
      <c r="EO116" s="65"/>
      <c r="EP116" s="65"/>
      <c r="EQ116" s="65"/>
      <c r="ER116" s="65"/>
      <c r="ES116" s="65"/>
      <c r="ET116" s="68">
        <f t="shared" si="69"/>
        <v>0</v>
      </c>
      <c r="EU116" s="65"/>
      <c r="EV116" s="65"/>
      <c r="EW116" s="65"/>
      <c r="EX116" s="65"/>
      <c r="EY116" s="65"/>
      <c r="EZ116" s="68">
        <f t="shared" si="46"/>
        <v>0</v>
      </c>
      <c r="FA116" s="65"/>
      <c r="FB116" s="65"/>
      <c r="FC116" s="70">
        <f t="shared" si="44"/>
        <v>0</v>
      </c>
      <c r="FD116" s="65"/>
      <c r="FE116" s="71">
        <f t="shared" si="70"/>
        <v>0</v>
      </c>
      <c r="FF116" s="72">
        <f t="shared" si="71"/>
        <v>0</v>
      </c>
      <c r="FG116" s="65"/>
      <c r="FH116" s="65"/>
      <c r="FI116" s="65"/>
      <c r="FJ116" s="56">
        <f t="shared" si="72"/>
        <v>0</v>
      </c>
      <c r="FK116" s="65"/>
      <c r="FL116" s="65"/>
      <c r="FM116" s="65"/>
      <c r="FN116" s="65"/>
      <c r="FO116" s="67">
        <f t="shared" si="73"/>
        <v>0</v>
      </c>
      <c r="FP116" s="57"/>
      <c r="FQ116" s="73"/>
      <c r="FR116" s="73"/>
      <c r="FS116" s="71">
        <f t="shared" si="74"/>
        <v>0</v>
      </c>
      <c r="FT116" s="91"/>
      <c r="FU116" s="91"/>
      <c r="FV116" s="67">
        <f>SUM(Tableau1[[#This Row],[Droits d''auteurs SACEM + cotisations SACEM]:[Autres ou non préciés]])</f>
        <v>0</v>
      </c>
      <c r="FW116" s="75">
        <f t="shared" si="75"/>
        <v>0</v>
      </c>
      <c r="FX116" s="74">
        <v>0</v>
      </c>
      <c r="FY116" s="74"/>
      <c r="FZ116" s="74"/>
      <c r="GA116" s="74"/>
      <c r="GB116" s="71">
        <f t="shared" si="76"/>
        <v>0</v>
      </c>
      <c r="GC116" s="92"/>
      <c r="GD116" s="92"/>
      <c r="GE116" s="67">
        <f t="shared" si="77"/>
        <v>0</v>
      </c>
      <c r="GF116" s="66"/>
      <c r="GG116" s="66"/>
      <c r="GH116" s="66"/>
      <c r="GI116" s="66"/>
      <c r="GJ116" s="77"/>
    </row>
    <row r="117" spans="1:192" ht="18.600000000000001" customHeight="1" x14ac:dyDescent="0.25">
      <c r="A117" s="89"/>
      <c r="B117" s="17"/>
      <c r="C117" s="50"/>
      <c r="D117" s="140"/>
      <c r="E117" s="51"/>
      <c r="F117" s="139">
        <f t="shared" si="81"/>
        <v>1</v>
      </c>
      <c r="G117" s="49"/>
      <c r="H117" s="50"/>
      <c r="I117" s="122"/>
      <c r="J117" s="49"/>
      <c r="K117" s="50"/>
      <c r="L117" s="50"/>
      <c r="M117" s="90"/>
      <c r="N117" s="50"/>
      <c r="O117" s="50"/>
      <c r="P117" s="90"/>
      <c r="Q117" s="52">
        <f t="shared" si="47"/>
        <v>0</v>
      </c>
      <c r="R117" s="52">
        <f t="shared" si="48"/>
        <v>0</v>
      </c>
      <c r="S117" s="53">
        <f t="shared" si="49"/>
        <v>0</v>
      </c>
      <c r="T117" s="54">
        <f t="shared" si="50"/>
        <v>0</v>
      </c>
      <c r="U117" s="115">
        <f>SUM(Tableau1[[#This Row],[Vente confiserie]:[Vente boisson]])</f>
        <v>0</v>
      </c>
      <c r="V117" s="55"/>
      <c r="W117" s="55"/>
      <c r="X117" s="135">
        <f>SUM(Tableau1[[#This Row],[Vente lunette]:[Location lunette]])</f>
        <v>0</v>
      </c>
      <c r="Y117" s="55"/>
      <c r="Z117" s="55"/>
      <c r="AA117" s="55"/>
      <c r="AB117" s="55"/>
      <c r="AC117" s="56">
        <f t="shared" si="79"/>
        <v>0</v>
      </c>
      <c r="AD117" s="57"/>
      <c r="AE117" s="57"/>
      <c r="AF117" s="57"/>
      <c r="AG117" s="57"/>
      <c r="AH117" s="57"/>
      <c r="AI117" s="57"/>
      <c r="AJ117" s="118">
        <f>(Tableau1[[#This Row],[Recette guichet ]]*1.1275177)-Tableau1[[#This Row],[Recette guichet ]]</f>
        <v>0</v>
      </c>
      <c r="AK117" s="57"/>
      <c r="AL117" s="56">
        <f t="shared" si="80"/>
        <v>0</v>
      </c>
      <c r="AM117" s="58"/>
      <c r="AN117" s="58"/>
      <c r="AO117" s="58"/>
      <c r="AP117" s="115">
        <f t="shared" si="51"/>
        <v>0</v>
      </c>
      <c r="AQ117" s="69"/>
      <c r="AR117" s="69"/>
      <c r="AS117" s="69"/>
      <c r="AT117" s="69"/>
      <c r="AU117" s="59">
        <f t="shared" si="52"/>
        <v>0</v>
      </c>
      <c r="AV117" s="60">
        <f t="shared" si="53"/>
        <v>0</v>
      </c>
      <c r="AW117" s="58"/>
      <c r="AX117" s="58"/>
      <c r="AY117" s="58"/>
      <c r="AZ117" s="60">
        <f t="shared" si="42"/>
        <v>0</v>
      </c>
      <c r="BA117" s="58"/>
      <c r="BB117" s="58"/>
      <c r="BC117" s="58"/>
      <c r="BD117" s="60">
        <f>SUM(Tableau1[[#This Row],[ticket/carte/abonnement périmé]:[Autres ou non précisé 5]])</f>
        <v>0</v>
      </c>
      <c r="BE117" s="58"/>
      <c r="BF117" s="58"/>
      <c r="BG117" s="58"/>
      <c r="BH117" s="61">
        <f t="shared" si="54"/>
        <v>0</v>
      </c>
      <c r="BI117" s="120"/>
      <c r="BJ117" s="120"/>
      <c r="BK117" s="62">
        <f t="shared" si="55"/>
        <v>0</v>
      </c>
      <c r="BL117" s="120"/>
      <c r="BM117" s="120"/>
      <c r="BN117" s="120"/>
      <c r="BO117" s="120"/>
      <c r="BP117" s="120"/>
      <c r="BQ117" s="63"/>
      <c r="BR117" s="52">
        <f t="shared" si="56"/>
        <v>0</v>
      </c>
      <c r="BS117" s="52">
        <f t="shared" si="57"/>
        <v>0</v>
      </c>
      <c r="BT117" s="61">
        <f t="shared" si="58"/>
        <v>0</v>
      </c>
      <c r="BU117" s="64">
        <f t="shared" si="59"/>
        <v>0</v>
      </c>
      <c r="BV117" s="119">
        <f>SUM(Tableau1[[#This Row],[Achats confiserie]:[Achats boisson]])</f>
        <v>0</v>
      </c>
      <c r="BW117" s="58"/>
      <c r="BX117" s="69"/>
      <c r="BY117" s="58"/>
      <c r="BZ117" s="56">
        <f t="shared" si="60"/>
        <v>0</v>
      </c>
      <c r="CA117" s="66"/>
      <c r="CB117" s="66"/>
      <c r="CC117" s="56">
        <f t="shared" si="61"/>
        <v>0</v>
      </c>
      <c r="CD117" s="55"/>
      <c r="CE117" s="65"/>
      <c r="CF117" s="55"/>
      <c r="CG117" s="55"/>
      <c r="CH117" s="67">
        <f t="shared" si="62"/>
        <v>0</v>
      </c>
      <c r="CI117" s="68">
        <f t="shared" si="78"/>
        <v>0</v>
      </c>
      <c r="CJ117" s="55"/>
      <c r="CK117" s="55"/>
      <c r="CL117" s="55"/>
      <c r="CM117" s="55"/>
      <c r="CN117" s="55"/>
      <c r="CO117" s="68">
        <f t="shared" si="63"/>
        <v>0</v>
      </c>
      <c r="CP117" s="75">
        <f>SUM(Tableau1[[#This Row],[Fourniture eau]:[Energie (non précisé)]])</f>
        <v>0</v>
      </c>
      <c r="CQ117" s="55"/>
      <c r="CR117" s="55"/>
      <c r="CS117" s="55"/>
      <c r="CT117" s="55"/>
      <c r="CU117" s="55"/>
      <c r="CV117" s="55">
        <v>0</v>
      </c>
      <c r="CW117" s="55"/>
      <c r="CX117" s="68">
        <f>SUM(Tableau1[[#This Row],[Sous-traitance]:[Autres ou non précisé 12]])</f>
        <v>0</v>
      </c>
      <c r="CY117" s="65"/>
      <c r="CZ117" s="65"/>
      <c r="DA117" s="65"/>
      <c r="DB117" s="65"/>
      <c r="DC117" s="55"/>
      <c r="DD117" s="68">
        <f t="shared" si="43"/>
        <v>0</v>
      </c>
      <c r="DE117" s="55"/>
      <c r="DF117" s="65"/>
      <c r="DG117" s="65"/>
      <c r="DH117" s="65"/>
      <c r="DI117" s="68">
        <f>SUM(Tableau1[[#This Row],[Entretien et réparation matériel de projection]:[Autres ou non précisé 14]])</f>
        <v>0</v>
      </c>
      <c r="DJ117" s="58"/>
      <c r="DK117" s="58"/>
      <c r="DL117" s="69"/>
      <c r="DM117" s="68">
        <f t="shared" si="64"/>
        <v>0</v>
      </c>
      <c r="DN117" s="58"/>
      <c r="DO117" s="58"/>
      <c r="DP117" s="68">
        <f t="shared" si="65"/>
        <v>0</v>
      </c>
      <c r="DQ117" s="65"/>
      <c r="DR117" s="65"/>
      <c r="DS117" s="68">
        <f t="shared" si="66"/>
        <v>0</v>
      </c>
      <c r="DT117" s="65"/>
      <c r="DU117" s="65"/>
      <c r="DV117" s="65"/>
      <c r="DW117" s="68">
        <f>SUM(Tableau1[[#This Row],[Comission et courtage sur achats]:[Autres ou honoraires
 non précisé ]])</f>
        <v>0</v>
      </c>
      <c r="DX117" s="57"/>
      <c r="DY117" s="57"/>
      <c r="DZ117" s="65"/>
      <c r="EA117" s="65"/>
      <c r="EB117" s="65"/>
      <c r="EC117" s="68">
        <f t="shared" si="67"/>
        <v>0</v>
      </c>
      <c r="ED117" s="69"/>
      <c r="EE117" s="69"/>
      <c r="EF117" s="69"/>
      <c r="EG117" s="69"/>
      <c r="EH117" s="69"/>
      <c r="EI117" s="84">
        <f>SUM(Tableau1[[#This Row],[Transports sur films]:[autres ]])</f>
        <v>0</v>
      </c>
      <c r="EJ117" s="132">
        <v>0</v>
      </c>
      <c r="EK117" s="132"/>
      <c r="EL117" s="68">
        <f t="shared" si="68"/>
        <v>0</v>
      </c>
      <c r="EM117" s="65"/>
      <c r="EN117" s="65">
        <v>0</v>
      </c>
      <c r="EO117" s="65"/>
      <c r="EP117" s="65"/>
      <c r="EQ117" s="65"/>
      <c r="ER117" s="65"/>
      <c r="ES117" s="65"/>
      <c r="ET117" s="68">
        <f t="shared" si="69"/>
        <v>0</v>
      </c>
      <c r="EU117" s="65"/>
      <c r="EV117" s="65"/>
      <c r="EW117" s="65"/>
      <c r="EX117" s="65"/>
      <c r="EY117" s="65"/>
      <c r="EZ117" s="68">
        <f t="shared" si="46"/>
        <v>0</v>
      </c>
      <c r="FA117" s="65"/>
      <c r="FB117" s="65"/>
      <c r="FC117" s="70">
        <f t="shared" si="44"/>
        <v>0</v>
      </c>
      <c r="FD117" s="65"/>
      <c r="FE117" s="71">
        <f t="shared" si="70"/>
        <v>0</v>
      </c>
      <c r="FF117" s="72">
        <f t="shared" si="71"/>
        <v>0</v>
      </c>
      <c r="FG117" s="65"/>
      <c r="FH117" s="65"/>
      <c r="FI117" s="65"/>
      <c r="FJ117" s="56">
        <f t="shared" si="72"/>
        <v>0</v>
      </c>
      <c r="FK117" s="65"/>
      <c r="FL117" s="65"/>
      <c r="FM117" s="65"/>
      <c r="FN117" s="65"/>
      <c r="FO117" s="67">
        <f t="shared" si="73"/>
        <v>0</v>
      </c>
      <c r="FP117" s="57"/>
      <c r="FQ117" s="73"/>
      <c r="FR117" s="73"/>
      <c r="FS117" s="71">
        <f t="shared" si="74"/>
        <v>0</v>
      </c>
      <c r="FT117" s="91"/>
      <c r="FU117" s="91"/>
      <c r="FV117" s="67">
        <f>SUM(Tableau1[[#This Row],[Droits d''auteurs SACEM + cotisations SACEM]:[Autres ou non préciés]])</f>
        <v>0</v>
      </c>
      <c r="FW117" s="75">
        <f t="shared" si="75"/>
        <v>0</v>
      </c>
      <c r="FX117" s="74">
        <v>0</v>
      </c>
      <c r="FY117" s="74"/>
      <c r="FZ117" s="74"/>
      <c r="GA117" s="74"/>
      <c r="GB117" s="71">
        <f t="shared" si="76"/>
        <v>0</v>
      </c>
      <c r="GC117" s="92"/>
      <c r="GD117" s="92"/>
      <c r="GE117" s="67">
        <f t="shared" si="77"/>
        <v>0</v>
      </c>
      <c r="GF117" s="66"/>
      <c r="GG117" s="66"/>
      <c r="GH117" s="66"/>
      <c r="GI117" s="66"/>
      <c r="GJ117" s="77"/>
    </row>
    <row r="118" spans="1:192" ht="18.600000000000001" customHeight="1" x14ac:dyDescent="0.25">
      <c r="A118" s="89"/>
      <c r="B118" s="17"/>
      <c r="C118" s="50"/>
      <c r="D118" s="140"/>
      <c r="E118" s="51"/>
      <c r="F118" s="139">
        <f t="shared" si="81"/>
        <v>1</v>
      </c>
      <c r="G118" s="49"/>
      <c r="H118" s="50"/>
      <c r="I118" s="122"/>
      <c r="J118" s="49"/>
      <c r="K118" s="50"/>
      <c r="L118" s="50"/>
      <c r="M118" s="90"/>
      <c r="N118" s="50"/>
      <c r="O118" s="50"/>
      <c r="P118" s="90"/>
      <c r="Q118" s="52">
        <f t="shared" si="47"/>
        <v>0</v>
      </c>
      <c r="R118" s="52">
        <f t="shared" si="48"/>
        <v>0</v>
      </c>
      <c r="S118" s="53">
        <f t="shared" si="49"/>
        <v>0</v>
      </c>
      <c r="T118" s="54">
        <f t="shared" si="50"/>
        <v>0</v>
      </c>
      <c r="U118" s="115">
        <f>SUM(Tableau1[[#This Row],[Vente confiserie]:[Vente boisson]])</f>
        <v>0</v>
      </c>
      <c r="V118" s="55"/>
      <c r="W118" s="55"/>
      <c r="X118" s="135">
        <f>SUM(Tableau1[[#This Row],[Vente lunette]:[Location lunette]])</f>
        <v>0</v>
      </c>
      <c r="Y118" s="55"/>
      <c r="Z118" s="55"/>
      <c r="AA118" s="55"/>
      <c r="AB118" s="55"/>
      <c r="AC118" s="56">
        <f t="shared" si="79"/>
        <v>0</v>
      </c>
      <c r="AD118" s="57"/>
      <c r="AE118" s="57"/>
      <c r="AF118" s="57"/>
      <c r="AG118" s="57"/>
      <c r="AH118" s="57"/>
      <c r="AI118" s="57"/>
      <c r="AJ118" s="118">
        <f>(Tableau1[[#This Row],[Recette guichet ]]*1.1275177)-Tableau1[[#This Row],[Recette guichet ]]</f>
        <v>0</v>
      </c>
      <c r="AK118" s="57"/>
      <c r="AL118" s="56">
        <f t="shared" si="80"/>
        <v>0</v>
      </c>
      <c r="AM118" s="58"/>
      <c r="AN118" s="58"/>
      <c r="AO118" s="58"/>
      <c r="AP118" s="115">
        <f t="shared" si="51"/>
        <v>0</v>
      </c>
      <c r="AQ118" s="69"/>
      <c r="AR118" s="69"/>
      <c r="AS118" s="69"/>
      <c r="AT118" s="69"/>
      <c r="AU118" s="59">
        <f t="shared" si="52"/>
        <v>0</v>
      </c>
      <c r="AV118" s="60">
        <f t="shared" si="53"/>
        <v>0</v>
      </c>
      <c r="AW118" s="58"/>
      <c r="AX118" s="58"/>
      <c r="AY118" s="58"/>
      <c r="AZ118" s="60">
        <f t="shared" si="42"/>
        <v>0</v>
      </c>
      <c r="BA118" s="58"/>
      <c r="BB118" s="58"/>
      <c r="BC118" s="58"/>
      <c r="BD118" s="60">
        <f>SUM(Tableau1[[#This Row],[ticket/carte/abonnement périmé]:[Autres ou non précisé 5]])</f>
        <v>0</v>
      </c>
      <c r="BE118" s="58"/>
      <c r="BF118" s="58"/>
      <c r="BG118" s="58"/>
      <c r="BH118" s="61">
        <f t="shared" si="54"/>
        <v>0</v>
      </c>
      <c r="BI118" s="120"/>
      <c r="BJ118" s="120"/>
      <c r="BK118" s="62">
        <f t="shared" si="55"/>
        <v>0</v>
      </c>
      <c r="BL118" s="120"/>
      <c r="BM118" s="120"/>
      <c r="BN118" s="120"/>
      <c r="BO118" s="120"/>
      <c r="BP118" s="120"/>
      <c r="BQ118" s="63"/>
      <c r="BR118" s="52">
        <f t="shared" si="56"/>
        <v>0</v>
      </c>
      <c r="BS118" s="52">
        <f t="shared" si="57"/>
        <v>0</v>
      </c>
      <c r="BT118" s="61">
        <f t="shared" si="58"/>
        <v>0</v>
      </c>
      <c r="BU118" s="64">
        <f t="shared" si="59"/>
        <v>0</v>
      </c>
      <c r="BV118" s="119">
        <f>SUM(Tableau1[[#This Row],[Achats confiserie]:[Achats boisson]])</f>
        <v>0</v>
      </c>
      <c r="BW118" s="58"/>
      <c r="BX118" s="69"/>
      <c r="BY118" s="58"/>
      <c r="BZ118" s="56">
        <f t="shared" si="60"/>
        <v>0</v>
      </c>
      <c r="CA118" s="66"/>
      <c r="CB118" s="66"/>
      <c r="CC118" s="56">
        <f t="shared" si="61"/>
        <v>0</v>
      </c>
      <c r="CD118" s="55"/>
      <c r="CE118" s="65"/>
      <c r="CF118" s="55"/>
      <c r="CG118" s="55"/>
      <c r="CH118" s="67">
        <f t="shared" si="62"/>
        <v>0</v>
      </c>
      <c r="CI118" s="68">
        <f t="shared" si="78"/>
        <v>0</v>
      </c>
      <c r="CJ118" s="55"/>
      <c r="CK118" s="55"/>
      <c r="CL118" s="55"/>
      <c r="CM118" s="55"/>
      <c r="CN118" s="55"/>
      <c r="CO118" s="68">
        <f t="shared" si="63"/>
        <v>0</v>
      </c>
      <c r="CP118" s="75">
        <f>SUM(Tableau1[[#This Row],[Fourniture eau]:[Energie (non précisé)]])</f>
        <v>0</v>
      </c>
      <c r="CQ118" s="55"/>
      <c r="CR118" s="55"/>
      <c r="CS118" s="55"/>
      <c r="CT118" s="55"/>
      <c r="CU118" s="55"/>
      <c r="CV118" s="55">
        <v>0</v>
      </c>
      <c r="CW118" s="55"/>
      <c r="CX118" s="68">
        <f>SUM(Tableau1[[#This Row],[Sous-traitance]:[Autres ou non précisé 12]])</f>
        <v>0</v>
      </c>
      <c r="CY118" s="65"/>
      <c r="CZ118" s="65"/>
      <c r="DA118" s="65"/>
      <c r="DB118" s="65"/>
      <c r="DC118" s="55"/>
      <c r="DD118" s="68">
        <f t="shared" si="43"/>
        <v>0</v>
      </c>
      <c r="DE118" s="55"/>
      <c r="DF118" s="65"/>
      <c r="DG118" s="65"/>
      <c r="DH118" s="65"/>
      <c r="DI118" s="68">
        <f>SUM(Tableau1[[#This Row],[Entretien et réparation matériel de projection]:[Autres ou non précisé 14]])</f>
        <v>0</v>
      </c>
      <c r="DJ118" s="58"/>
      <c r="DK118" s="58"/>
      <c r="DL118" s="69"/>
      <c r="DM118" s="68">
        <f t="shared" si="64"/>
        <v>0</v>
      </c>
      <c r="DN118" s="58"/>
      <c r="DO118" s="58"/>
      <c r="DP118" s="68">
        <f t="shared" si="65"/>
        <v>0</v>
      </c>
      <c r="DQ118" s="65"/>
      <c r="DR118" s="65"/>
      <c r="DS118" s="68">
        <f t="shared" si="66"/>
        <v>0</v>
      </c>
      <c r="DT118" s="65"/>
      <c r="DU118" s="65"/>
      <c r="DV118" s="65"/>
      <c r="DW118" s="68">
        <f>SUM(Tableau1[[#This Row],[Comission et courtage sur achats]:[Autres ou honoraires
 non précisé ]])</f>
        <v>0</v>
      </c>
      <c r="DX118" s="57"/>
      <c r="DY118" s="57"/>
      <c r="DZ118" s="65"/>
      <c r="EA118" s="65"/>
      <c r="EB118" s="65"/>
      <c r="EC118" s="68">
        <f t="shared" si="67"/>
        <v>0</v>
      </c>
      <c r="ED118" s="69"/>
      <c r="EE118" s="69"/>
      <c r="EF118" s="69"/>
      <c r="EG118" s="69"/>
      <c r="EH118" s="69"/>
      <c r="EI118" s="84">
        <f>SUM(Tableau1[[#This Row],[Transports sur films]:[autres ]])</f>
        <v>0</v>
      </c>
      <c r="EJ118" s="132">
        <v>0</v>
      </c>
      <c r="EK118" s="132"/>
      <c r="EL118" s="68">
        <f t="shared" si="68"/>
        <v>0</v>
      </c>
      <c r="EM118" s="65"/>
      <c r="EN118" s="65">
        <v>0</v>
      </c>
      <c r="EO118" s="65"/>
      <c r="EP118" s="65"/>
      <c r="EQ118" s="65"/>
      <c r="ER118" s="65"/>
      <c r="ES118" s="65"/>
      <c r="ET118" s="68">
        <f t="shared" si="69"/>
        <v>0</v>
      </c>
      <c r="EU118" s="65"/>
      <c r="EV118" s="65"/>
      <c r="EW118" s="65"/>
      <c r="EX118" s="65"/>
      <c r="EY118" s="65"/>
      <c r="EZ118" s="68">
        <f t="shared" si="46"/>
        <v>0</v>
      </c>
      <c r="FA118" s="65"/>
      <c r="FB118" s="65"/>
      <c r="FC118" s="70">
        <f t="shared" si="44"/>
        <v>0</v>
      </c>
      <c r="FD118" s="65"/>
      <c r="FE118" s="71">
        <f t="shared" si="70"/>
        <v>0</v>
      </c>
      <c r="FF118" s="72">
        <f t="shared" si="71"/>
        <v>0</v>
      </c>
      <c r="FG118" s="65"/>
      <c r="FH118" s="65"/>
      <c r="FI118" s="65"/>
      <c r="FJ118" s="56">
        <f t="shared" si="72"/>
        <v>0</v>
      </c>
      <c r="FK118" s="65"/>
      <c r="FL118" s="65"/>
      <c r="FM118" s="65"/>
      <c r="FN118" s="65"/>
      <c r="FO118" s="67">
        <f t="shared" si="73"/>
        <v>0</v>
      </c>
      <c r="FP118" s="57"/>
      <c r="FQ118" s="73"/>
      <c r="FR118" s="73"/>
      <c r="FS118" s="71">
        <f t="shared" si="74"/>
        <v>0</v>
      </c>
      <c r="FT118" s="91"/>
      <c r="FU118" s="91"/>
      <c r="FV118" s="67">
        <f>SUM(Tableau1[[#This Row],[Droits d''auteurs SACEM + cotisations SACEM]:[Autres ou non préciés]])</f>
        <v>0</v>
      </c>
      <c r="FW118" s="75">
        <f t="shared" si="75"/>
        <v>0</v>
      </c>
      <c r="FX118" s="74">
        <v>0</v>
      </c>
      <c r="FY118" s="74"/>
      <c r="FZ118" s="74"/>
      <c r="GA118" s="74"/>
      <c r="GB118" s="71">
        <f t="shared" si="76"/>
        <v>0</v>
      </c>
      <c r="GC118" s="92"/>
      <c r="GD118" s="92"/>
      <c r="GE118" s="67">
        <f t="shared" si="77"/>
        <v>0</v>
      </c>
      <c r="GF118" s="66"/>
      <c r="GG118" s="66"/>
      <c r="GH118" s="66"/>
      <c r="GI118" s="66"/>
      <c r="GJ118" s="77"/>
    </row>
    <row r="119" spans="1:192" ht="18.600000000000001" customHeight="1" x14ac:dyDescent="0.25">
      <c r="A119" s="89"/>
      <c r="B119" s="17"/>
      <c r="C119" s="50"/>
      <c r="D119" s="140"/>
      <c r="E119" s="51"/>
      <c r="F119" s="139">
        <f t="shared" si="81"/>
        <v>1</v>
      </c>
      <c r="G119" s="49"/>
      <c r="H119" s="50"/>
      <c r="I119" s="122"/>
      <c r="J119" s="49"/>
      <c r="K119" s="50"/>
      <c r="L119" s="50"/>
      <c r="M119" s="90"/>
      <c r="N119" s="50"/>
      <c r="O119" s="50"/>
      <c r="P119" s="90"/>
      <c r="Q119" s="52">
        <f t="shared" si="47"/>
        <v>0</v>
      </c>
      <c r="R119" s="52">
        <f t="shared" si="48"/>
        <v>0</v>
      </c>
      <c r="S119" s="53">
        <f t="shared" si="49"/>
        <v>0</v>
      </c>
      <c r="T119" s="54">
        <f t="shared" si="50"/>
        <v>0</v>
      </c>
      <c r="U119" s="115">
        <f>SUM(Tableau1[[#This Row],[Vente confiserie]:[Vente boisson]])</f>
        <v>0</v>
      </c>
      <c r="V119" s="55"/>
      <c r="W119" s="55"/>
      <c r="X119" s="135">
        <f>SUM(Tableau1[[#This Row],[Vente lunette]:[Location lunette]])</f>
        <v>0</v>
      </c>
      <c r="Y119" s="55"/>
      <c r="Z119" s="55"/>
      <c r="AA119" s="55"/>
      <c r="AB119" s="55"/>
      <c r="AC119" s="56">
        <f t="shared" si="79"/>
        <v>0</v>
      </c>
      <c r="AD119" s="57"/>
      <c r="AE119" s="57"/>
      <c r="AF119" s="57"/>
      <c r="AG119" s="57"/>
      <c r="AH119" s="57"/>
      <c r="AI119" s="57"/>
      <c r="AJ119" s="118">
        <f>(Tableau1[[#This Row],[Recette guichet ]]*1.1275177)-Tableau1[[#This Row],[Recette guichet ]]</f>
        <v>0</v>
      </c>
      <c r="AK119" s="57"/>
      <c r="AL119" s="56">
        <f t="shared" si="80"/>
        <v>0</v>
      </c>
      <c r="AM119" s="58"/>
      <c r="AN119" s="58"/>
      <c r="AO119" s="58"/>
      <c r="AP119" s="115">
        <f t="shared" si="51"/>
        <v>0</v>
      </c>
      <c r="AQ119" s="69"/>
      <c r="AR119" s="69"/>
      <c r="AS119" s="69"/>
      <c r="AT119" s="69"/>
      <c r="AU119" s="59">
        <f t="shared" si="52"/>
        <v>0</v>
      </c>
      <c r="AV119" s="60">
        <f t="shared" si="53"/>
        <v>0</v>
      </c>
      <c r="AW119" s="58"/>
      <c r="AX119" s="58"/>
      <c r="AY119" s="58"/>
      <c r="AZ119" s="60">
        <f t="shared" si="42"/>
        <v>0</v>
      </c>
      <c r="BA119" s="58"/>
      <c r="BB119" s="58"/>
      <c r="BC119" s="58"/>
      <c r="BD119" s="60">
        <f>SUM(Tableau1[[#This Row],[ticket/carte/abonnement périmé]:[Autres ou non précisé 5]])</f>
        <v>0</v>
      </c>
      <c r="BE119" s="58"/>
      <c r="BF119" s="58"/>
      <c r="BG119" s="58"/>
      <c r="BH119" s="61">
        <f t="shared" si="54"/>
        <v>0</v>
      </c>
      <c r="BI119" s="120"/>
      <c r="BJ119" s="120"/>
      <c r="BK119" s="62">
        <f t="shared" si="55"/>
        <v>0</v>
      </c>
      <c r="BL119" s="120"/>
      <c r="BM119" s="120"/>
      <c r="BN119" s="120"/>
      <c r="BO119" s="120"/>
      <c r="BP119" s="120"/>
      <c r="BQ119" s="63"/>
      <c r="BR119" s="52">
        <f t="shared" si="56"/>
        <v>0</v>
      </c>
      <c r="BS119" s="52">
        <f t="shared" si="57"/>
        <v>0</v>
      </c>
      <c r="BT119" s="61">
        <f t="shared" si="58"/>
        <v>0</v>
      </c>
      <c r="BU119" s="64">
        <f t="shared" si="59"/>
        <v>0</v>
      </c>
      <c r="BV119" s="119">
        <f>SUM(Tableau1[[#This Row],[Achats confiserie]:[Achats boisson]])</f>
        <v>0</v>
      </c>
      <c r="BW119" s="58"/>
      <c r="BX119" s="69"/>
      <c r="BY119" s="58"/>
      <c r="BZ119" s="56">
        <f t="shared" si="60"/>
        <v>0</v>
      </c>
      <c r="CA119" s="66"/>
      <c r="CB119" s="66"/>
      <c r="CC119" s="56">
        <f t="shared" si="61"/>
        <v>0</v>
      </c>
      <c r="CD119" s="55"/>
      <c r="CE119" s="65"/>
      <c r="CF119" s="55"/>
      <c r="CG119" s="55"/>
      <c r="CH119" s="67">
        <f t="shared" si="62"/>
        <v>0</v>
      </c>
      <c r="CI119" s="68">
        <f t="shared" si="78"/>
        <v>0</v>
      </c>
      <c r="CJ119" s="55"/>
      <c r="CK119" s="55"/>
      <c r="CL119" s="55"/>
      <c r="CM119" s="55"/>
      <c r="CN119" s="55"/>
      <c r="CO119" s="68">
        <f t="shared" si="63"/>
        <v>0</v>
      </c>
      <c r="CP119" s="75">
        <f>SUM(Tableau1[[#This Row],[Fourniture eau]:[Energie (non précisé)]])</f>
        <v>0</v>
      </c>
      <c r="CQ119" s="55"/>
      <c r="CR119" s="55"/>
      <c r="CS119" s="55"/>
      <c r="CT119" s="55"/>
      <c r="CU119" s="55"/>
      <c r="CV119" s="55">
        <v>0</v>
      </c>
      <c r="CW119" s="55"/>
      <c r="CX119" s="68">
        <f>SUM(Tableau1[[#This Row],[Sous-traitance]:[Autres ou non précisé 12]])</f>
        <v>0</v>
      </c>
      <c r="CY119" s="65"/>
      <c r="CZ119" s="65"/>
      <c r="DA119" s="65"/>
      <c r="DB119" s="65"/>
      <c r="DC119" s="55"/>
      <c r="DD119" s="68">
        <f t="shared" si="43"/>
        <v>0</v>
      </c>
      <c r="DE119" s="55"/>
      <c r="DF119" s="65"/>
      <c r="DG119" s="65"/>
      <c r="DH119" s="65"/>
      <c r="DI119" s="68">
        <f>SUM(Tableau1[[#This Row],[Entretien et réparation matériel de projection]:[Autres ou non précisé 14]])</f>
        <v>0</v>
      </c>
      <c r="DJ119" s="58"/>
      <c r="DK119" s="58"/>
      <c r="DL119" s="69"/>
      <c r="DM119" s="68">
        <f t="shared" si="64"/>
        <v>0</v>
      </c>
      <c r="DN119" s="58"/>
      <c r="DO119" s="58"/>
      <c r="DP119" s="68">
        <f t="shared" si="65"/>
        <v>0</v>
      </c>
      <c r="DQ119" s="65"/>
      <c r="DR119" s="65"/>
      <c r="DS119" s="68">
        <f t="shared" si="66"/>
        <v>0</v>
      </c>
      <c r="DT119" s="65"/>
      <c r="DU119" s="65"/>
      <c r="DV119" s="65"/>
      <c r="DW119" s="68">
        <f>SUM(Tableau1[[#This Row],[Comission et courtage sur achats]:[Autres ou honoraires
 non précisé ]])</f>
        <v>0</v>
      </c>
      <c r="DX119" s="57"/>
      <c r="DY119" s="57"/>
      <c r="DZ119" s="65"/>
      <c r="EA119" s="65"/>
      <c r="EB119" s="65"/>
      <c r="EC119" s="68">
        <f t="shared" si="67"/>
        <v>0</v>
      </c>
      <c r="ED119" s="69"/>
      <c r="EE119" s="69"/>
      <c r="EF119" s="69"/>
      <c r="EG119" s="69"/>
      <c r="EH119" s="69"/>
      <c r="EI119" s="84">
        <f>SUM(Tableau1[[#This Row],[Transports sur films]:[autres ]])</f>
        <v>0</v>
      </c>
      <c r="EJ119" s="132">
        <v>0</v>
      </c>
      <c r="EK119" s="132"/>
      <c r="EL119" s="68">
        <f t="shared" si="68"/>
        <v>0</v>
      </c>
      <c r="EM119" s="65"/>
      <c r="EN119" s="65">
        <v>0</v>
      </c>
      <c r="EO119" s="65"/>
      <c r="EP119" s="65"/>
      <c r="EQ119" s="65"/>
      <c r="ER119" s="65"/>
      <c r="ES119" s="65"/>
      <c r="ET119" s="68">
        <f t="shared" si="69"/>
        <v>0</v>
      </c>
      <c r="EU119" s="65"/>
      <c r="EV119" s="65"/>
      <c r="EW119" s="65"/>
      <c r="EX119" s="65"/>
      <c r="EY119" s="65"/>
      <c r="EZ119" s="68">
        <f t="shared" si="46"/>
        <v>0</v>
      </c>
      <c r="FA119" s="65"/>
      <c r="FB119" s="65"/>
      <c r="FC119" s="70">
        <f t="shared" si="44"/>
        <v>0</v>
      </c>
      <c r="FD119" s="65"/>
      <c r="FE119" s="71">
        <f t="shared" si="70"/>
        <v>0</v>
      </c>
      <c r="FF119" s="72">
        <f t="shared" si="71"/>
        <v>0</v>
      </c>
      <c r="FG119" s="65"/>
      <c r="FH119" s="65"/>
      <c r="FI119" s="65"/>
      <c r="FJ119" s="56">
        <f t="shared" si="72"/>
        <v>0</v>
      </c>
      <c r="FK119" s="65"/>
      <c r="FL119" s="65"/>
      <c r="FM119" s="65"/>
      <c r="FN119" s="65"/>
      <c r="FO119" s="67">
        <f t="shared" si="73"/>
        <v>0</v>
      </c>
      <c r="FP119" s="57"/>
      <c r="FQ119" s="73"/>
      <c r="FR119" s="73"/>
      <c r="FS119" s="71">
        <f t="shared" si="74"/>
        <v>0</v>
      </c>
      <c r="FT119" s="91"/>
      <c r="FU119" s="91"/>
      <c r="FV119" s="67">
        <f>SUM(Tableau1[[#This Row],[Droits d''auteurs SACEM + cotisations SACEM]:[Autres ou non préciés]])</f>
        <v>0</v>
      </c>
      <c r="FW119" s="75">
        <f t="shared" si="75"/>
        <v>0</v>
      </c>
      <c r="FX119" s="74">
        <v>0</v>
      </c>
      <c r="FY119" s="74"/>
      <c r="FZ119" s="74"/>
      <c r="GA119" s="74"/>
      <c r="GB119" s="71">
        <f t="shared" si="76"/>
        <v>0</v>
      </c>
      <c r="GC119" s="92"/>
      <c r="GD119" s="92"/>
      <c r="GE119" s="67">
        <f t="shared" si="77"/>
        <v>0</v>
      </c>
      <c r="GF119" s="66"/>
      <c r="GG119" s="66"/>
      <c r="GH119" s="66"/>
      <c r="GI119" s="66"/>
      <c r="GJ119" s="77"/>
    </row>
    <row r="120" spans="1:192" ht="18.600000000000001" customHeight="1" x14ac:dyDescent="0.25">
      <c r="A120" s="89"/>
      <c r="B120" s="17"/>
      <c r="C120" s="50"/>
      <c r="D120" s="140"/>
      <c r="E120" s="51"/>
      <c r="F120" s="139">
        <f t="shared" si="81"/>
        <v>1</v>
      </c>
      <c r="G120" s="49"/>
      <c r="H120" s="50"/>
      <c r="I120" s="122"/>
      <c r="J120" s="49"/>
      <c r="K120" s="50"/>
      <c r="L120" s="50"/>
      <c r="M120" s="90"/>
      <c r="N120" s="50"/>
      <c r="O120" s="50"/>
      <c r="P120" s="90"/>
      <c r="Q120" s="52">
        <f t="shared" si="47"/>
        <v>0</v>
      </c>
      <c r="R120" s="52">
        <f t="shared" si="48"/>
        <v>0</v>
      </c>
      <c r="S120" s="53">
        <f t="shared" si="49"/>
        <v>0</v>
      </c>
      <c r="T120" s="54">
        <f t="shared" si="50"/>
        <v>0</v>
      </c>
      <c r="U120" s="115">
        <f>SUM(Tableau1[[#This Row],[Vente confiserie]:[Vente boisson]])</f>
        <v>0</v>
      </c>
      <c r="V120" s="55"/>
      <c r="W120" s="55"/>
      <c r="X120" s="135">
        <f>SUM(Tableau1[[#This Row],[Vente lunette]:[Location lunette]])</f>
        <v>0</v>
      </c>
      <c r="Y120" s="55"/>
      <c r="Z120" s="55"/>
      <c r="AA120" s="55"/>
      <c r="AB120" s="55"/>
      <c r="AC120" s="56">
        <f t="shared" si="79"/>
        <v>0</v>
      </c>
      <c r="AD120" s="57"/>
      <c r="AE120" s="57"/>
      <c r="AF120" s="57"/>
      <c r="AG120" s="57"/>
      <c r="AH120" s="57"/>
      <c r="AI120" s="57"/>
      <c r="AJ120" s="118">
        <f>(Tableau1[[#This Row],[Recette guichet ]]*1.1275177)-Tableau1[[#This Row],[Recette guichet ]]</f>
        <v>0</v>
      </c>
      <c r="AK120" s="57"/>
      <c r="AL120" s="56">
        <f t="shared" si="80"/>
        <v>0</v>
      </c>
      <c r="AM120" s="58"/>
      <c r="AN120" s="58"/>
      <c r="AO120" s="58"/>
      <c r="AP120" s="115">
        <f t="shared" si="51"/>
        <v>0</v>
      </c>
      <c r="AQ120" s="69"/>
      <c r="AR120" s="69"/>
      <c r="AS120" s="69"/>
      <c r="AT120" s="69"/>
      <c r="AU120" s="59">
        <f t="shared" si="52"/>
        <v>0</v>
      </c>
      <c r="AV120" s="60">
        <f t="shared" si="53"/>
        <v>0</v>
      </c>
      <c r="AW120" s="58"/>
      <c r="AX120" s="58"/>
      <c r="AY120" s="58"/>
      <c r="AZ120" s="60">
        <f t="shared" ref="AZ120:AZ183" si="82">SUM(BA120:BC120)</f>
        <v>0</v>
      </c>
      <c r="BA120" s="58"/>
      <c r="BB120" s="58"/>
      <c r="BC120" s="58"/>
      <c r="BD120" s="60">
        <f>SUM(Tableau1[[#This Row],[ticket/carte/abonnement périmé]:[Autres ou non précisé 5]])</f>
        <v>0</v>
      </c>
      <c r="BE120" s="58"/>
      <c r="BF120" s="58"/>
      <c r="BG120" s="58"/>
      <c r="BH120" s="61">
        <f t="shared" si="54"/>
        <v>0</v>
      </c>
      <c r="BI120" s="120"/>
      <c r="BJ120" s="120"/>
      <c r="BK120" s="62">
        <f t="shared" si="55"/>
        <v>0</v>
      </c>
      <c r="BL120" s="120"/>
      <c r="BM120" s="120"/>
      <c r="BN120" s="120"/>
      <c r="BO120" s="120"/>
      <c r="BP120" s="120"/>
      <c r="BQ120" s="63"/>
      <c r="BR120" s="52">
        <f t="shared" si="56"/>
        <v>0</v>
      </c>
      <c r="BS120" s="52">
        <f t="shared" si="57"/>
        <v>0</v>
      </c>
      <c r="BT120" s="61">
        <f t="shared" si="58"/>
        <v>0</v>
      </c>
      <c r="BU120" s="64">
        <f t="shared" si="59"/>
        <v>0</v>
      </c>
      <c r="BV120" s="119">
        <f>SUM(Tableau1[[#This Row],[Achats confiserie]:[Achats boisson]])</f>
        <v>0</v>
      </c>
      <c r="BW120" s="58"/>
      <c r="BX120" s="69"/>
      <c r="BY120" s="58"/>
      <c r="BZ120" s="56">
        <f t="shared" si="60"/>
        <v>0</v>
      </c>
      <c r="CA120" s="66"/>
      <c r="CB120" s="66"/>
      <c r="CC120" s="56">
        <f t="shared" si="61"/>
        <v>0</v>
      </c>
      <c r="CD120" s="55"/>
      <c r="CE120" s="65"/>
      <c r="CF120" s="55"/>
      <c r="CG120" s="55"/>
      <c r="CH120" s="67">
        <f t="shared" si="62"/>
        <v>0</v>
      </c>
      <c r="CI120" s="68">
        <f t="shared" si="78"/>
        <v>0</v>
      </c>
      <c r="CJ120" s="55"/>
      <c r="CK120" s="55"/>
      <c r="CL120" s="55"/>
      <c r="CM120" s="55"/>
      <c r="CN120" s="55"/>
      <c r="CO120" s="68">
        <f t="shared" si="63"/>
        <v>0</v>
      </c>
      <c r="CP120" s="75">
        <f>SUM(Tableau1[[#This Row],[Fourniture eau]:[Energie (non précisé)]])</f>
        <v>0</v>
      </c>
      <c r="CQ120" s="55"/>
      <c r="CR120" s="55"/>
      <c r="CS120" s="55"/>
      <c r="CT120" s="55"/>
      <c r="CU120" s="55"/>
      <c r="CV120" s="55">
        <v>0</v>
      </c>
      <c r="CW120" s="55"/>
      <c r="CX120" s="68">
        <f>SUM(Tableau1[[#This Row],[Sous-traitance]:[Autres ou non précisé 12]])</f>
        <v>0</v>
      </c>
      <c r="CY120" s="65"/>
      <c r="CZ120" s="65"/>
      <c r="DA120" s="65"/>
      <c r="DB120" s="65"/>
      <c r="DC120" s="55"/>
      <c r="DD120" s="68">
        <f t="shared" ref="DD120:DD183" si="83">SUM(DE120:DH120)</f>
        <v>0</v>
      </c>
      <c r="DE120" s="55"/>
      <c r="DF120" s="65"/>
      <c r="DG120" s="65"/>
      <c r="DH120" s="65"/>
      <c r="DI120" s="68">
        <f>SUM(Tableau1[[#This Row],[Entretien et réparation matériel de projection]:[Autres ou non précisé 14]])</f>
        <v>0</v>
      </c>
      <c r="DJ120" s="58"/>
      <c r="DK120" s="58"/>
      <c r="DL120" s="69"/>
      <c r="DM120" s="68">
        <f t="shared" si="64"/>
        <v>0</v>
      </c>
      <c r="DN120" s="58"/>
      <c r="DO120" s="58"/>
      <c r="DP120" s="68">
        <f t="shared" si="65"/>
        <v>0</v>
      </c>
      <c r="DQ120" s="65"/>
      <c r="DR120" s="65"/>
      <c r="DS120" s="68">
        <f t="shared" si="66"/>
        <v>0</v>
      </c>
      <c r="DT120" s="65"/>
      <c r="DU120" s="65"/>
      <c r="DV120" s="65"/>
      <c r="DW120" s="68">
        <f>SUM(Tableau1[[#This Row],[Comission et courtage sur achats]:[Autres ou honoraires
 non précisé ]])</f>
        <v>0</v>
      </c>
      <c r="DX120" s="57"/>
      <c r="DY120" s="57"/>
      <c r="DZ120" s="65"/>
      <c r="EA120" s="65"/>
      <c r="EB120" s="65"/>
      <c r="EC120" s="68">
        <f t="shared" si="67"/>
        <v>0</v>
      </c>
      <c r="ED120" s="69"/>
      <c r="EE120" s="69"/>
      <c r="EF120" s="69"/>
      <c r="EG120" s="69"/>
      <c r="EH120" s="69"/>
      <c r="EI120" s="84">
        <f>SUM(Tableau1[[#This Row],[Transports sur films]:[autres ]])</f>
        <v>0</v>
      </c>
      <c r="EJ120" s="132">
        <v>0</v>
      </c>
      <c r="EK120" s="132"/>
      <c r="EL120" s="68">
        <f t="shared" si="68"/>
        <v>0</v>
      </c>
      <c r="EM120" s="65"/>
      <c r="EN120" s="65">
        <v>0</v>
      </c>
      <c r="EO120" s="65"/>
      <c r="EP120" s="65"/>
      <c r="EQ120" s="65"/>
      <c r="ER120" s="65"/>
      <c r="ES120" s="65"/>
      <c r="ET120" s="68">
        <f t="shared" si="69"/>
        <v>0</v>
      </c>
      <c r="EU120" s="65"/>
      <c r="EV120" s="65"/>
      <c r="EW120" s="65"/>
      <c r="EX120" s="65"/>
      <c r="EY120" s="65"/>
      <c r="EZ120" s="68">
        <f t="shared" si="46"/>
        <v>0</v>
      </c>
      <c r="FA120" s="65"/>
      <c r="FB120" s="65"/>
      <c r="FC120" s="70">
        <f t="shared" ref="FC120:FC183" si="84">SUM(FD120:FD120)</f>
        <v>0</v>
      </c>
      <c r="FD120" s="65"/>
      <c r="FE120" s="71">
        <f t="shared" si="70"/>
        <v>0</v>
      </c>
      <c r="FF120" s="72">
        <f t="shared" si="71"/>
        <v>0</v>
      </c>
      <c r="FG120" s="65"/>
      <c r="FH120" s="65"/>
      <c r="FI120" s="65"/>
      <c r="FJ120" s="56">
        <f t="shared" si="72"/>
        <v>0</v>
      </c>
      <c r="FK120" s="65"/>
      <c r="FL120" s="65"/>
      <c r="FM120" s="65"/>
      <c r="FN120" s="65"/>
      <c r="FO120" s="67">
        <f t="shared" si="73"/>
        <v>0</v>
      </c>
      <c r="FP120" s="57"/>
      <c r="FQ120" s="73"/>
      <c r="FR120" s="73"/>
      <c r="FS120" s="71">
        <f t="shared" si="74"/>
        <v>0</v>
      </c>
      <c r="FT120" s="91"/>
      <c r="FU120" s="91"/>
      <c r="FV120" s="67">
        <f>SUM(Tableau1[[#This Row],[Droits d''auteurs SACEM + cotisations SACEM]:[Autres ou non préciés]])</f>
        <v>0</v>
      </c>
      <c r="FW120" s="75">
        <f t="shared" si="75"/>
        <v>0</v>
      </c>
      <c r="FX120" s="74">
        <v>0</v>
      </c>
      <c r="FY120" s="74"/>
      <c r="FZ120" s="74"/>
      <c r="GA120" s="74"/>
      <c r="GB120" s="71">
        <f t="shared" si="76"/>
        <v>0</v>
      </c>
      <c r="GC120" s="92"/>
      <c r="GD120" s="92"/>
      <c r="GE120" s="67">
        <f t="shared" si="77"/>
        <v>0</v>
      </c>
      <c r="GF120" s="66"/>
      <c r="GG120" s="66"/>
      <c r="GH120" s="66"/>
      <c r="GI120" s="66"/>
      <c r="GJ120" s="77"/>
    </row>
    <row r="121" spans="1:192" ht="18.600000000000001" customHeight="1" x14ac:dyDescent="0.25">
      <c r="A121" s="89"/>
      <c r="B121" s="17"/>
      <c r="C121" s="50"/>
      <c r="D121" s="140"/>
      <c r="E121" s="51"/>
      <c r="F121" s="139">
        <f t="shared" si="81"/>
        <v>1</v>
      </c>
      <c r="G121" s="49"/>
      <c r="H121" s="50"/>
      <c r="I121" s="122"/>
      <c r="J121" s="49"/>
      <c r="K121" s="50"/>
      <c r="L121" s="50"/>
      <c r="M121" s="90"/>
      <c r="N121" s="50"/>
      <c r="O121" s="50"/>
      <c r="P121" s="90"/>
      <c r="Q121" s="52">
        <f t="shared" si="47"/>
        <v>0</v>
      </c>
      <c r="R121" s="52">
        <f t="shared" si="48"/>
        <v>0</v>
      </c>
      <c r="S121" s="53">
        <f t="shared" si="49"/>
        <v>0</v>
      </c>
      <c r="T121" s="54">
        <f t="shared" si="50"/>
        <v>0</v>
      </c>
      <c r="U121" s="115">
        <f>SUM(Tableau1[[#This Row],[Vente confiserie]:[Vente boisson]])</f>
        <v>0</v>
      </c>
      <c r="V121" s="55"/>
      <c r="W121" s="55"/>
      <c r="X121" s="135">
        <f>SUM(Tableau1[[#This Row],[Vente lunette]:[Location lunette]])</f>
        <v>0</v>
      </c>
      <c r="Y121" s="55"/>
      <c r="Z121" s="55"/>
      <c r="AA121" s="55"/>
      <c r="AB121" s="55"/>
      <c r="AC121" s="56">
        <f t="shared" si="79"/>
        <v>0</v>
      </c>
      <c r="AD121" s="57"/>
      <c r="AE121" s="57"/>
      <c r="AF121" s="57"/>
      <c r="AG121" s="57"/>
      <c r="AH121" s="57"/>
      <c r="AI121" s="57"/>
      <c r="AJ121" s="118">
        <f>(Tableau1[[#This Row],[Recette guichet ]]*1.1275177)-Tableau1[[#This Row],[Recette guichet ]]</f>
        <v>0</v>
      </c>
      <c r="AK121" s="57"/>
      <c r="AL121" s="56">
        <f t="shared" si="80"/>
        <v>0</v>
      </c>
      <c r="AM121" s="58"/>
      <c r="AN121" s="58"/>
      <c r="AO121" s="58"/>
      <c r="AP121" s="115">
        <f t="shared" si="51"/>
        <v>0</v>
      </c>
      <c r="AQ121" s="69"/>
      <c r="AR121" s="69"/>
      <c r="AS121" s="69"/>
      <c r="AT121" s="69"/>
      <c r="AU121" s="59">
        <f t="shared" si="52"/>
        <v>0</v>
      </c>
      <c r="AV121" s="60">
        <f t="shared" si="53"/>
        <v>0</v>
      </c>
      <c r="AW121" s="58"/>
      <c r="AX121" s="58"/>
      <c r="AY121" s="58"/>
      <c r="AZ121" s="60">
        <f t="shared" si="82"/>
        <v>0</v>
      </c>
      <c r="BA121" s="58"/>
      <c r="BB121" s="58"/>
      <c r="BC121" s="58"/>
      <c r="BD121" s="60">
        <f>SUM(Tableau1[[#This Row],[ticket/carte/abonnement périmé]:[Autres ou non précisé 5]])</f>
        <v>0</v>
      </c>
      <c r="BE121" s="58"/>
      <c r="BF121" s="58"/>
      <c r="BG121" s="58"/>
      <c r="BH121" s="61">
        <f t="shared" si="54"/>
        <v>0</v>
      </c>
      <c r="BI121" s="120"/>
      <c r="BJ121" s="120"/>
      <c r="BK121" s="62">
        <f t="shared" si="55"/>
        <v>0</v>
      </c>
      <c r="BL121" s="120"/>
      <c r="BM121" s="120"/>
      <c r="BN121" s="120"/>
      <c r="BO121" s="120"/>
      <c r="BP121" s="120"/>
      <c r="BQ121" s="63"/>
      <c r="BR121" s="52">
        <f t="shared" si="56"/>
        <v>0</v>
      </c>
      <c r="BS121" s="52">
        <f t="shared" si="57"/>
        <v>0</v>
      </c>
      <c r="BT121" s="61">
        <f t="shared" si="58"/>
        <v>0</v>
      </c>
      <c r="BU121" s="64">
        <f t="shared" si="59"/>
        <v>0</v>
      </c>
      <c r="BV121" s="119">
        <f>SUM(Tableau1[[#This Row],[Achats confiserie]:[Achats boisson]])</f>
        <v>0</v>
      </c>
      <c r="BW121" s="58"/>
      <c r="BX121" s="69"/>
      <c r="BY121" s="58"/>
      <c r="BZ121" s="56">
        <f t="shared" si="60"/>
        <v>0</v>
      </c>
      <c r="CA121" s="66"/>
      <c r="CB121" s="66"/>
      <c r="CC121" s="56">
        <f t="shared" si="61"/>
        <v>0</v>
      </c>
      <c r="CD121" s="55"/>
      <c r="CE121" s="65"/>
      <c r="CF121" s="55"/>
      <c r="CG121" s="55"/>
      <c r="CH121" s="67">
        <f t="shared" si="62"/>
        <v>0</v>
      </c>
      <c r="CI121" s="68">
        <f t="shared" si="78"/>
        <v>0</v>
      </c>
      <c r="CJ121" s="55"/>
      <c r="CK121" s="55"/>
      <c r="CL121" s="55"/>
      <c r="CM121" s="55"/>
      <c r="CN121" s="55"/>
      <c r="CO121" s="68">
        <f t="shared" si="63"/>
        <v>0</v>
      </c>
      <c r="CP121" s="75">
        <f>SUM(Tableau1[[#This Row],[Fourniture eau]:[Energie (non précisé)]])</f>
        <v>0</v>
      </c>
      <c r="CQ121" s="55"/>
      <c r="CR121" s="55"/>
      <c r="CS121" s="55"/>
      <c r="CT121" s="55"/>
      <c r="CU121" s="55"/>
      <c r="CV121" s="55">
        <v>0</v>
      </c>
      <c r="CW121" s="55"/>
      <c r="CX121" s="68">
        <f>SUM(Tableau1[[#This Row],[Sous-traitance]:[Autres ou non précisé 12]])</f>
        <v>0</v>
      </c>
      <c r="CY121" s="65"/>
      <c r="CZ121" s="65"/>
      <c r="DA121" s="65"/>
      <c r="DB121" s="65"/>
      <c r="DC121" s="55"/>
      <c r="DD121" s="68">
        <f t="shared" si="83"/>
        <v>0</v>
      </c>
      <c r="DE121" s="55"/>
      <c r="DF121" s="65"/>
      <c r="DG121" s="65"/>
      <c r="DH121" s="65"/>
      <c r="DI121" s="68">
        <f>SUM(Tableau1[[#This Row],[Entretien et réparation matériel de projection]:[Autres ou non précisé 14]])</f>
        <v>0</v>
      </c>
      <c r="DJ121" s="58"/>
      <c r="DK121" s="58"/>
      <c r="DL121" s="69"/>
      <c r="DM121" s="68">
        <f t="shared" si="64"/>
        <v>0</v>
      </c>
      <c r="DN121" s="58"/>
      <c r="DO121" s="58"/>
      <c r="DP121" s="68">
        <f t="shared" si="65"/>
        <v>0</v>
      </c>
      <c r="DQ121" s="65"/>
      <c r="DR121" s="65"/>
      <c r="DS121" s="68">
        <f t="shared" si="66"/>
        <v>0</v>
      </c>
      <c r="DT121" s="65"/>
      <c r="DU121" s="65"/>
      <c r="DV121" s="65"/>
      <c r="DW121" s="68">
        <f>SUM(Tableau1[[#This Row],[Comission et courtage sur achats]:[Autres ou honoraires
 non précisé ]])</f>
        <v>0</v>
      </c>
      <c r="DX121" s="57"/>
      <c r="DY121" s="57"/>
      <c r="DZ121" s="65"/>
      <c r="EA121" s="65"/>
      <c r="EB121" s="65"/>
      <c r="EC121" s="68">
        <f t="shared" si="67"/>
        <v>0</v>
      </c>
      <c r="ED121" s="69"/>
      <c r="EE121" s="69"/>
      <c r="EF121" s="69"/>
      <c r="EG121" s="69"/>
      <c r="EH121" s="69"/>
      <c r="EI121" s="84">
        <f>SUM(Tableau1[[#This Row],[Transports sur films]:[autres ]])</f>
        <v>0</v>
      </c>
      <c r="EJ121" s="132">
        <v>0</v>
      </c>
      <c r="EK121" s="132"/>
      <c r="EL121" s="68">
        <f t="shared" si="68"/>
        <v>0</v>
      </c>
      <c r="EM121" s="65"/>
      <c r="EN121" s="65">
        <v>0</v>
      </c>
      <c r="EO121" s="65"/>
      <c r="EP121" s="65"/>
      <c r="EQ121" s="65"/>
      <c r="ER121" s="65"/>
      <c r="ES121" s="65"/>
      <c r="ET121" s="68">
        <f t="shared" si="69"/>
        <v>0</v>
      </c>
      <c r="EU121" s="65"/>
      <c r="EV121" s="65"/>
      <c r="EW121" s="65"/>
      <c r="EX121" s="65"/>
      <c r="EY121" s="65"/>
      <c r="EZ121" s="68">
        <f t="shared" si="46"/>
        <v>0</v>
      </c>
      <c r="FA121" s="65"/>
      <c r="FB121" s="65"/>
      <c r="FC121" s="70">
        <f t="shared" si="84"/>
        <v>0</v>
      </c>
      <c r="FD121" s="65"/>
      <c r="FE121" s="71">
        <f t="shared" si="70"/>
        <v>0</v>
      </c>
      <c r="FF121" s="72">
        <f t="shared" si="71"/>
        <v>0</v>
      </c>
      <c r="FG121" s="65"/>
      <c r="FH121" s="65"/>
      <c r="FI121" s="65"/>
      <c r="FJ121" s="56">
        <f t="shared" si="72"/>
        <v>0</v>
      </c>
      <c r="FK121" s="65"/>
      <c r="FL121" s="65"/>
      <c r="FM121" s="65"/>
      <c r="FN121" s="65"/>
      <c r="FO121" s="67">
        <f t="shared" si="73"/>
        <v>0</v>
      </c>
      <c r="FP121" s="57"/>
      <c r="FQ121" s="73"/>
      <c r="FR121" s="73"/>
      <c r="FS121" s="71">
        <f t="shared" si="74"/>
        <v>0</v>
      </c>
      <c r="FT121" s="91"/>
      <c r="FU121" s="91"/>
      <c r="FV121" s="67">
        <f>SUM(Tableau1[[#This Row],[Droits d''auteurs SACEM + cotisations SACEM]:[Autres ou non préciés]])</f>
        <v>0</v>
      </c>
      <c r="FW121" s="75">
        <f t="shared" si="75"/>
        <v>0</v>
      </c>
      <c r="FX121" s="74">
        <v>0</v>
      </c>
      <c r="FY121" s="74"/>
      <c r="FZ121" s="74"/>
      <c r="GA121" s="74"/>
      <c r="GB121" s="71">
        <f t="shared" si="76"/>
        <v>0</v>
      </c>
      <c r="GC121" s="92"/>
      <c r="GD121" s="92"/>
      <c r="GE121" s="67">
        <f t="shared" si="77"/>
        <v>0</v>
      </c>
      <c r="GF121" s="66"/>
      <c r="GG121" s="66"/>
      <c r="GH121" s="66"/>
      <c r="GI121" s="66"/>
      <c r="GJ121" s="77"/>
    </row>
    <row r="122" spans="1:192" ht="18.600000000000001" customHeight="1" x14ac:dyDescent="0.25">
      <c r="A122" s="89"/>
      <c r="B122" s="17"/>
      <c r="C122" s="50"/>
      <c r="D122" s="140"/>
      <c r="E122" s="51"/>
      <c r="F122" s="139">
        <f t="shared" si="81"/>
        <v>1</v>
      </c>
      <c r="G122" s="49"/>
      <c r="H122" s="50"/>
      <c r="I122" s="122"/>
      <c r="J122" s="49"/>
      <c r="K122" s="50"/>
      <c r="L122" s="50"/>
      <c r="M122" s="90"/>
      <c r="N122" s="50"/>
      <c r="O122" s="50"/>
      <c r="P122" s="90"/>
      <c r="Q122" s="52">
        <f t="shared" si="47"/>
        <v>0</v>
      </c>
      <c r="R122" s="52">
        <f t="shared" si="48"/>
        <v>0</v>
      </c>
      <c r="S122" s="53">
        <f t="shared" si="49"/>
        <v>0</v>
      </c>
      <c r="T122" s="54">
        <f t="shared" si="50"/>
        <v>0</v>
      </c>
      <c r="U122" s="115">
        <f>SUM(Tableau1[[#This Row],[Vente confiserie]:[Vente boisson]])</f>
        <v>0</v>
      </c>
      <c r="V122" s="55"/>
      <c r="W122" s="55"/>
      <c r="X122" s="135">
        <f>SUM(Tableau1[[#This Row],[Vente lunette]:[Location lunette]])</f>
        <v>0</v>
      </c>
      <c r="Y122" s="55"/>
      <c r="Z122" s="55"/>
      <c r="AA122" s="55"/>
      <c r="AB122" s="55"/>
      <c r="AC122" s="56">
        <f t="shared" si="79"/>
        <v>0</v>
      </c>
      <c r="AD122" s="57"/>
      <c r="AE122" s="57"/>
      <c r="AF122" s="57"/>
      <c r="AG122" s="57"/>
      <c r="AH122" s="57"/>
      <c r="AI122" s="57"/>
      <c r="AJ122" s="118">
        <f>(Tableau1[[#This Row],[Recette guichet ]]*1.1275177)-Tableau1[[#This Row],[Recette guichet ]]</f>
        <v>0</v>
      </c>
      <c r="AK122" s="57"/>
      <c r="AL122" s="56">
        <f t="shared" si="80"/>
        <v>0</v>
      </c>
      <c r="AM122" s="58"/>
      <c r="AN122" s="58"/>
      <c r="AO122" s="58"/>
      <c r="AP122" s="115">
        <f t="shared" si="51"/>
        <v>0</v>
      </c>
      <c r="AQ122" s="69"/>
      <c r="AR122" s="69"/>
      <c r="AS122" s="69"/>
      <c r="AT122" s="69"/>
      <c r="AU122" s="59">
        <f t="shared" si="52"/>
        <v>0</v>
      </c>
      <c r="AV122" s="60">
        <f t="shared" si="53"/>
        <v>0</v>
      </c>
      <c r="AW122" s="58"/>
      <c r="AX122" s="58"/>
      <c r="AY122" s="58"/>
      <c r="AZ122" s="60">
        <f t="shared" si="82"/>
        <v>0</v>
      </c>
      <c r="BA122" s="58"/>
      <c r="BB122" s="58"/>
      <c r="BC122" s="58"/>
      <c r="BD122" s="60">
        <f>SUM(Tableau1[[#This Row],[ticket/carte/abonnement périmé]:[Autres ou non précisé 5]])</f>
        <v>0</v>
      </c>
      <c r="BE122" s="58"/>
      <c r="BF122" s="58"/>
      <c r="BG122" s="58"/>
      <c r="BH122" s="61">
        <f t="shared" si="54"/>
        <v>0</v>
      </c>
      <c r="BI122" s="120"/>
      <c r="BJ122" s="120"/>
      <c r="BK122" s="62">
        <f t="shared" si="55"/>
        <v>0</v>
      </c>
      <c r="BL122" s="120"/>
      <c r="BM122" s="120"/>
      <c r="BN122" s="120"/>
      <c r="BO122" s="120"/>
      <c r="BP122" s="120"/>
      <c r="BQ122" s="63"/>
      <c r="BR122" s="52">
        <f t="shared" si="56"/>
        <v>0</v>
      </c>
      <c r="BS122" s="52">
        <f t="shared" si="57"/>
        <v>0</v>
      </c>
      <c r="BT122" s="61">
        <f t="shared" si="58"/>
        <v>0</v>
      </c>
      <c r="BU122" s="64">
        <f t="shared" si="59"/>
        <v>0</v>
      </c>
      <c r="BV122" s="119">
        <f>SUM(Tableau1[[#This Row],[Achats confiserie]:[Achats boisson]])</f>
        <v>0</v>
      </c>
      <c r="BW122" s="58"/>
      <c r="BX122" s="69"/>
      <c r="BY122" s="58"/>
      <c r="BZ122" s="56">
        <f t="shared" si="60"/>
        <v>0</v>
      </c>
      <c r="CA122" s="66"/>
      <c r="CB122" s="66"/>
      <c r="CC122" s="56">
        <f t="shared" si="61"/>
        <v>0</v>
      </c>
      <c r="CD122" s="55"/>
      <c r="CE122" s="65"/>
      <c r="CF122" s="55"/>
      <c r="CG122" s="55"/>
      <c r="CH122" s="67">
        <f t="shared" si="62"/>
        <v>0</v>
      </c>
      <c r="CI122" s="68">
        <f t="shared" si="78"/>
        <v>0</v>
      </c>
      <c r="CJ122" s="55"/>
      <c r="CK122" s="55"/>
      <c r="CL122" s="55"/>
      <c r="CM122" s="55"/>
      <c r="CN122" s="55"/>
      <c r="CO122" s="68">
        <f t="shared" si="63"/>
        <v>0</v>
      </c>
      <c r="CP122" s="75">
        <f>SUM(Tableau1[[#This Row],[Fourniture eau]:[Energie (non précisé)]])</f>
        <v>0</v>
      </c>
      <c r="CQ122" s="55"/>
      <c r="CR122" s="55"/>
      <c r="CS122" s="55"/>
      <c r="CT122" s="55"/>
      <c r="CU122" s="55"/>
      <c r="CV122" s="55">
        <v>0</v>
      </c>
      <c r="CW122" s="55"/>
      <c r="CX122" s="68">
        <f>SUM(Tableau1[[#This Row],[Sous-traitance]:[Autres ou non précisé 12]])</f>
        <v>0</v>
      </c>
      <c r="CY122" s="65"/>
      <c r="CZ122" s="65"/>
      <c r="DA122" s="65"/>
      <c r="DB122" s="65"/>
      <c r="DC122" s="55"/>
      <c r="DD122" s="68">
        <f t="shared" si="83"/>
        <v>0</v>
      </c>
      <c r="DE122" s="55"/>
      <c r="DF122" s="65"/>
      <c r="DG122" s="65"/>
      <c r="DH122" s="65"/>
      <c r="DI122" s="68">
        <f>SUM(Tableau1[[#This Row],[Entretien et réparation matériel de projection]:[Autres ou non précisé 14]])</f>
        <v>0</v>
      </c>
      <c r="DJ122" s="58"/>
      <c r="DK122" s="58"/>
      <c r="DL122" s="69"/>
      <c r="DM122" s="68">
        <f t="shared" si="64"/>
        <v>0</v>
      </c>
      <c r="DN122" s="58"/>
      <c r="DO122" s="58"/>
      <c r="DP122" s="68">
        <f t="shared" si="65"/>
        <v>0</v>
      </c>
      <c r="DQ122" s="65"/>
      <c r="DR122" s="65"/>
      <c r="DS122" s="68">
        <f t="shared" si="66"/>
        <v>0</v>
      </c>
      <c r="DT122" s="65"/>
      <c r="DU122" s="65"/>
      <c r="DV122" s="65"/>
      <c r="DW122" s="68">
        <f>SUM(Tableau1[[#This Row],[Comission et courtage sur achats]:[Autres ou honoraires
 non précisé ]])</f>
        <v>0</v>
      </c>
      <c r="DX122" s="57"/>
      <c r="DY122" s="57"/>
      <c r="DZ122" s="65"/>
      <c r="EA122" s="65"/>
      <c r="EB122" s="65"/>
      <c r="EC122" s="68">
        <f t="shared" si="67"/>
        <v>0</v>
      </c>
      <c r="ED122" s="69"/>
      <c r="EE122" s="69"/>
      <c r="EF122" s="69"/>
      <c r="EG122" s="69"/>
      <c r="EH122" s="69"/>
      <c r="EI122" s="84">
        <f>SUM(Tableau1[[#This Row],[Transports sur films]:[autres ]])</f>
        <v>0</v>
      </c>
      <c r="EJ122" s="132">
        <v>0</v>
      </c>
      <c r="EK122" s="132"/>
      <c r="EL122" s="68">
        <f t="shared" si="68"/>
        <v>0</v>
      </c>
      <c r="EM122" s="65"/>
      <c r="EN122" s="65">
        <v>0</v>
      </c>
      <c r="EO122" s="65"/>
      <c r="EP122" s="65"/>
      <c r="EQ122" s="65"/>
      <c r="ER122" s="65"/>
      <c r="ES122" s="65"/>
      <c r="ET122" s="68">
        <f t="shared" si="69"/>
        <v>0</v>
      </c>
      <c r="EU122" s="65"/>
      <c r="EV122" s="65"/>
      <c r="EW122" s="65"/>
      <c r="EX122" s="65"/>
      <c r="EY122" s="65"/>
      <c r="EZ122" s="68">
        <f t="shared" si="46"/>
        <v>0</v>
      </c>
      <c r="FA122" s="65"/>
      <c r="FB122" s="65"/>
      <c r="FC122" s="70">
        <f t="shared" si="84"/>
        <v>0</v>
      </c>
      <c r="FD122" s="65"/>
      <c r="FE122" s="71">
        <f t="shared" si="70"/>
        <v>0</v>
      </c>
      <c r="FF122" s="72">
        <f t="shared" si="71"/>
        <v>0</v>
      </c>
      <c r="FG122" s="65"/>
      <c r="FH122" s="65"/>
      <c r="FI122" s="65"/>
      <c r="FJ122" s="56">
        <f t="shared" si="72"/>
        <v>0</v>
      </c>
      <c r="FK122" s="65"/>
      <c r="FL122" s="65"/>
      <c r="FM122" s="65"/>
      <c r="FN122" s="65"/>
      <c r="FO122" s="67">
        <f t="shared" si="73"/>
        <v>0</v>
      </c>
      <c r="FP122" s="57"/>
      <c r="FQ122" s="73"/>
      <c r="FR122" s="73"/>
      <c r="FS122" s="71">
        <f t="shared" si="74"/>
        <v>0</v>
      </c>
      <c r="FT122" s="91"/>
      <c r="FU122" s="91"/>
      <c r="FV122" s="67">
        <f>SUM(Tableau1[[#This Row],[Droits d''auteurs SACEM + cotisations SACEM]:[Autres ou non préciés]])</f>
        <v>0</v>
      </c>
      <c r="FW122" s="75">
        <f t="shared" si="75"/>
        <v>0</v>
      </c>
      <c r="FX122" s="74">
        <v>0</v>
      </c>
      <c r="FY122" s="74"/>
      <c r="FZ122" s="74"/>
      <c r="GA122" s="74"/>
      <c r="GB122" s="71">
        <f t="shared" si="76"/>
        <v>0</v>
      </c>
      <c r="GC122" s="92"/>
      <c r="GD122" s="92"/>
      <c r="GE122" s="67">
        <f t="shared" si="77"/>
        <v>0</v>
      </c>
      <c r="GF122" s="66"/>
      <c r="GG122" s="66"/>
      <c r="GH122" s="66"/>
      <c r="GI122" s="66"/>
      <c r="GJ122" s="77"/>
    </row>
    <row r="123" spans="1:192" ht="18.600000000000001" customHeight="1" x14ac:dyDescent="0.25">
      <c r="A123" s="89"/>
      <c r="B123" s="17"/>
      <c r="C123" s="50"/>
      <c r="D123" s="140"/>
      <c r="E123" s="51"/>
      <c r="F123" s="139">
        <f t="shared" si="81"/>
        <v>1</v>
      </c>
      <c r="G123" s="49"/>
      <c r="H123" s="50"/>
      <c r="I123" s="122"/>
      <c r="J123" s="49"/>
      <c r="K123" s="50"/>
      <c r="L123" s="50"/>
      <c r="M123" s="90"/>
      <c r="N123" s="50"/>
      <c r="O123" s="50"/>
      <c r="P123" s="90"/>
      <c r="Q123" s="52">
        <f t="shared" si="47"/>
        <v>0</v>
      </c>
      <c r="R123" s="52">
        <f t="shared" si="48"/>
        <v>0</v>
      </c>
      <c r="S123" s="53">
        <f t="shared" si="49"/>
        <v>0</v>
      </c>
      <c r="T123" s="54">
        <f t="shared" si="50"/>
        <v>0</v>
      </c>
      <c r="U123" s="115">
        <f>SUM(Tableau1[[#This Row],[Vente confiserie]:[Vente boisson]])</f>
        <v>0</v>
      </c>
      <c r="V123" s="55"/>
      <c r="W123" s="55"/>
      <c r="X123" s="135">
        <f>SUM(Tableau1[[#This Row],[Vente lunette]:[Location lunette]])</f>
        <v>0</v>
      </c>
      <c r="Y123" s="55"/>
      <c r="Z123" s="55"/>
      <c r="AA123" s="55"/>
      <c r="AB123" s="55"/>
      <c r="AC123" s="56">
        <f t="shared" si="79"/>
        <v>0</v>
      </c>
      <c r="AD123" s="57"/>
      <c r="AE123" s="57"/>
      <c r="AF123" s="57"/>
      <c r="AG123" s="57"/>
      <c r="AH123" s="57"/>
      <c r="AI123" s="57"/>
      <c r="AJ123" s="118">
        <f>(Tableau1[[#This Row],[Recette guichet ]]*1.1275177)-Tableau1[[#This Row],[Recette guichet ]]</f>
        <v>0</v>
      </c>
      <c r="AK123" s="57"/>
      <c r="AL123" s="56">
        <f t="shared" si="80"/>
        <v>0</v>
      </c>
      <c r="AM123" s="58"/>
      <c r="AN123" s="58"/>
      <c r="AO123" s="58"/>
      <c r="AP123" s="115">
        <f t="shared" si="51"/>
        <v>0</v>
      </c>
      <c r="AQ123" s="69"/>
      <c r="AR123" s="69"/>
      <c r="AS123" s="69"/>
      <c r="AT123" s="69"/>
      <c r="AU123" s="59">
        <f t="shared" si="52"/>
        <v>0</v>
      </c>
      <c r="AV123" s="60">
        <f t="shared" si="53"/>
        <v>0</v>
      </c>
      <c r="AW123" s="58"/>
      <c r="AX123" s="58"/>
      <c r="AY123" s="58"/>
      <c r="AZ123" s="60">
        <f t="shared" si="82"/>
        <v>0</v>
      </c>
      <c r="BA123" s="58"/>
      <c r="BB123" s="58"/>
      <c r="BC123" s="58"/>
      <c r="BD123" s="60">
        <f>SUM(Tableau1[[#This Row],[ticket/carte/abonnement périmé]:[Autres ou non précisé 5]])</f>
        <v>0</v>
      </c>
      <c r="BE123" s="58"/>
      <c r="BF123" s="58"/>
      <c r="BG123" s="58"/>
      <c r="BH123" s="61">
        <f t="shared" si="54"/>
        <v>0</v>
      </c>
      <c r="BI123" s="120"/>
      <c r="BJ123" s="120"/>
      <c r="BK123" s="62">
        <f t="shared" si="55"/>
        <v>0</v>
      </c>
      <c r="BL123" s="120"/>
      <c r="BM123" s="120"/>
      <c r="BN123" s="120"/>
      <c r="BO123" s="120"/>
      <c r="BP123" s="120"/>
      <c r="BQ123" s="63"/>
      <c r="BR123" s="52">
        <f t="shared" si="56"/>
        <v>0</v>
      </c>
      <c r="BS123" s="52">
        <f t="shared" si="57"/>
        <v>0</v>
      </c>
      <c r="BT123" s="61">
        <f t="shared" si="58"/>
        <v>0</v>
      </c>
      <c r="BU123" s="64">
        <f t="shared" si="59"/>
        <v>0</v>
      </c>
      <c r="BV123" s="119">
        <f>SUM(Tableau1[[#This Row],[Achats confiserie]:[Achats boisson]])</f>
        <v>0</v>
      </c>
      <c r="BW123" s="58"/>
      <c r="BX123" s="69"/>
      <c r="BY123" s="58"/>
      <c r="BZ123" s="56">
        <f t="shared" si="60"/>
        <v>0</v>
      </c>
      <c r="CA123" s="66"/>
      <c r="CB123" s="66"/>
      <c r="CC123" s="56">
        <f t="shared" si="61"/>
        <v>0</v>
      </c>
      <c r="CD123" s="55"/>
      <c r="CE123" s="65"/>
      <c r="CF123" s="55"/>
      <c r="CG123" s="55"/>
      <c r="CH123" s="67">
        <f t="shared" si="62"/>
        <v>0</v>
      </c>
      <c r="CI123" s="68">
        <f t="shared" si="78"/>
        <v>0</v>
      </c>
      <c r="CJ123" s="55"/>
      <c r="CK123" s="55"/>
      <c r="CL123" s="55"/>
      <c r="CM123" s="55"/>
      <c r="CN123" s="55"/>
      <c r="CO123" s="68">
        <f t="shared" si="63"/>
        <v>0</v>
      </c>
      <c r="CP123" s="75">
        <f>SUM(Tableau1[[#This Row],[Fourniture eau]:[Energie (non précisé)]])</f>
        <v>0</v>
      </c>
      <c r="CQ123" s="55"/>
      <c r="CR123" s="55"/>
      <c r="CS123" s="55"/>
      <c r="CT123" s="55"/>
      <c r="CU123" s="55"/>
      <c r="CV123" s="55">
        <v>0</v>
      </c>
      <c r="CW123" s="55"/>
      <c r="CX123" s="68">
        <f>SUM(Tableau1[[#This Row],[Sous-traitance]:[Autres ou non précisé 12]])</f>
        <v>0</v>
      </c>
      <c r="CY123" s="65"/>
      <c r="CZ123" s="65"/>
      <c r="DA123" s="65"/>
      <c r="DB123" s="65"/>
      <c r="DC123" s="55"/>
      <c r="DD123" s="68">
        <f t="shared" si="83"/>
        <v>0</v>
      </c>
      <c r="DE123" s="55"/>
      <c r="DF123" s="65"/>
      <c r="DG123" s="65"/>
      <c r="DH123" s="65"/>
      <c r="DI123" s="68">
        <f>SUM(Tableau1[[#This Row],[Entretien et réparation matériel de projection]:[Autres ou non précisé 14]])</f>
        <v>0</v>
      </c>
      <c r="DJ123" s="58"/>
      <c r="DK123" s="58"/>
      <c r="DL123" s="69"/>
      <c r="DM123" s="68">
        <f t="shared" si="64"/>
        <v>0</v>
      </c>
      <c r="DN123" s="58"/>
      <c r="DO123" s="58"/>
      <c r="DP123" s="68">
        <f t="shared" si="65"/>
        <v>0</v>
      </c>
      <c r="DQ123" s="65"/>
      <c r="DR123" s="65"/>
      <c r="DS123" s="68">
        <f t="shared" si="66"/>
        <v>0</v>
      </c>
      <c r="DT123" s="65"/>
      <c r="DU123" s="65"/>
      <c r="DV123" s="65"/>
      <c r="DW123" s="68">
        <f>SUM(Tableau1[[#This Row],[Comission et courtage sur achats]:[Autres ou honoraires
 non précisé ]])</f>
        <v>0</v>
      </c>
      <c r="DX123" s="57"/>
      <c r="DY123" s="57"/>
      <c r="DZ123" s="65"/>
      <c r="EA123" s="65"/>
      <c r="EB123" s="65"/>
      <c r="EC123" s="68">
        <f t="shared" si="67"/>
        <v>0</v>
      </c>
      <c r="ED123" s="69"/>
      <c r="EE123" s="69"/>
      <c r="EF123" s="69"/>
      <c r="EG123" s="69"/>
      <c r="EH123" s="69"/>
      <c r="EI123" s="84">
        <f>SUM(Tableau1[[#This Row],[Transports sur films]:[autres ]])</f>
        <v>0</v>
      </c>
      <c r="EJ123" s="132">
        <v>0</v>
      </c>
      <c r="EK123" s="132"/>
      <c r="EL123" s="68">
        <f t="shared" si="68"/>
        <v>0</v>
      </c>
      <c r="EM123" s="65"/>
      <c r="EN123" s="65">
        <v>0</v>
      </c>
      <c r="EO123" s="65"/>
      <c r="EP123" s="65"/>
      <c r="EQ123" s="65"/>
      <c r="ER123" s="65"/>
      <c r="ES123" s="65"/>
      <c r="ET123" s="68">
        <f t="shared" si="69"/>
        <v>0</v>
      </c>
      <c r="EU123" s="65"/>
      <c r="EV123" s="65"/>
      <c r="EW123" s="65"/>
      <c r="EX123" s="65"/>
      <c r="EY123" s="65"/>
      <c r="EZ123" s="68">
        <f t="shared" ref="EZ123:EZ186" si="85">SUM(FA123:FB123)</f>
        <v>0</v>
      </c>
      <c r="FA123" s="65"/>
      <c r="FB123" s="65"/>
      <c r="FC123" s="70">
        <f t="shared" si="84"/>
        <v>0</v>
      </c>
      <c r="FD123" s="65"/>
      <c r="FE123" s="71">
        <f t="shared" si="70"/>
        <v>0</v>
      </c>
      <c r="FF123" s="72">
        <f t="shared" si="71"/>
        <v>0</v>
      </c>
      <c r="FG123" s="65"/>
      <c r="FH123" s="65"/>
      <c r="FI123" s="65"/>
      <c r="FJ123" s="56">
        <f t="shared" si="72"/>
        <v>0</v>
      </c>
      <c r="FK123" s="65"/>
      <c r="FL123" s="65"/>
      <c r="FM123" s="65"/>
      <c r="FN123" s="65"/>
      <c r="FO123" s="67">
        <f t="shared" si="73"/>
        <v>0</v>
      </c>
      <c r="FP123" s="57"/>
      <c r="FQ123" s="73"/>
      <c r="FR123" s="73"/>
      <c r="FS123" s="71">
        <f t="shared" si="74"/>
        <v>0</v>
      </c>
      <c r="FT123" s="91"/>
      <c r="FU123" s="91"/>
      <c r="FV123" s="67">
        <f>SUM(Tableau1[[#This Row],[Droits d''auteurs SACEM + cotisations SACEM]:[Autres ou non préciés]])</f>
        <v>0</v>
      </c>
      <c r="FW123" s="75">
        <f t="shared" si="75"/>
        <v>0</v>
      </c>
      <c r="FX123" s="74">
        <v>0</v>
      </c>
      <c r="FY123" s="74"/>
      <c r="FZ123" s="74"/>
      <c r="GA123" s="74"/>
      <c r="GB123" s="71">
        <f t="shared" si="76"/>
        <v>0</v>
      </c>
      <c r="GC123" s="92"/>
      <c r="GD123" s="92"/>
      <c r="GE123" s="67">
        <f t="shared" si="77"/>
        <v>0</v>
      </c>
      <c r="GF123" s="66"/>
      <c r="GG123" s="66"/>
      <c r="GH123" s="66"/>
      <c r="GI123" s="66"/>
      <c r="GJ123" s="77"/>
    </row>
    <row r="124" spans="1:192" ht="18.600000000000001" customHeight="1" x14ac:dyDescent="0.25">
      <c r="A124" s="89"/>
      <c r="B124" s="17"/>
      <c r="C124" s="50"/>
      <c r="D124" s="140"/>
      <c r="E124" s="51"/>
      <c r="F124" s="139">
        <f t="shared" si="81"/>
        <v>1</v>
      </c>
      <c r="G124" s="49"/>
      <c r="H124" s="50"/>
      <c r="I124" s="122"/>
      <c r="J124" s="49"/>
      <c r="K124" s="50"/>
      <c r="L124" s="50"/>
      <c r="M124" s="90"/>
      <c r="N124" s="50"/>
      <c r="O124" s="50"/>
      <c r="P124" s="90"/>
      <c r="Q124" s="52">
        <f t="shared" si="47"/>
        <v>0</v>
      </c>
      <c r="R124" s="52">
        <f t="shared" si="48"/>
        <v>0</v>
      </c>
      <c r="S124" s="53">
        <f t="shared" si="49"/>
        <v>0</v>
      </c>
      <c r="T124" s="54">
        <f t="shared" si="50"/>
        <v>0</v>
      </c>
      <c r="U124" s="115">
        <f>SUM(Tableau1[[#This Row],[Vente confiserie]:[Vente boisson]])</f>
        <v>0</v>
      </c>
      <c r="V124" s="55"/>
      <c r="W124" s="55"/>
      <c r="X124" s="135">
        <f>SUM(Tableau1[[#This Row],[Vente lunette]:[Location lunette]])</f>
        <v>0</v>
      </c>
      <c r="Y124" s="55"/>
      <c r="Z124" s="55"/>
      <c r="AA124" s="55"/>
      <c r="AB124" s="55"/>
      <c r="AC124" s="56">
        <f t="shared" si="79"/>
        <v>0</v>
      </c>
      <c r="AD124" s="57"/>
      <c r="AE124" s="57"/>
      <c r="AF124" s="57"/>
      <c r="AG124" s="57"/>
      <c r="AH124" s="57"/>
      <c r="AI124" s="57"/>
      <c r="AJ124" s="118">
        <f>(Tableau1[[#This Row],[Recette guichet ]]*1.1275177)-Tableau1[[#This Row],[Recette guichet ]]</f>
        <v>0</v>
      </c>
      <c r="AK124" s="57"/>
      <c r="AL124" s="56">
        <f t="shared" si="80"/>
        <v>0</v>
      </c>
      <c r="AM124" s="58"/>
      <c r="AN124" s="58"/>
      <c r="AO124" s="58"/>
      <c r="AP124" s="115">
        <f t="shared" si="51"/>
        <v>0</v>
      </c>
      <c r="AQ124" s="69"/>
      <c r="AR124" s="69"/>
      <c r="AS124" s="69"/>
      <c r="AT124" s="69"/>
      <c r="AU124" s="59">
        <f t="shared" si="52"/>
        <v>0</v>
      </c>
      <c r="AV124" s="60">
        <f t="shared" si="53"/>
        <v>0</v>
      </c>
      <c r="AW124" s="58"/>
      <c r="AX124" s="58"/>
      <c r="AY124" s="58"/>
      <c r="AZ124" s="60">
        <f t="shared" si="82"/>
        <v>0</v>
      </c>
      <c r="BA124" s="58"/>
      <c r="BB124" s="58"/>
      <c r="BC124" s="58"/>
      <c r="BD124" s="60">
        <f>SUM(Tableau1[[#This Row],[ticket/carte/abonnement périmé]:[Autres ou non précisé 5]])</f>
        <v>0</v>
      </c>
      <c r="BE124" s="58"/>
      <c r="BF124" s="58"/>
      <c r="BG124" s="58"/>
      <c r="BH124" s="61">
        <f t="shared" si="54"/>
        <v>0</v>
      </c>
      <c r="BI124" s="120"/>
      <c r="BJ124" s="120"/>
      <c r="BK124" s="62">
        <f t="shared" si="55"/>
        <v>0</v>
      </c>
      <c r="BL124" s="120"/>
      <c r="BM124" s="120"/>
      <c r="BN124" s="120"/>
      <c r="BO124" s="120"/>
      <c r="BP124" s="120"/>
      <c r="BQ124" s="63"/>
      <c r="BR124" s="52">
        <f t="shared" si="56"/>
        <v>0</v>
      </c>
      <c r="BS124" s="52">
        <f t="shared" si="57"/>
        <v>0</v>
      </c>
      <c r="BT124" s="61">
        <f t="shared" si="58"/>
        <v>0</v>
      </c>
      <c r="BU124" s="64">
        <f t="shared" si="59"/>
        <v>0</v>
      </c>
      <c r="BV124" s="119">
        <f>SUM(Tableau1[[#This Row],[Achats confiserie]:[Achats boisson]])</f>
        <v>0</v>
      </c>
      <c r="BW124" s="58"/>
      <c r="BX124" s="69"/>
      <c r="BY124" s="58"/>
      <c r="BZ124" s="56">
        <f t="shared" si="60"/>
        <v>0</v>
      </c>
      <c r="CA124" s="66"/>
      <c r="CB124" s="66"/>
      <c r="CC124" s="56">
        <f t="shared" si="61"/>
        <v>0</v>
      </c>
      <c r="CD124" s="55"/>
      <c r="CE124" s="65"/>
      <c r="CF124" s="55"/>
      <c r="CG124" s="55"/>
      <c r="CH124" s="67">
        <f t="shared" si="62"/>
        <v>0</v>
      </c>
      <c r="CI124" s="68">
        <f t="shared" si="78"/>
        <v>0</v>
      </c>
      <c r="CJ124" s="55"/>
      <c r="CK124" s="55"/>
      <c r="CL124" s="55"/>
      <c r="CM124" s="55"/>
      <c r="CN124" s="55"/>
      <c r="CO124" s="68">
        <f t="shared" si="63"/>
        <v>0</v>
      </c>
      <c r="CP124" s="75">
        <f>SUM(Tableau1[[#This Row],[Fourniture eau]:[Energie (non précisé)]])</f>
        <v>0</v>
      </c>
      <c r="CQ124" s="55"/>
      <c r="CR124" s="55"/>
      <c r="CS124" s="55"/>
      <c r="CT124" s="55"/>
      <c r="CU124" s="55"/>
      <c r="CV124" s="55">
        <v>0</v>
      </c>
      <c r="CW124" s="55"/>
      <c r="CX124" s="68">
        <f>SUM(Tableau1[[#This Row],[Sous-traitance]:[Autres ou non précisé 12]])</f>
        <v>0</v>
      </c>
      <c r="CY124" s="65"/>
      <c r="CZ124" s="65"/>
      <c r="DA124" s="65"/>
      <c r="DB124" s="65"/>
      <c r="DC124" s="55"/>
      <c r="DD124" s="68">
        <f t="shared" si="83"/>
        <v>0</v>
      </c>
      <c r="DE124" s="55"/>
      <c r="DF124" s="65"/>
      <c r="DG124" s="65"/>
      <c r="DH124" s="65"/>
      <c r="DI124" s="68">
        <f>SUM(Tableau1[[#This Row],[Entretien et réparation matériel de projection]:[Autres ou non précisé 14]])</f>
        <v>0</v>
      </c>
      <c r="DJ124" s="58"/>
      <c r="DK124" s="58"/>
      <c r="DL124" s="69"/>
      <c r="DM124" s="68">
        <f t="shared" si="64"/>
        <v>0</v>
      </c>
      <c r="DN124" s="58"/>
      <c r="DO124" s="58"/>
      <c r="DP124" s="68">
        <f t="shared" si="65"/>
        <v>0</v>
      </c>
      <c r="DQ124" s="65"/>
      <c r="DR124" s="65"/>
      <c r="DS124" s="68">
        <f t="shared" si="66"/>
        <v>0</v>
      </c>
      <c r="DT124" s="65"/>
      <c r="DU124" s="65"/>
      <c r="DV124" s="65"/>
      <c r="DW124" s="68">
        <f>SUM(Tableau1[[#This Row],[Comission et courtage sur achats]:[Autres ou honoraires
 non précisé ]])</f>
        <v>0</v>
      </c>
      <c r="DX124" s="57"/>
      <c r="DY124" s="57"/>
      <c r="DZ124" s="65"/>
      <c r="EA124" s="65"/>
      <c r="EB124" s="65"/>
      <c r="EC124" s="68">
        <f t="shared" si="67"/>
        <v>0</v>
      </c>
      <c r="ED124" s="69"/>
      <c r="EE124" s="69"/>
      <c r="EF124" s="69"/>
      <c r="EG124" s="69"/>
      <c r="EH124" s="69"/>
      <c r="EI124" s="84">
        <f>SUM(Tableau1[[#This Row],[Transports sur films]:[autres ]])</f>
        <v>0</v>
      </c>
      <c r="EJ124" s="132">
        <v>0</v>
      </c>
      <c r="EK124" s="132"/>
      <c r="EL124" s="68">
        <f t="shared" si="68"/>
        <v>0</v>
      </c>
      <c r="EM124" s="65"/>
      <c r="EN124" s="65">
        <v>0</v>
      </c>
      <c r="EO124" s="65"/>
      <c r="EP124" s="65"/>
      <c r="EQ124" s="65"/>
      <c r="ER124" s="65"/>
      <c r="ES124" s="65"/>
      <c r="ET124" s="68">
        <f t="shared" si="69"/>
        <v>0</v>
      </c>
      <c r="EU124" s="65"/>
      <c r="EV124" s="65"/>
      <c r="EW124" s="65"/>
      <c r="EX124" s="65"/>
      <c r="EY124" s="65"/>
      <c r="EZ124" s="68">
        <f t="shared" si="85"/>
        <v>0</v>
      </c>
      <c r="FA124" s="65"/>
      <c r="FB124" s="65"/>
      <c r="FC124" s="70">
        <f t="shared" si="84"/>
        <v>0</v>
      </c>
      <c r="FD124" s="65"/>
      <c r="FE124" s="71">
        <f t="shared" si="70"/>
        <v>0</v>
      </c>
      <c r="FF124" s="72">
        <f t="shared" si="71"/>
        <v>0</v>
      </c>
      <c r="FG124" s="65"/>
      <c r="FH124" s="65"/>
      <c r="FI124" s="65"/>
      <c r="FJ124" s="56">
        <f t="shared" si="72"/>
        <v>0</v>
      </c>
      <c r="FK124" s="65"/>
      <c r="FL124" s="65"/>
      <c r="FM124" s="65"/>
      <c r="FN124" s="65"/>
      <c r="FO124" s="67">
        <f t="shared" si="73"/>
        <v>0</v>
      </c>
      <c r="FP124" s="57"/>
      <c r="FQ124" s="73"/>
      <c r="FR124" s="73"/>
      <c r="FS124" s="71">
        <f t="shared" si="74"/>
        <v>0</v>
      </c>
      <c r="FT124" s="91"/>
      <c r="FU124" s="91"/>
      <c r="FV124" s="67">
        <f>SUM(Tableau1[[#This Row],[Droits d''auteurs SACEM + cotisations SACEM]:[Autres ou non préciés]])</f>
        <v>0</v>
      </c>
      <c r="FW124" s="75">
        <f t="shared" si="75"/>
        <v>0</v>
      </c>
      <c r="FX124" s="74">
        <v>0</v>
      </c>
      <c r="FY124" s="74"/>
      <c r="FZ124" s="74"/>
      <c r="GA124" s="74"/>
      <c r="GB124" s="71">
        <f t="shared" si="76"/>
        <v>0</v>
      </c>
      <c r="GC124" s="92"/>
      <c r="GD124" s="92"/>
      <c r="GE124" s="67">
        <f t="shared" si="77"/>
        <v>0</v>
      </c>
      <c r="GF124" s="66"/>
      <c r="GG124" s="66"/>
      <c r="GH124" s="66"/>
      <c r="GI124" s="66"/>
      <c r="GJ124" s="77"/>
    </row>
    <row r="125" spans="1:192" ht="18.600000000000001" customHeight="1" x14ac:dyDescent="0.25">
      <c r="A125" s="89"/>
      <c r="B125" s="17"/>
      <c r="C125" s="50"/>
      <c r="D125" s="140"/>
      <c r="E125" s="51"/>
      <c r="F125" s="139">
        <f t="shared" si="81"/>
        <v>1</v>
      </c>
      <c r="G125" s="49"/>
      <c r="H125" s="50"/>
      <c r="I125" s="122"/>
      <c r="J125" s="49"/>
      <c r="K125" s="50"/>
      <c r="L125" s="50"/>
      <c r="M125" s="90"/>
      <c r="N125" s="50"/>
      <c r="O125" s="50"/>
      <c r="P125" s="90"/>
      <c r="Q125" s="52">
        <f t="shared" si="47"/>
        <v>0</v>
      </c>
      <c r="R125" s="52">
        <f t="shared" si="48"/>
        <v>0</v>
      </c>
      <c r="S125" s="53">
        <f t="shared" si="49"/>
        <v>0</v>
      </c>
      <c r="T125" s="54">
        <f t="shared" si="50"/>
        <v>0</v>
      </c>
      <c r="U125" s="115">
        <f>SUM(Tableau1[[#This Row],[Vente confiserie]:[Vente boisson]])</f>
        <v>0</v>
      </c>
      <c r="V125" s="55"/>
      <c r="W125" s="55"/>
      <c r="X125" s="135">
        <f>SUM(Tableau1[[#This Row],[Vente lunette]:[Location lunette]])</f>
        <v>0</v>
      </c>
      <c r="Y125" s="55"/>
      <c r="Z125" s="55"/>
      <c r="AA125" s="55"/>
      <c r="AB125" s="55"/>
      <c r="AC125" s="56">
        <f t="shared" si="79"/>
        <v>0</v>
      </c>
      <c r="AD125" s="57"/>
      <c r="AE125" s="57"/>
      <c r="AF125" s="57"/>
      <c r="AG125" s="57"/>
      <c r="AH125" s="57"/>
      <c r="AI125" s="57"/>
      <c r="AJ125" s="118">
        <f>(Tableau1[[#This Row],[Recette guichet ]]*1.1275177)-Tableau1[[#This Row],[Recette guichet ]]</f>
        <v>0</v>
      </c>
      <c r="AK125" s="57"/>
      <c r="AL125" s="56">
        <f t="shared" si="80"/>
        <v>0</v>
      </c>
      <c r="AM125" s="58"/>
      <c r="AN125" s="58"/>
      <c r="AO125" s="58"/>
      <c r="AP125" s="115">
        <f t="shared" si="51"/>
        <v>0</v>
      </c>
      <c r="AQ125" s="69"/>
      <c r="AR125" s="69"/>
      <c r="AS125" s="69"/>
      <c r="AT125" s="69"/>
      <c r="AU125" s="59">
        <f t="shared" si="52"/>
        <v>0</v>
      </c>
      <c r="AV125" s="60">
        <f t="shared" si="53"/>
        <v>0</v>
      </c>
      <c r="AW125" s="58"/>
      <c r="AX125" s="58"/>
      <c r="AY125" s="58"/>
      <c r="AZ125" s="60">
        <f t="shared" si="82"/>
        <v>0</v>
      </c>
      <c r="BA125" s="58"/>
      <c r="BB125" s="58"/>
      <c r="BC125" s="58"/>
      <c r="BD125" s="60">
        <f>SUM(Tableau1[[#This Row],[ticket/carte/abonnement périmé]:[Autres ou non précisé 5]])</f>
        <v>0</v>
      </c>
      <c r="BE125" s="58"/>
      <c r="BF125" s="58"/>
      <c r="BG125" s="58"/>
      <c r="BH125" s="61">
        <f t="shared" si="54"/>
        <v>0</v>
      </c>
      <c r="BI125" s="120"/>
      <c r="BJ125" s="120"/>
      <c r="BK125" s="62">
        <f t="shared" si="55"/>
        <v>0</v>
      </c>
      <c r="BL125" s="120"/>
      <c r="BM125" s="120"/>
      <c r="BN125" s="120"/>
      <c r="BO125" s="120"/>
      <c r="BP125" s="120"/>
      <c r="BQ125" s="63"/>
      <c r="BR125" s="52">
        <f t="shared" si="56"/>
        <v>0</v>
      </c>
      <c r="BS125" s="52">
        <f t="shared" si="57"/>
        <v>0</v>
      </c>
      <c r="BT125" s="61">
        <f t="shared" si="58"/>
        <v>0</v>
      </c>
      <c r="BU125" s="64">
        <f t="shared" si="59"/>
        <v>0</v>
      </c>
      <c r="BV125" s="119">
        <f>SUM(Tableau1[[#This Row],[Achats confiserie]:[Achats boisson]])</f>
        <v>0</v>
      </c>
      <c r="BW125" s="58"/>
      <c r="BX125" s="69"/>
      <c r="BY125" s="58"/>
      <c r="BZ125" s="56">
        <f t="shared" si="60"/>
        <v>0</v>
      </c>
      <c r="CA125" s="66"/>
      <c r="CB125" s="66"/>
      <c r="CC125" s="56">
        <f t="shared" si="61"/>
        <v>0</v>
      </c>
      <c r="CD125" s="55"/>
      <c r="CE125" s="65"/>
      <c r="CF125" s="55"/>
      <c r="CG125" s="55"/>
      <c r="CH125" s="67">
        <f t="shared" si="62"/>
        <v>0</v>
      </c>
      <c r="CI125" s="68">
        <f t="shared" si="78"/>
        <v>0</v>
      </c>
      <c r="CJ125" s="55"/>
      <c r="CK125" s="55"/>
      <c r="CL125" s="55"/>
      <c r="CM125" s="55"/>
      <c r="CN125" s="55"/>
      <c r="CO125" s="68">
        <f t="shared" si="63"/>
        <v>0</v>
      </c>
      <c r="CP125" s="75">
        <f>SUM(Tableau1[[#This Row],[Fourniture eau]:[Energie (non précisé)]])</f>
        <v>0</v>
      </c>
      <c r="CQ125" s="55"/>
      <c r="CR125" s="55"/>
      <c r="CS125" s="55"/>
      <c r="CT125" s="55"/>
      <c r="CU125" s="55"/>
      <c r="CV125" s="55">
        <v>0</v>
      </c>
      <c r="CW125" s="55"/>
      <c r="CX125" s="68">
        <f>SUM(Tableau1[[#This Row],[Sous-traitance]:[Autres ou non précisé 12]])</f>
        <v>0</v>
      </c>
      <c r="CY125" s="65"/>
      <c r="CZ125" s="65"/>
      <c r="DA125" s="65"/>
      <c r="DB125" s="65"/>
      <c r="DC125" s="55"/>
      <c r="DD125" s="68">
        <f t="shared" si="83"/>
        <v>0</v>
      </c>
      <c r="DE125" s="55"/>
      <c r="DF125" s="65"/>
      <c r="DG125" s="65"/>
      <c r="DH125" s="65"/>
      <c r="DI125" s="68">
        <f>SUM(Tableau1[[#This Row],[Entretien et réparation matériel de projection]:[Autres ou non précisé 14]])</f>
        <v>0</v>
      </c>
      <c r="DJ125" s="58"/>
      <c r="DK125" s="58"/>
      <c r="DL125" s="69"/>
      <c r="DM125" s="68">
        <f t="shared" si="64"/>
        <v>0</v>
      </c>
      <c r="DN125" s="58"/>
      <c r="DO125" s="58"/>
      <c r="DP125" s="68">
        <f t="shared" si="65"/>
        <v>0</v>
      </c>
      <c r="DQ125" s="65"/>
      <c r="DR125" s="65"/>
      <c r="DS125" s="68">
        <f t="shared" si="66"/>
        <v>0</v>
      </c>
      <c r="DT125" s="65"/>
      <c r="DU125" s="65"/>
      <c r="DV125" s="65"/>
      <c r="DW125" s="68">
        <f>SUM(Tableau1[[#This Row],[Comission et courtage sur achats]:[Autres ou honoraires
 non précisé ]])</f>
        <v>0</v>
      </c>
      <c r="DX125" s="57"/>
      <c r="DY125" s="57"/>
      <c r="DZ125" s="65"/>
      <c r="EA125" s="65"/>
      <c r="EB125" s="65"/>
      <c r="EC125" s="68">
        <f t="shared" si="67"/>
        <v>0</v>
      </c>
      <c r="ED125" s="69"/>
      <c r="EE125" s="69"/>
      <c r="EF125" s="69"/>
      <c r="EG125" s="69"/>
      <c r="EH125" s="69"/>
      <c r="EI125" s="84">
        <f>SUM(Tableau1[[#This Row],[Transports sur films]:[autres ]])</f>
        <v>0</v>
      </c>
      <c r="EJ125" s="132">
        <v>0</v>
      </c>
      <c r="EK125" s="132"/>
      <c r="EL125" s="68">
        <f t="shared" si="68"/>
        <v>0</v>
      </c>
      <c r="EM125" s="65"/>
      <c r="EN125" s="65">
        <v>0</v>
      </c>
      <c r="EO125" s="65"/>
      <c r="EP125" s="65"/>
      <c r="EQ125" s="65"/>
      <c r="ER125" s="65"/>
      <c r="ES125" s="65"/>
      <c r="ET125" s="68">
        <f t="shared" si="69"/>
        <v>0</v>
      </c>
      <c r="EU125" s="65"/>
      <c r="EV125" s="65"/>
      <c r="EW125" s="65"/>
      <c r="EX125" s="65"/>
      <c r="EY125" s="65"/>
      <c r="EZ125" s="68">
        <f t="shared" si="85"/>
        <v>0</v>
      </c>
      <c r="FA125" s="65"/>
      <c r="FB125" s="65"/>
      <c r="FC125" s="70">
        <f t="shared" si="84"/>
        <v>0</v>
      </c>
      <c r="FD125" s="65"/>
      <c r="FE125" s="71">
        <f t="shared" si="70"/>
        <v>0</v>
      </c>
      <c r="FF125" s="72">
        <f t="shared" si="71"/>
        <v>0</v>
      </c>
      <c r="FG125" s="65"/>
      <c r="FH125" s="65"/>
      <c r="FI125" s="65"/>
      <c r="FJ125" s="56">
        <f t="shared" si="72"/>
        <v>0</v>
      </c>
      <c r="FK125" s="65"/>
      <c r="FL125" s="65"/>
      <c r="FM125" s="65"/>
      <c r="FN125" s="65"/>
      <c r="FO125" s="67">
        <f t="shared" si="73"/>
        <v>0</v>
      </c>
      <c r="FP125" s="57"/>
      <c r="FQ125" s="73"/>
      <c r="FR125" s="73"/>
      <c r="FS125" s="71">
        <f t="shared" si="74"/>
        <v>0</v>
      </c>
      <c r="FT125" s="91"/>
      <c r="FU125" s="91"/>
      <c r="FV125" s="67">
        <f>SUM(Tableau1[[#This Row],[Droits d''auteurs SACEM + cotisations SACEM]:[Autres ou non préciés]])</f>
        <v>0</v>
      </c>
      <c r="FW125" s="75">
        <f t="shared" si="75"/>
        <v>0</v>
      </c>
      <c r="FX125" s="74">
        <v>0</v>
      </c>
      <c r="FY125" s="74"/>
      <c r="FZ125" s="74"/>
      <c r="GA125" s="74"/>
      <c r="GB125" s="71">
        <f t="shared" si="76"/>
        <v>0</v>
      </c>
      <c r="GC125" s="92"/>
      <c r="GD125" s="92"/>
      <c r="GE125" s="67">
        <f t="shared" si="77"/>
        <v>0</v>
      </c>
      <c r="GF125" s="66"/>
      <c r="GG125" s="66"/>
      <c r="GH125" s="66"/>
      <c r="GI125" s="66"/>
      <c r="GJ125" s="77"/>
    </row>
    <row r="126" spans="1:192" ht="18.600000000000001" customHeight="1" x14ac:dyDescent="0.25">
      <c r="A126" s="89"/>
      <c r="B126" s="17"/>
      <c r="C126" s="50"/>
      <c r="D126" s="140"/>
      <c r="E126" s="51"/>
      <c r="F126" s="139">
        <f t="shared" si="81"/>
        <v>1</v>
      </c>
      <c r="G126" s="49"/>
      <c r="H126" s="50"/>
      <c r="I126" s="122"/>
      <c r="J126" s="49"/>
      <c r="K126" s="50"/>
      <c r="L126" s="50"/>
      <c r="M126" s="90"/>
      <c r="N126" s="50"/>
      <c r="O126" s="50"/>
      <c r="P126" s="90"/>
      <c r="Q126" s="52">
        <f t="shared" si="47"/>
        <v>0</v>
      </c>
      <c r="R126" s="52">
        <f t="shared" si="48"/>
        <v>0</v>
      </c>
      <c r="S126" s="53">
        <f t="shared" si="49"/>
        <v>0</v>
      </c>
      <c r="T126" s="54">
        <f t="shared" si="50"/>
        <v>0</v>
      </c>
      <c r="U126" s="115">
        <f>SUM(Tableau1[[#This Row],[Vente confiserie]:[Vente boisson]])</f>
        <v>0</v>
      </c>
      <c r="V126" s="55"/>
      <c r="W126" s="55"/>
      <c r="X126" s="135">
        <f>SUM(Tableau1[[#This Row],[Vente lunette]:[Location lunette]])</f>
        <v>0</v>
      </c>
      <c r="Y126" s="55"/>
      <c r="Z126" s="55"/>
      <c r="AA126" s="55"/>
      <c r="AB126" s="55"/>
      <c r="AC126" s="56">
        <f t="shared" si="79"/>
        <v>0</v>
      </c>
      <c r="AD126" s="57"/>
      <c r="AE126" s="57"/>
      <c r="AF126" s="57"/>
      <c r="AG126" s="57"/>
      <c r="AH126" s="57"/>
      <c r="AI126" s="57"/>
      <c r="AJ126" s="118">
        <f>(Tableau1[[#This Row],[Recette guichet ]]*1.1275177)-Tableau1[[#This Row],[Recette guichet ]]</f>
        <v>0</v>
      </c>
      <c r="AK126" s="57"/>
      <c r="AL126" s="56">
        <f t="shared" si="80"/>
        <v>0</v>
      </c>
      <c r="AM126" s="58"/>
      <c r="AN126" s="58"/>
      <c r="AO126" s="58"/>
      <c r="AP126" s="115">
        <f t="shared" si="51"/>
        <v>0</v>
      </c>
      <c r="AQ126" s="69"/>
      <c r="AR126" s="69"/>
      <c r="AS126" s="69"/>
      <c r="AT126" s="69"/>
      <c r="AU126" s="59">
        <f t="shared" si="52"/>
        <v>0</v>
      </c>
      <c r="AV126" s="60">
        <f t="shared" si="53"/>
        <v>0</v>
      </c>
      <c r="AW126" s="58"/>
      <c r="AX126" s="58"/>
      <c r="AY126" s="58"/>
      <c r="AZ126" s="60">
        <f t="shared" si="82"/>
        <v>0</v>
      </c>
      <c r="BA126" s="58"/>
      <c r="BB126" s="58"/>
      <c r="BC126" s="58"/>
      <c r="BD126" s="60">
        <f>SUM(Tableau1[[#This Row],[ticket/carte/abonnement périmé]:[Autres ou non précisé 5]])</f>
        <v>0</v>
      </c>
      <c r="BE126" s="58"/>
      <c r="BF126" s="58"/>
      <c r="BG126" s="58"/>
      <c r="BH126" s="61">
        <f t="shared" si="54"/>
        <v>0</v>
      </c>
      <c r="BI126" s="120"/>
      <c r="BJ126" s="120"/>
      <c r="BK126" s="62">
        <f t="shared" si="55"/>
        <v>0</v>
      </c>
      <c r="BL126" s="120"/>
      <c r="BM126" s="120"/>
      <c r="BN126" s="120"/>
      <c r="BO126" s="120"/>
      <c r="BP126" s="120"/>
      <c r="BQ126" s="63"/>
      <c r="BR126" s="52">
        <f t="shared" si="56"/>
        <v>0</v>
      </c>
      <c r="BS126" s="52">
        <f t="shared" si="57"/>
        <v>0</v>
      </c>
      <c r="BT126" s="61">
        <f t="shared" si="58"/>
        <v>0</v>
      </c>
      <c r="BU126" s="64">
        <f t="shared" si="59"/>
        <v>0</v>
      </c>
      <c r="BV126" s="119">
        <f>SUM(Tableau1[[#This Row],[Achats confiserie]:[Achats boisson]])</f>
        <v>0</v>
      </c>
      <c r="BW126" s="58"/>
      <c r="BX126" s="69"/>
      <c r="BY126" s="58"/>
      <c r="BZ126" s="56">
        <f t="shared" si="60"/>
        <v>0</v>
      </c>
      <c r="CA126" s="66"/>
      <c r="CB126" s="66"/>
      <c r="CC126" s="56">
        <f t="shared" si="61"/>
        <v>0</v>
      </c>
      <c r="CD126" s="55"/>
      <c r="CE126" s="65"/>
      <c r="CF126" s="55"/>
      <c r="CG126" s="55"/>
      <c r="CH126" s="67">
        <f t="shared" si="62"/>
        <v>0</v>
      </c>
      <c r="CI126" s="68">
        <f t="shared" si="78"/>
        <v>0</v>
      </c>
      <c r="CJ126" s="55"/>
      <c r="CK126" s="55"/>
      <c r="CL126" s="55"/>
      <c r="CM126" s="55"/>
      <c r="CN126" s="55"/>
      <c r="CO126" s="68">
        <f t="shared" si="63"/>
        <v>0</v>
      </c>
      <c r="CP126" s="75">
        <f>SUM(Tableau1[[#This Row],[Fourniture eau]:[Energie (non précisé)]])</f>
        <v>0</v>
      </c>
      <c r="CQ126" s="55"/>
      <c r="CR126" s="55"/>
      <c r="CS126" s="55"/>
      <c r="CT126" s="55"/>
      <c r="CU126" s="55"/>
      <c r="CV126" s="55">
        <v>0</v>
      </c>
      <c r="CW126" s="55"/>
      <c r="CX126" s="68">
        <f>SUM(Tableau1[[#This Row],[Sous-traitance]:[Autres ou non précisé 12]])</f>
        <v>0</v>
      </c>
      <c r="CY126" s="65"/>
      <c r="CZ126" s="65"/>
      <c r="DA126" s="65"/>
      <c r="DB126" s="65"/>
      <c r="DC126" s="55"/>
      <c r="DD126" s="68">
        <f t="shared" si="83"/>
        <v>0</v>
      </c>
      <c r="DE126" s="55"/>
      <c r="DF126" s="65"/>
      <c r="DG126" s="65"/>
      <c r="DH126" s="65"/>
      <c r="DI126" s="68">
        <f>SUM(Tableau1[[#This Row],[Entretien et réparation matériel de projection]:[Autres ou non précisé 14]])</f>
        <v>0</v>
      </c>
      <c r="DJ126" s="58"/>
      <c r="DK126" s="58"/>
      <c r="DL126" s="69"/>
      <c r="DM126" s="68">
        <f t="shared" si="64"/>
        <v>0</v>
      </c>
      <c r="DN126" s="58"/>
      <c r="DO126" s="58"/>
      <c r="DP126" s="68">
        <f t="shared" si="65"/>
        <v>0</v>
      </c>
      <c r="DQ126" s="65"/>
      <c r="DR126" s="65"/>
      <c r="DS126" s="68">
        <f t="shared" si="66"/>
        <v>0</v>
      </c>
      <c r="DT126" s="65"/>
      <c r="DU126" s="65"/>
      <c r="DV126" s="65"/>
      <c r="DW126" s="68">
        <f>SUM(Tableau1[[#This Row],[Comission et courtage sur achats]:[Autres ou honoraires
 non précisé ]])</f>
        <v>0</v>
      </c>
      <c r="DX126" s="57"/>
      <c r="DY126" s="57"/>
      <c r="DZ126" s="65"/>
      <c r="EA126" s="65"/>
      <c r="EB126" s="65"/>
      <c r="EC126" s="68">
        <f t="shared" si="67"/>
        <v>0</v>
      </c>
      <c r="ED126" s="69"/>
      <c r="EE126" s="69"/>
      <c r="EF126" s="69"/>
      <c r="EG126" s="69"/>
      <c r="EH126" s="69"/>
      <c r="EI126" s="84">
        <f>SUM(Tableau1[[#This Row],[Transports sur films]:[autres ]])</f>
        <v>0</v>
      </c>
      <c r="EJ126" s="132">
        <v>0</v>
      </c>
      <c r="EK126" s="132"/>
      <c r="EL126" s="68">
        <f t="shared" si="68"/>
        <v>0</v>
      </c>
      <c r="EM126" s="65"/>
      <c r="EN126" s="65">
        <v>0</v>
      </c>
      <c r="EO126" s="65"/>
      <c r="EP126" s="65"/>
      <c r="EQ126" s="65"/>
      <c r="ER126" s="65"/>
      <c r="ES126" s="65"/>
      <c r="ET126" s="68">
        <f t="shared" si="69"/>
        <v>0</v>
      </c>
      <c r="EU126" s="65"/>
      <c r="EV126" s="65"/>
      <c r="EW126" s="65"/>
      <c r="EX126" s="65"/>
      <c r="EY126" s="65"/>
      <c r="EZ126" s="68">
        <f t="shared" si="85"/>
        <v>0</v>
      </c>
      <c r="FA126" s="65"/>
      <c r="FB126" s="65"/>
      <c r="FC126" s="70">
        <f t="shared" si="84"/>
        <v>0</v>
      </c>
      <c r="FD126" s="65"/>
      <c r="FE126" s="71">
        <f t="shared" si="70"/>
        <v>0</v>
      </c>
      <c r="FF126" s="72">
        <f t="shared" si="71"/>
        <v>0</v>
      </c>
      <c r="FG126" s="65"/>
      <c r="FH126" s="65"/>
      <c r="FI126" s="65"/>
      <c r="FJ126" s="56">
        <f t="shared" si="72"/>
        <v>0</v>
      </c>
      <c r="FK126" s="65"/>
      <c r="FL126" s="65"/>
      <c r="FM126" s="65"/>
      <c r="FN126" s="65"/>
      <c r="FO126" s="67">
        <f t="shared" si="73"/>
        <v>0</v>
      </c>
      <c r="FP126" s="57"/>
      <c r="FQ126" s="73"/>
      <c r="FR126" s="73"/>
      <c r="FS126" s="71">
        <f t="shared" si="74"/>
        <v>0</v>
      </c>
      <c r="FT126" s="91"/>
      <c r="FU126" s="91"/>
      <c r="FV126" s="67">
        <f>SUM(Tableau1[[#This Row],[Droits d''auteurs SACEM + cotisations SACEM]:[Autres ou non préciés]])</f>
        <v>0</v>
      </c>
      <c r="FW126" s="75">
        <f t="shared" si="75"/>
        <v>0</v>
      </c>
      <c r="FX126" s="74">
        <v>0</v>
      </c>
      <c r="FY126" s="74"/>
      <c r="FZ126" s="74"/>
      <c r="GA126" s="74"/>
      <c r="GB126" s="71">
        <f t="shared" si="76"/>
        <v>0</v>
      </c>
      <c r="GC126" s="92"/>
      <c r="GD126" s="92"/>
      <c r="GE126" s="67">
        <f t="shared" si="77"/>
        <v>0</v>
      </c>
      <c r="GF126" s="66"/>
      <c r="GG126" s="66"/>
      <c r="GH126" s="66"/>
      <c r="GI126" s="66"/>
      <c r="GJ126" s="77"/>
    </row>
    <row r="127" spans="1:192" ht="18.600000000000001" customHeight="1" x14ac:dyDescent="0.25">
      <c r="A127" s="89"/>
      <c r="B127" s="17"/>
      <c r="C127" s="50"/>
      <c r="D127" s="140"/>
      <c r="E127" s="51"/>
      <c r="F127" s="139">
        <f t="shared" si="81"/>
        <v>1</v>
      </c>
      <c r="G127" s="49"/>
      <c r="H127" s="50"/>
      <c r="I127" s="122"/>
      <c r="J127" s="49"/>
      <c r="K127" s="50"/>
      <c r="L127" s="50"/>
      <c r="M127" s="90"/>
      <c r="N127" s="50"/>
      <c r="O127" s="50"/>
      <c r="P127" s="90"/>
      <c r="Q127" s="52">
        <f t="shared" si="47"/>
        <v>0</v>
      </c>
      <c r="R127" s="52">
        <f t="shared" si="48"/>
        <v>0</v>
      </c>
      <c r="S127" s="53">
        <f t="shared" si="49"/>
        <v>0</v>
      </c>
      <c r="T127" s="54">
        <f t="shared" si="50"/>
        <v>0</v>
      </c>
      <c r="U127" s="115">
        <f>SUM(Tableau1[[#This Row],[Vente confiserie]:[Vente boisson]])</f>
        <v>0</v>
      </c>
      <c r="V127" s="55"/>
      <c r="W127" s="55"/>
      <c r="X127" s="135">
        <f>SUM(Tableau1[[#This Row],[Vente lunette]:[Location lunette]])</f>
        <v>0</v>
      </c>
      <c r="Y127" s="55"/>
      <c r="Z127" s="55"/>
      <c r="AA127" s="55"/>
      <c r="AB127" s="55"/>
      <c r="AC127" s="56">
        <f t="shared" si="79"/>
        <v>0</v>
      </c>
      <c r="AD127" s="57"/>
      <c r="AE127" s="57"/>
      <c r="AF127" s="57"/>
      <c r="AG127" s="57"/>
      <c r="AH127" s="57"/>
      <c r="AI127" s="57"/>
      <c r="AJ127" s="118">
        <f>(Tableau1[[#This Row],[Recette guichet ]]*1.1275177)-Tableau1[[#This Row],[Recette guichet ]]</f>
        <v>0</v>
      </c>
      <c r="AK127" s="57"/>
      <c r="AL127" s="56">
        <f t="shared" si="80"/>
        <v>0</v>
      </c>
      <c r="AM127" s="58"/>
      <c r="AN127" s="58"/>
      <c r="AO127" s="58"/>
      <c r="AP127" s="115">
        <f t="shared" si="51"/>
        <v>0</v>
      </c>
      <c r="AQ127" s="69"/>
      <c r="AR127" s="69"/>
      <c r="AS127" s="69"/>
      <c r="AT127" s="69"/>
      <c r="AU127" s="59">
        <f t="shared" si="52"/>
        <v>0</v>
      </c>
      <c r="AV127" s="60">
        <f t="shared" si="53"/>
        <v>0</v>
      </c>
      <c r="AW127" s="58"/>
      <c r="AX127" s="58"/>
      <c r="AY127" s="58"/>
      <c r="AZ127" s="60">
        <f t="shared" si="82"/>
        <v>0</v>
      </c>
      <c r="BA127" s="58"/>
      <c r="BB127" s="58"/>
      <c r="BC127" s="58"/>
      <c r="BD127" s="60">
        <f>SUM(Tableau1[[#This Row],[ticket/carte/abonnement périmé]:[Autres ou non précisé 5]])</f>
        <v>0</v>
      </c>
      <c r="BE127" s="58"/>
      <c r="BF127" s="58"/>
      <c r="BG127" s="58"/>
      <c r="BH127" s="61">
        <f t="shared" si="54"/>
        <v>0</v>
      </c>
      <c r="BI127" s="120"/>
      <c r="BJ127" s="120"/>
      <c r="BK127" s="62">
        <f t="shared" si="55"/>
        <v>0</v>
      </c>
      <c r="BL127" s="120"/>
      <c r="BM127" s="120"/>
      <c r="BN127" s="120"/>
      <c r="BO127" s="120"/>
      <c r="BP127" s="120"/>
      <c r="BQ127" s="63"/>
      <c r="BR127" s="52">
        <f t="shared" si="56"/>
        <v>0</v>
      </c>
      <c r="BS127" s="52">
        <f t="shared" si="57"/>
        <v>0</v>
      </c>
      <c r="BT127" s="61">
        <f t="shared" si="58"/>
        <v>0</v>
      </c>
      <c r="BU127" s="64">
        <f t="shared" si="59"/>
        <v>0</v>
      </c>
      <c r="BV127" s="119">
        <f>SUM(Tableau1[[#This Row],[Achats confiserie]:[Achats boisson]])</f>
        <v>0</v>
      </c>
      <c r="BW127" s="58"/>
      <c r="BX127" s="69"/>
      <c r="BY127" s="58"/>
      <c r="BZ127" s="56">
        <f t="shared" si="60"/>
        <v>0</v>
      </c>
      <c r="CA127" s="66"/>
      <c r="CB127" s="66"/>
      <c r="CC127" s="56">
        <f t="shared" si="61"/>
        <v>0</v>
      </c>
      <c r="CD127" s="55"/>
      <c r="CE127" s="65"/>
      <c r="CF127" s="55"/>
      <c r="CG127" s="55"/>
      <c r="CH127" s="67">
        <f t="shared" si="62"/>
        <v>0</v>
      </c>
      <c r="CI127" s="68">
        <f t="shared" si="78"/>
        <v>0</v>
      </c>
      <c r="CJ127" s="55"/>
      <c r="CK127" s="55"/>
      <c r="CL127" s="55"/>
      <c r="CM127" s="55"/>
      <c r="CN127" s="55"/>
      <c r="CO127" s="68">
        <f t="shared" si="63"/>
        <v>0</v>
      </c>
      <c r="CP127" s="75">
        <f>SUM(Tableau1[[#This Row],[Fourniture eau]:[Energie (non précisé)]])</f>
        <v>0</v>
      </c>
      <c r="CQ127" s="55"/>
      <c r="CR127" s="55"/>
      <c r="CS127" s="55"/>
      <c r="CT127" s="55"/>
      <c r="CU127" s="55"/>
      <c r="CV127" s="55">
        <v>0</v>
      </c>
      <c r="CW127" s="55"/>
      <c r="CX127" s="68">
        <f>SUM(Tableau1[[#This Row],[Sous-traitance]:[Autres ou non précisé 12]])</f>
        <v>0</v>
      </c>
      <c r="CY127" s="65"/>
      <c r="CZ127" s="65"/>
      <c r="DA127" s="65"/>
      <c r="DB127" s="65"/>
      <c r="DC127" s="55"/>
      <c r="DD127" s="68">
        <f t="shared" si="83"/>
        <v>0</v>
      </c>
      <c r="DE127" s="55"/>
      <c r="DF127" s="65"/>
      <c r="DG127" s="65"/>
      <c r="DH127" s="65"/>
      <c r="DI127" s="68">
        <f>SUM(Tableau1[[#This Row],[Entretien et réparation matériel de projection]:[Autres ou non précisé 14]])</f>
        <v>0</v>
      </c>
      <c r="DJ127" s="58"/>
      <c r="DK127" s="58"/>
      <c r="DL127" s="69"/>
      <c r="DM127" s="68">
        <f t="shared" si="64"/>
        <v>0</v>
      </c>
      <c r="DN127" s="58"/>
      <c r="DO127" s="58"/>
      <c r="DP127" s="68">
        <f t="shared" si="65"/>
        <v>0</v>
      </c>
      <c r="DQ127" s="65"/>
      <c r="DR127" s="65"/>
      <c r="DS127" s="68">
        <f t="shared" si="66"/>
        <v>0</v>
      </c>
      <c r="DT127" s="65"/>
      <c r="DU127" s="65"/>
      <c r="DV127" s="65"/>
      <c r="DW127" s="68">
        <f>SUM(Tableau1[[#This Row],[Comission et courtage sur achats]:[Autres ou honoraires
 non précisé ]])</f>
        <v>0</v>
      </c>
      <c r="DX127" s="57"/>
      <c r="DY127" s="57"/>
      <c r="DZ127" s="65"/>
      <c r="EA127" s="65"/>
      <c r="EB127" s="65"/>
      <c r="EC127" s="68">
        <f t="shared" si="67"/>
        <v>0</v>
      </c>
      <c r="ED127" s="69"/>
      <c r="EE127" s="69"/>
      <c r="EF127" s="69"/>
      <c r="EG127" s="69"/>
      <c r="EH127" s="69"/>
      <c r="EI127" s="84">
        <f>SUM(Tableau1[[#This Row],[Transports sur films]:[autres ]])</f>
        <v>0</v>
      </c>
      <c r="EJ127" s="132">
        <v>0</v>
      </c>
      <c r="EK127" s="132"/>
      <c r="EL127" s="68">
        <f t="shared" si="68"/>
        <v>0</v>
      </c>
      <c r="EM127" s="65"/>
      <c r="EN127" s="65">
        <v>0</v>
      </c>
      <c r="EO127" s="65"/>
      <c r="EP127" s="65"/>
      <c r="EQ127" s="65"/>
      <c r="ER127" s="65"/>
      <c r="ES127" s="65"/>
      <c r="ET127" s="68">
        <f t="shared" si="69"/>
        <v>0</v>
      </c>
      <c r="EU127" s="65"/>
      <c r="EV127" s="65"/>
      <c r="EW127" s="65"/>
      <c r="EX127" s="65"/>
      <c r="EY127" s="65"/>
      <c r="EZ127" s="68">
        <f t="shared" si="85"/>
        <v>0</v>
      </c>
      <c r="FA127" s="65"/>
      <c r="FB127" s="65"/>
      <c r="FC127" s="70">
        <f t="shared" si="84"/>
        <v>0</v>
      </c>
      <c r="FD127" s="65"/>
      <c r="FE127" s="71">
        <f t="shared" si="70"/>
        <v>0</v>
      </c>
      <c r="FF127" s="72">
        <f t="shared" si="71"/>
        <v>0</v>
      </c>
      <c r="FG127" s="65"/>
      <c r="FH127" s="65"/>
      <c r="FI127" s="65"/>
      <c r="FJ127" s="56">
        <f t="shared" si="72"/>
        <v>0</v>
      </c>
      <c r="FK127" s="65"/>
      <c r="FL127" s="65"/>
      <c r="FM127" s="65"/>
      <c r="FN127" s="65"/>
      <c r="FO127" s="67">
        <f t="shared" si="73"/>
        <v>0</v>
      </c>
      <c r="FP127" s="57"/>
      <c r="FQ127" s="73"/>
      <c r="FR127" s="73"/>
      <c r="FS127" s="71">
        <f t="shared" si="74"/>
        <v>0</v>
      </c>
      <c r="FT127" s="91"/>
      <c r="FU127" s="91"/>
      <c r="FV127" s="67">
        <f>SUM(Tableau1[[#This Row],[Droits d''auteurs SACEM + cotisations SACEM]:[Autres ou non préciés]])</f>
        <v>0</v>
      </c>
      <c r="FW127" s="75">
        <f t="shared" si="75"/>
        <v>0</v>
      </c>
      <c r="FX127" s="74">
        <v>0</v>
      </c>
      <c r="FY127" s="74"/>
      <c r="FZ127" s="74"/>
      <c r="GA127" s="74"/>
      <c r="GB127" s="71">
        <f t="shared" si="76"/>
        <v>0</v>
      </c>
      <c r="GC127" s="92"/>
      <c r="GD127" s="92"/>
      <c r="GE127" s="67">
        <f t="shared" si="77"/>
        <v>0</v>
      </c>
      <c r="GF127" s="66"/>
      <c r="GG127" s="66"/>
      <c r="GH127" s="66"/>
      <c r="GI127" s="66"/>
      <c r="GJ127" s="77"/>
    </row>
    <row r="128" spans="1:192" ht="18.600000000000001" customHeight="1" x14ac:dyDescent="0.25">
      <c r="A128" s="89"/>
      <c r="B128" s="17"/>
      <c r="C128" s="50"/>
      <c r="D128" s="140"/>
      <c r="E128" s="51"/>
      <c r="F128" s="139">
        <f t="shared" si="81"/>
        <v>1</v>
      </c>
      <c r="G128" s="49"/>
      <c r="H128" s="50"/>
      <c r="I128" s="122"/>
      <c r="J128" s="49"/>
      <c r="K128" s="50"/>
      <c r="L128" s="50"/>
      <c r="M128" s="90"/>
      <c r="N128" s="50"/>
      <c r="O128" s="50"/>
      <c r="P128" s="90"/>
      <c r="Q128" s="52">
        <f t="shared" si="47"/>
        <v>0</v>
      </c>
      <c r="R128" s="52">
        <f t="shared" si="48"/>
        <v>0</v>
      </c>
      <c r="S128" s="53">
        <f t="shared" si="49"/>
        <v>0</v>
      </c>
      <c r="T128" s="54">
        <f t="shared" si="50"/>
        <v>0</v>
      </c>
      <c r="U128" s="115">
        <f>SUM(Tableau1[[#This Row],[Vente confiserie]:[Vente boisson]])</f>
        <v>0</v>
      </c>
      <c r="V128" s="55"/>
      <c r="W128" s="55"/>
      <c r="X128" s="135">
        <f>SUM(Tableau1[[#This Row],[Vente lunette]:[Location lunette]])</f>
        <v>0</v>
      </c>
      <c r="Y128" s="55"/>
      <c r="Z128" s="55"/>
      <c r="AA128" s="55"/>
      <c r="AB128" s="55"/>
      <c r="AC128" s="56">
        <f t="shared" si="79"/>
        <v>0</v>
      </c>
      <c r="AD128" s="57"/>
      <c r="AE128" s="57"/>
      <c r="AF128" s="57"/>
      <c r="AG128" s="57"/>
      <c r="AH128" s="57"/>
      <c r="AI128" s="57"/>
      <c r="AJ128" s="118">
        <f>(Tableau1[[#This Row],[Recette guichet ]]*1.1275177)-Tableau1[[#This Row],[Recette guichet ]]</f>
        <v>0</v>
      </c>
      <c r="AK128" s="57"/>
      <c r="AL128" s="56">
        <f t="shared" si="80"/>
        <v>0</v>
      </c>
      <c r="AM128" s="58"/>
      <c r="AN128" s="58"/>
      <c r="AO128" s="58"/>
      <c r="AP128" s="115">
        <f t="shared" si="51"/>
        <v>0</v>
      </c>
      <c r="AQ128" s="69"/>
      <c r="AR128" s="69"/>
      <c r="AS128" s="69"/>
      <c r="AT128" s="69"/>
      <c r="AU128" s="59">
        <f t="shared" si="52"/>
        <v>0</v>
      </c>
      <c r="AV128" s="60">
        <f t="shared" si="53"/>
        <v>0</v>
      </c>
      <c r="AW128" s="58"/>
      <c r="AX128" s="58"/>
      <c r="AY128" s="58"/>
      <c r="AZ128" s="60">
        <f t="shared" si="82"/>
        <v>0</v>
      </c>
      <c r="BA128" s="58"/>
      <c r="BB128" s="58"/>
      <c r="BC128" s="58"/>
      <c r="BD128" s="60">
        <f>SUM(Tableau1[[#This Row],[ticket/carte/abonnement périmé]:[Autres ou non précisé 5]])</f>
        <v>0</v>
      </c>
      <c r="BE128" s="58"/>
      <c r="BF128" s="58"/>
      <c r="BG128" s="58"/>
      <c r="BH128" s="61">
        <f t="shared" si="54"/>
        <v>0</v>
      </c>
      <c r="BI128" s="120"/>
      <c r="BJ128" s="120"/>
      <c r="BK128" s="62">
        <f t="shared" si="55"/>
        <v>0</v>
      </c>
      <c r="BL128" s="120"/>
      <c r="BM128" s="120"/>
      <c r="BN128" s="120"/>
      <c r="BO128" s="120"/>
      <c r="BP128" s="120"/>
      <c r="BQ128" s="63"/>
      <c r="BR128" s="52">
        <f t="shared" si="56"/>
        <v>0</v>
      </c>
      <c r="BS128" s="52">
        <f t="shared" si="57"/>
        <v>0</v>
      </c>
      <c r="BT128" s="61">
        <f t="shared" si="58"/>
        <v>0</v>
      </c>
      <c r="BU128" s="64">
        <f t="shared" si="59"/>
        <v>0</v>
      </c>
      <c r="BV128" s="119">
        <f>SUM(Tableau1[[#This Row],[Achats confiserie]:[Achats boisson]])</f>
        <v>0</v>
      </c>
      <c r="BW128" s="58"/>
      <c r="BX128" s="69"/>
      <c r="BY128" s="58"/>
      <c r="BZ128" s="56">
        <f t="shared" si="60"/>
        <v>0</v>
      </c>
      <c r="CA128" s="66"/>
      <c r="CB128" s="66"/>
      <c r="CC128" s="56">
        <f t="shared" si="61"/>
        <v>0</v>
      </c>
      <c r="CD128" s="55"/>
      <c r="CE128" s="65"/>
      <c r="CF128" s="55"/>
      <c r="CG128" s="55"/>
      <c r="CH128" s="67">
        <f t="shared" si="62"/>
        <v>0</v>
      </c>
      <c r="CI128" s="68">
        <f t="shared" si="78"/>
        <v>0</v>
      </c>
      <c r="CJ128" s="55"/>
      <c r="CK128" s="55"/>
      <c r="CL128" s="55"/>
      <c r="CM128" s="55"/>
      <c r="CN128" s="55"/>
      <c r="CO128" s="68">
        <f t="shared" si="63"/>
        <v>0</v>
      </c>
      <c r="CP128" s="75">
        <f>SUM(Tableau1[[#This Row],[Fourniture eau]:[Energie (non précisé)]])</f>
        <v>0</v>
      </c>
      <c r="CQ128" s="55"/>
      <c r="CR128" s="55"/>
      <c r="CS128" s="55"/>
      <c r="CT128" s="55"/>
      <c r="CU128" s="55"/>
      <c r="CV128" s="55">
        <v>0</v>
      </c>
      <c r="CW128" s="55"/>
      <c r="CX128" s="68">
        <f>SUM(Tableau1[[#This Row],[Sous-traitance]:[Autres ou non précisé 12]])</f>
        <v>0</v>
      </c>
      <c r="CY128" s="65"/>
      <c r="CZ128" s="65"/>
      <c r="DA128" s="65"/>
      <c r="DB128" s="65"/>
      <c r="DC128" s="55"/>
      <c r="DD128" s="68">
        <f t="shared" si="83"/>
        <v>0</v>
      </c>
      <c r="DE128" s="55"/>
      <c r="DF128" s="65"/>
      <c r="DG128" s="65"/>
      <c r="DH128" s="65"/>
      <c r="DI128" s="68">
        <f>SUM(Tableau1[[#This Row],[Entretien et réparation matériel de projection]:[Autres ou non précisé 14]])</f>
        <v>0</v>
      </c>
      <c r="DJ128" s="58"/>
      <c r="DK128" s="58"/>
      <c r="DL128" s="69"/>
      <c r="DM128" s="68">
        <f t="shared" si="64"/>
        <v>0</v>
      </c>
      <c r="DN128" s="58"/>
      <c r="DO128" s="58"/>
      <c r="DP128" s="68">
        <f t="shared" si="65"/>
        <v>0</v>
      </c>
      <c r="DQ128" s="65"/>
      <c r="DR128" s="65"/>
      <c r="DS128" s="68">
        <f t="shared" si="66"/>
        <v>0</v>
      </c>
      <c r="DT128" s="65"/>
      <c r="DU128" s="65"/>
      <c r="DV128" s="65"/>
      <c r="DW128" s="68">
        <f>SUM(Tableau1[[#This Row],[Comission et courtage sur achats]:[Autres ou honoraires
 non précisé ]])</f>
        <v>0</v>
      </c>
      <c r="DX128" s="57"/>
      <c r="DY128" s="57"/>
      <c r="DZ128" s="65"/>
      <c r="EA128" s="65"/>
      <c r="EB128" s="65"/>
      <c r="EC128" s="68">
        <f t="shared" si="67"/>
        <v>0</v>
      </c>
      <c r="ED128" s="69"/>
      <c r="EE128" s="69"/>
      <c r="EF128" s="69"/>
      <c r="EG128" s="69"/>
      <c r="EH128" s="69"/>
      <c r="EI128" s="84">
        <f>SUM(Tableau1[[#This Row],[Transports sur films]:[autres ]])</f>
        <v>0</v>
      </c>
      <c r="EJ128" s="132">
        <v>0</v>
      </c>
      <c r="EK128" s="132"/>
      <c r="EL128" s="68">
        <f t="shared" si="68"/>
        <v>0</v>
      </c>
      <c r="EM128" s="65"/>
      <c r="EN128" s="65">
        <v>0</v>
      </c>
      <c r="EO128" s="65"/>
      <c r="EP128" s="65"/>
      <c r="EQ128" s="65"/>
      <c r="ER128" s="65"/>
      <c r="ES128" s="65"/>
      <c r="ET128" s="68">
        <f t="shared" si="69"/>
        <v>0</v>
      </c>
      <c r="EU128" s="65"/>
      <c r="EV128" s="65"/>
      <c r="EW128" s="65"/>
      <c r="EX128" s="65"/>
      <c r="EY128" s="65"/>
      <c r="EZ128" s="68">
        <f t="shared" si="85"/>
        <v>0</v>
      </c>
      <c r="FA128" s="65"/>
      <c r="FB128" s="65"/>
      <c r="FC128" s="70">
        <f t="shared" si="84"/>
        <v>0</v>
      </c>
      <c r="FD128" s="65"/>
      <c r="FE128" s="71">
        <f t="shared" si="70"/>
        <v>0</v>
      </c>
      <c r="FF128" s="72">
        <f t="shared" si="71"/>
        <v>0</v>
      </c>
      <c r="FG128" s="65"/>
      <c r="FH128" s="65"/>
      <c r="FI128" s="65"/>
      <c r="FJ128" s="56">
        <f t="shared" si="72"/>
        <v>0</v>
      </c>
      <c r="FK128" s="65"/>
      <c r="FL128" s="65"/>
      <c r="FM128" s="65"/>
      <c r="FN128" s="65"/>
      <c r="FO128" s="67">
        <f t="shared" si="73"/>
        <v>0</v>
      </c>
      <c r="FP128" s="57"/>
      <c r="FQ128" s="73"/>
      <c r="FR128" s="73"/>
      <c r="FS128" s="71">
        <f t="shared" si="74"/>
        <v>0</v>
      </c>
      <c r="FT128" s="91"/>
      <c r="FU128" s="91"/>
      <c r="FV128" s="67">
        <f>SUM(Tableau1[[#This Row],[Droits d''auteurs SACEM + cotisations SACEM]:[Autres ou non préciés]])</f>
        <v>0</v>
      </c>
      <c r="FW128" s="75">
        <f t="shared" si="75"/>
        <v>0</v>
      </c>
      <c r="FX128" s="74">
        <v>0</v>
      </c>
      <c r="FY128" s="74"/>
      <c r="FZ128" s="74"/>
      <c r="GA128" s="74"/>
      <c r="GB128" s="71">
        <f t="shared" si="76"/>
        <v>0</v>
      </c>
      <c r="GC128" s="92"/>
      <c r="GD128" s="92"/>
      <c r="GE128" s="67">
        <f t="shared" si="77"/>
        <v>0</v>
      </c>
      <c r="GF128" s="66"/>
      <c r="GG128" s="66"/>
      <c r="GH128" s="66"/>
      <c r="GI128" s="66"/>
      <c r="GJ128" s="77"/>
    </row>
    <row r="129" spans="1:192" ht="18.600000000000001" customHeight="1" x14ac:dyDescent="0.25">
      <c r="A129" s="89"/>
      <c r="B129" s="17"/>
      <c r="C129" s="50"/>
      <c r="D129" s="140"/>
      <c r="E129" s="51"/>
      <c r="F129" s="139">
        <f t="shared" si="81"/>
        <v>1</v>
      </c>
      <c r="G129" s="49"/>
      <c r="H129" s="50"/>
      <c r="I129" s="122"/>
      <c r="J129" s="49"/>
      <c r="K129" s="50"/>
      <c r="L129" s="50"/>
      <c r="M129" s="90"/>
      <c r="N129" s="50"/>
      <c r="O129" s="50"/>
      <c r="P129" s="90"/>
      <c r="Q129" s="52">
        <f t="shared" si="47"/>
        <v>0</v>
      </c>
      <c r="R129" s="52">
        <f t="shared" si="48"/>
        <v>0</v>
      </c>
      <c r="S129" s="53">
        <f t="shared" si="49"/>
        <v>0</v>
      </c>
      <c r="T129" s="54">
        <f t="shared" si="50"/>
        <v>0</v>
      </c>
      <c r="U129" s="115">
        <f>SUM(Tableau1[[#This Row],[Vente confiserie]:[Vente boisson]])</f>
        <v>0</v>
      </c>
      <c r="V129" s="55"/>
      <c r="W129" s="55"/>
      <c r="X129" s="135">
        <f>SUM(Tableau1[[#This Row],[Vente lunette]:[Location lunette]])</f>
        <v>0</v>
      </c>
      <c r="Y129" s="55"/>
      <c r="Z129" s="55"/>
      <c r="AA129" s="55"/>
      <c r="AB129" s="55"/>
      <c r="AC129" s="56">
        <f t="shared" si="79"/>
        <v>0</v>
      </c>
      <c r="AD129" s="57"/>
      <c r="AE129" s="57"/>
      <c r="AF129" s="57"/>
      <c r="AG129" s="57"/>
      <c r="AH129" s="57"/>
      <c r="AI129" s="57"/>
      <c r="AJ129" s="118">
        <f>(Tableau1[[#This Row],[Recette guichet ]]*1.1275177)-Tableau1[[#This Row],[Recette guichet ]]</f>
        <v>0</v>
      </c>
      <c r="AK129" s="57"/>
      <c r="AL129" s="56">
        <f t="shared" si="80"/>
        <v>0</v>
      </c>
      <c r="AM129" s="58"/>
      <c r="AN129" s="58"/>
      <c r="AO129" s="58"/>
      <c r="AP129" s="115">
        <f t="shared" si="51"/>
        <v>0</v>
      </c>
      <c r="AQ129" s="69"/>
      <c r="AR129" s="69"/>
      <c r="AS129" s="69"/>
      <c r="AT129" s="69"/>
      <c r="AU129" s="59">
        <f t="shared" si="52"/>
        <v>0</v>
      </c>
      <c r="AV129" s="60">
        <f t="shared" si="53"/>
        <v>0</v>
      </c>
      <c r="AW129" s="58"/>
      <c r="AX129" s="58"/>
      <c r="AY129" s="58"/>
      <c r="AZ129" s="60">
        <f t="shared" si="82"/>
        <v>0</v>
      </c>
      <c r="BA129" s="58"/>
      <c r="BB129" s="58"/>
      <c r="BC129" s="58"/>
      <c r="BD129" s="60">
        <f>SUM(Tableau1[[#This Row],[ticket/carte/abonnement périmé]:[Autres ou non précisé 5]])</f>
        <v>0</v>
      </c>
      <c r="BE129" s="58"/>
      <c r="BF129" s="58"/>
      <c r="BG129" s="58"/>
      <c r="BH129" s="61">
        <f t="shared" si="54"/>
        <v>0</v>
      </c>
      <c r="BI129" s="120"/>
      <c r="BJ129" s="120"/>
      <c r="BK129" s="62">
        <f t="shared" si="55"/>
        <v>0</v>
      </c>
      <c r="BL129" s="120"/>
      <c r="BM129" s="120"/>
      <c r="BN129" s="120"/>
      <c r="BO129" s="120"/>
      <c r="BP129" s="120"/>
      <c r="BQ129" s="63"/>
      <c r="BR129" s="52">
        <f t="shared" si="56"/>
        <v>0</v>
      </c>
      <c r="BS129" s="52">
        <f t="shared" si="57"/>
        <v>0</v>
      </c>
      <c r="BT129" s="61">
        <f t="shared" si="58"/>
        <v>0</v>
      </c>
      <c r="BU129" s="64">
        <f t="shared" si="59"/>
        <v>0</v>
      </c>
      <c r="BV129" s="119">
        <f>SUM(Tableau1[[#This Row],[Achats confiserie]:[Achats boisson]])</f>
        <v>0</v>
      </c>
      <c r="BW129" s="58"/>
      <c r="BX129" s="69"/>
      <c r="BY129" s="58"/>
      <c r="BZ129" s="56">
        <f t="shared" si="60"/>
        <v>0</v>
      </c>
      <c r="CA129" s="66"/>
      <c r="CB129" s="66"/>
      <c r="CC129" s="56">
        <f t="shared" si="61"/>
        <v>0</v>
      </c>
      <c r="CD129" s="55"/>
      <c r="CE129" s="65"/>
      <c r="CF129" s="55"/>
      <c r="CG129" s="55"/>
      <c r="CH129" s="67">
        <f t="shared" si="62"/>
        <v>0</v>
      </c>
      <c r="CI129" s="68">
        <f t="shared" si="78"/>
        <v>0</v>
      </c>
      <c r="CJ129" s="55"/>
      <c r="CK129" s="55"/>
      <c r="CL129" s="55"/>
      <c r="CM129" s="55"/>
      <c r="CN129" s="55"/>
      <c r="CO129" s="68">
        <f t="shared" si="63"/>
        <v>0</v>
      </c>
      <c r="CP129" s="75">
        <f>SUM(Tableau1[[#This Row],[Fourniture eau]:[Energie (non précisé)]])</f>
        <v>0</v>
      </c>
      <c r="CQ129" s="55"/>
      <c r="CR129" s="55"/>
      <c r="CS129" s="55"/>
      <c r="CT129" s="55"/>
      <c r="CU129" s="55"/>
      <c r="CV129" s="55">
        <v>0</v>
      </c>
      <c r="CW129" s="55"/>
      <c r="CX129" s="68">
        <f>SUM(Tableau1[[#This Row],[Sous-traitance]:[Autres ou non précisé 12]])</f>
        <v>0</v>
      </c>
      <c r="CY129" s="65"/>
      <c r="CZ129" s="65"/>
      <c r="DA129" s="65"/>
      <c r="DB129" s="65"/>
      <c r="DC129" s="55"/>
      <c r="DD129" s="68">
        <f t="shared" si="83"/>
        <v>0</v>
      </c>
      <c r="DE129" s="55"/>
      <c r="DF129" s="65"/>
      <c r="DG129" s="65"/>
      <c r="DH129" s="65"/>
      <c r="DI129" s="68">
        <f>SUM(Tableau1[[#This Row],[Entretien et réparation matériel de projection]:[Autres ou non précisé 14]])</f>
        <v>0</v>
      </c>
      <c r="DJ129" s="58"/>
      <c r="DK129" s="58"/>
      <c r="DL129" s="69"/>
      <c r="DM129" s="68">
        <f t="shared" si="64"/>
        <v>0</v>
      </c>
      <c r="DN129" s="58"/>
      <c r="DO129" s="58"/>
      <c r="DP129" s="68">
        <f t="shared" si="65"/>
        <v>0</v>
      </c>
      <c r="DQ129" s="65"/>
      <c r="DR129" s="65"/>
      <c r="DS129" s="68">
        <f t="shared" si="66"/>
        <v>0</v>
      </c>
      <c r="DT129" s="65"/>
      <c r="DU129" s="65"/>
      <c r="DV129" s="65"/>
      <c r="DW129" s="68">
        <f>SUM(Tableau1[[#This Row],[Comission et courtage sur achats]:[Autres ou honoraires
 non précisé ]])</f>
        <v>0</v>
      </c>
      <c r="DX129" s="57"/>
      <c r="DY129" s="57"/>
      <c r="DZ129" s="65"/>
      <c r="EA129" s="65"/>
      <c r="EB129" s="65"/>
      <c r="EC129" s="68">
        <f t="shared" si="67"/>
        <v>0</v>
      </c>
      <c r="ED129" s="69"/>
      <c r="EE129" s="69"/>
      <c r="EF129" s="69"/>
      <c r="EG129" s="69"/>
      <c r="EH129" s="69"/>
      <c r="EI129" s="84">
        <f>SUM(Tableau1[[#This Row],[Transports sur films]:[autres ]])</f>
        <v>0</v>
      </c>
      <c r="EJ129" s="132">
        <v>0</v>
      </c>
      <c r="EK129" s="132"/>
      <c r="EL129" s="68">
        <f t="shared" si="68"/>
        <v>0</v>
      </c>
      <c r="EM129" s="65"/>
      <c r="EN129" s="65">
        <v>0</v>
      </c>
      <c r="EO129" s="65"/>
      <c r="EP129" s="65"/>
      <c r="EQ129" s="65"/>
      <c r="ER129" s="65"/>
      <c r="ES129" s="65"/>
      <c r="ET129" s="68">
        <f t="shared" si="69"/>
        <v>0</v>
      </c>
      <c r="EU129" s="65"/>
      <c r="EV129" s="65"/>
      <c r="EW129" s="65"/>
      <c r="EX129" s="65"/>
      <c r="EY129" s="65"/>
      <c r="EZ129" s="68">
        <f t="shared" si="85"/>
        <v>0</v>
      </c>
      <c r="FA129" s="65"/>
      <c r="FB129" s="65"/>
      <c r="FC129" s="70">
        <f t="shared" si="84"/>
        <v>0</v>
      </c>
      <c r="FD129" s="65"/>
      <c r="FE129" s="71">
        <f t="shared" si="70"/>
        <v>0</v>
      </c>
      <c r="FF129" s="72">
        <f t="shared" si="71"/>
        <v>0</v>
      </c>
      <c r="FG129" s="65"/>
      <c r="FH129" s="65"/>
      <c r="FI129" s="65"/>
      <c r="FJ129" s="56">
        <f t="shared" si="72"/>
        <v>0</v>
      </c>
      <c r="FK129" s="65"/>
      <c r="FL129" s="65"/>
      <c r="FM129" s="65"/>
      <c r="FN129" s="65"/>
      <c r="FO129" s="67">
        <f t="shared" si="73"/>
        <v>0</v>
      </c>
      <c r="FP129" s="57"/>
      <c r="FQ129" s="73"/>
      <c r="FR129" s="73"/>
      <c r="FS129" s="71">
        <f t="shared" si="74"/>
        <v>0</v>
      </c>
      <c r="FT129" s="91"/>
      <c r="FU129" s="91"/>
      <c r="FV129" s="67">
        <f>SUM(Tableau1[[#This Row],[Droits d''auteurs SACEM + cotisations SACEM]:[Autres ou non préciés]])</f>
        <v>0</v>
      </c>
      <c r="FW129" s="75">
        <f t="shared" si="75"/>
        <v>0</v>
      </c>
      <c r="FX129" s="74">
        <v>0</v>
      </c>
      <c r="FY129" s="74"/>
      <c r="FZ129" s="74"/>
      <c r="GA129" s="74"/>
      <c r="GB129" s="71">
        <f t="shared" si="76"/>
        <v>0</v>
      </c>
      <c r="GC129" s="92"/>
      <c r="GD129" s="92"/>
      <c r="GE129" s="67">
        <f t="shared" si="77"/>
        <v>0</v>
      </c>
      <c r="GF129" s="66"/>
      <c r="GG129" s="66"/>
      <c r="GH129" s="66"/>
      <c r="GI129" s="66"/>
      <c r="GJ129" s="77"/>
    </row>
    <row r="130" spans="1:192" ht="18.600000000000001" customHeight="1" x14ac:dyDescent="0.25">
      <c r="A130" s="89"/>
      <c r="B130" s="17"/>
      <c r="C130" s="50"/>
      <c r="D130" s="140"/>
      <c r="E130" s="51"/>
      <c r="F130" s="139">
        <f t="shared" si="81"/>
        <v>1</v>
      </c>
      <c r="G130" s="49"/>
      <c r="H130" s="50"/>
      <c r="I130" s="122"/>
      <c r="J130" s="49"/>
      <c r="K130" s="50"/>
      <c r="L130" s="50"/>
      <c r="M130" s="90"/>
      <c r="N130" s="50"/>
      <c r="O130" s="50"/>
      <c r="P130" s="90"/>
      <c r="Q130" s="52">
        <f t="shared" si="47"/>
        <v>0</v>
      </c>
      <c r="R130" s="52">
        <f t="shared" si="48"/>
        <v>0</v>
      </c>
      <c r="S130" s="53">
        <f t="shared" si="49"/>
        <v>0</v>
      </c>
      <c r="T130" s="54">
        <f t="shared" si="50"/>
        <v>0</v>
      </c>
      <c r="U130" s="115">
        <f>SUM(Tableau1[[#This Row],[Vente confiserie]:[Vente boisson]])</f>
        <v>0</v>
      </c>
      <c r="V130" s="55"/>
      <c r="W130" s="55"/>
      <c r="X130" s="135">
        <f>SUM(Tableau1[[#This Row],[Vente lunette]:[Location lunette]])</f>
        <v>0</v>
      </c>
      <c r="Y130" s="55"/>
      <c r="Z130" s="55"/>
      <c r="AA130" s="55"/>
      <c r="AB130" s="55"/>
      <c r="AC130" s="56">
        <f t="shared" si="79"/>
        <v>0</v>
      </c>
      <c r="AD130" s="57"/>
      <c r="AE130" s="57"/>
      <c r="AF130" s="57"/>
      <c r="AG130" s="57"/>
      <c r="AH130" s="57"/>
      <c r="AI130" s="57"/>
      <c r="AJ130" s="118">
        <f>(Tableau1[[#This Row],[Recette guichet ]]*1.1275177)-Tableau1[[#This Row],[Recette guichet ]]</f>
        <v>0</v>
      </c>
      <c r="AK130" s="57"/>
      <c r="AL130" s="56">
        <f t="shared" si="80"/>
        <v>0</v>
      </c>
      <c r="AM130" s="58"/>
      <c r="AN130" s="58"/>
      <c r="AO130" s="58"/>
      <c r="AP130" s="115">
        <f t="shared" si="51"/>
        <v>0</v>
      </c>
      <c r="AQ130" s="69"/>
      <c r="AR130" s="69"/>
      <c r="AS130" s="69"/>
      <c r="AT130" s="69"/>
      <c r="AU130" s="59">
        <f t="shared" si="52"/>
        <v>0</v>
      </c>
      <c r="AV130" s="60">
        <f t="shared" si="53"/>
        <v>0</v>
      </c>
      <c r="AW130" s="58"/>
      <c r="AX130" s="58"/>
      <c r="AY130" s="58"/>
      <c r="AZ130" s="60">
        <f t="shared" si="82"/>
        <v>0</v>
      </c>
      <c r="BA130" s="58"/>
      <c r="BB130" s="58"/>
      <c r="BC130" s="58"/>
      <c r="BD130" s="60">
        <f>SUM(Tableau1[[#This Row],[ticket/carte/abonnement périmé]:[Autres ou non précisé 5]])</f>
        <v>0</v>
      </c>
      <c r="BE130" s="58"/>
      <c r="BF130" s="58"/>
      <c r="BG130" s="58"/>
      <c r="BH130" s="61">
        <f t="shared" si="54"/>
        <v>0</v>
      </c>
      <c r="BI130" s="120"/>
      <c r="BJ130" s="120"/>
      <c r="BK130" s="62">
        <f t="shared" si="55"/>
        <v>0</v>
      </c>
      <c r="BL130" s="120"/>
      <c r="BM130" s="120"/>
      <c r="BN130" s="120"/>
      <c r="BO130" s="120"/>
      <c r="BP130" s="120"/>
      <c r="BQ130" s="63"/>
      <c r="BR130" s="52">
        <f t="shared" si="56"/>
        <v>0</v>
      </c>
      <c r="BS130" s="52">
        <f t="shared" si="57"/>
        <v>0</v>
      </c>
      <c r="BT130" s="61">
        <f t="shared" si="58"/>
        <v>0</v>
      </c>
      <c r="BU130" s="64">
        <f t="shared" si="59"/>
        <v>0</v>
      </c>
      <c r="BV130" s="119">
        <f>SUM(Tableau1[[#This Row],[Achats confiserie]:[Achats boisson]])</f>
        <v>0</v>
      </c>
      <c r="BW130" s="58"/>
      <c r="BX130" s="69"/>
      <c r="BY130" s="58"/>
      <c r="BZ130" s="56">
        <f t="shared" si="60"/>
        <v>0</v>
      </c>
      <c r="CA130" s="66"/>
      <c r="CB130" s="66"/>
      <c r="CC130" s="56">
        <f t="shared" si="61"/>
        <v>0</v>
      </c>
      <c r="CD130" s="55"/>
      <c r="CE130" s="65"/>
      <c r="CF130" s="55"/>
      <c r="CG130" s="55"/>
      <c r="CH130" s="67">
        <f t="shared" si="62"/>
        <v>0</v>
      </c>
      <c r="CI130" s="68">
        <f t="shared" si="78"/>
        <v>0</v>
      </c>
      <c r="CJ130" s="55"/>
      <c r="CK130" s="55"/>
      <c r="CL130" s="55"/>
      <c r="CM130" s="55"/>
      <c r="CN130" s="55"/>
      <c r="CO130" s="68">
        <f t="shared" si="63"/>
        <v>0</v>
      </c>
      <c r="CP130" s="75">
        <f>SUM(Tableau1[[#This Row],[Fourniture eau]:[Energie (non précisé)]])</f>
        <v>0</v>
      </c>
      <c r="CQ130" s="55"/>
      <c r="CR130" s="55"/>
      <c r="CS130" s="55"/>
      <c r="CT130" s="55"/>
      <c r="CU130" s="55"/>
      <c r="CV130" s="55">
        <v>0</v>
      </c>
      <c r="CW130" s="55"/>
      <c r="CX130" s="68">
        <f>SUM(Tableau1[[#This Row],[Sous-traitance]:[Autres ou non précisé 12]])</f>
        <v>0</v>
      </c>
      <c r="CY130" s="65"/>
      <c r="CZ130" s="65"/>
      <c r="DA130" s="65"/>
      <c r="DB130" s="65"/>
      <c r="DC130" s="55"/>
      <c r="DD130" s="68">
        <f t="shared" si="83"/>
        <v>0</v>
      </c>
      <c r="DE130" s="55"/>
      <c r="DF130" s="65"/>
      <c r="DG130" s="65"/>
      <c r="DH130" s="65"/>
      <c r="DI130" s="68">
        <f>SUM(Tableau1[[#This Row],[Entretien et réparation matériel de projection]:[Autres ou non précisé 14]])</f>
        <v>0</v>
      </c>
      <c r="DJ130" s="58"/>
      <c r="DK130" s="58"/>
      <c r="DL130" s="69"/>
      <c r="DM130" s="68">
        <f t="shared" si="64"/>
        <v>0</v>
      </c>
      <c r="DN130" s="58"/>
      <c r="DO130" s="58"/>
      <c r="DP130" s="68">
        <f t="shared" si="65"/>
        <v>0</v>
      </c>
      <c r="DQ130" s="65"/>
      <c r="DR130" s="65"/>
      <c r="DS130" s="68">
        <f t="shared" si="66"/>
        <v>0</v>
      </c>
      <c r="DT130" s="65"/>
      <c r="DU130" s="65"/>
      <c r="DV130" s="65"/>
      <c r="DW130" s="68">
        <f>SUM(Tableau1[[#This Row],[Comission et courtage sur achats]:[Autres ou honoraires
 non précisé ]])</f>
        <v>0</v>
      </c>
      <c r="DX130" s="57"/>
      <c r="DY130" s="57"/>
      <c r="DZ130" s="65"/>
      <c r="EA130" s="65"/>
      <c r="EB130" s="65"/>
      <c r="EC130" s="68">
        <f t="shared" si="67"/>
        <v>0</v>
      </c>
      <c r="ED130" s="69"/>
      <c r="EE130" s="69"/>
      <c r="EF130" s="69"/>
      <c r="EG130" s="69"/>
      <c r="EH130" s="69"/>
      <c r="EI130" s="84">
        <f>SUM(Tableau1[[#This Row],[Transports sur films]:[autres ]])</f>
        <v>0</v>
      </c>
      <c r="EJ130" s="132">
        <v>0</v>
      </c>
      <c r="EK130" s="132"/>
      <c r="EL130" s="68">
        <f t="shared" si="68"/>
        <v>0</v>
      </c>
      <c r="EM130" s="65"/>
      <c r="EN130" s="65">
        <v>0</v>
      </c>
      <c r="EO130" s="65"/>
      <c r="EP130" s="65"/>
      <c r="EQ130" s="65"/>
      <c r="ER130" s="65"/>
      <c r="ES130" s="65"/>
      <c r="ET130" s="68">
        <f t="shared" si="69"/>
        <v>0</v>
      </c>
      <c r="EU130" s="65"/>
      <c r="EV130" s="65"/>
      <c r="EW130" s="65"/>
      <c r="EX130" s="65"/>
      <c r="EY130" s="65"/>
      <c r="EZ130" s="68">
        <f t="shared" si="85"/>
        <v>0</v>
      </c>
      <c r="FA130" s="65"/>
      <c r="FB130" s="65"/>
      <c r="FC130" s="70">
        <f t="shared" si="84"/>
        <v>0</v>
      </c>
      <c r="FD130" s="65"/>
      <c r="FE130" s="71">
        <f t="shared" si="70"/>
        <v>0</v>
      </c>
      <c r="FF130" s="72">
        <f t="shared" si="71"/>
        <v>0</v>
      </c>
      <c r="FG130" s="65"/>
      <c r="FH130" s="65"/>
      <c r="FI130" s="65"/>
      <c r="FJ130" s="56">
        <f t="shared" si="72"/>
        <v>0</v>
      </c>
      <c r="FK130" s="65"/>
      <c r="FL130" s="65"/>
      <c r="FM130" s="65"/>
      <c r="FN130" s="65"/>
      <c r="FO130" s="67">
        <f t="shared" si="73"/>
        <v>0</v>
      </c>
      <c r="FP130" s="57"/>
      <c r="FQ130" s="73"/>
      <c r="FR130" s="73"/>
      <c r="FS130" s="71">
        <f t="shared" si="74"/>
        <v>0</v>
      </c>
      <c r="FT130" s="91"/>
      <c r="FU130" s="91"/>
      <c r="FV130" s="67">
        <f>SUM(Tableau1[[#This Row],[Droits d''auteurs SACEM + cotisations SACEM]:[Autres ou non préciés]])</f>
        <v>0</v>
      </c>
      <c r="FW130" s="75">
        <f t="shared" si="75"/>
        <v>0</v>
      </c>
      <c r="FX130" s="74">
        <v>0</v>
      </c>
      <c r="FY130" s="74"/>
      <c r="FZ130" s="74"/>
      <c r="GA130" s="74"/>
      <c r="GB130" s="71">
        <f t="shared" si="76"/>
        <v>0</v>
      </c>
      <c r="GC130" s="92"/>
      <c r="GD130" s="92"/>
      <c r="GE130" s="67">
        <f t="shared" si="77"/>
        <v>0</v>
      </c>
      <c r="GF130" s="66"/>
      <c r="GG130" s="66"/>
      <c r="GH130" s="66"/>
      <c r="GI130" s="66"/>
      <c r="GJ130" s="77"/>
    </row>
    <row r="131" spans="1:192" ht="18.600000000000001" customHeight="1" x14ac:dyDescent="0.25">
      <c r="A131" s="89"/>
      <c r="B131" s="17"/>
      <c r="C131" s="50"/>
      <c r="D131" s="140"/>
      <c r="E131" s="51"/>
      <c r="F131" s="139">
        <f t="shared" si="81"/>
        <v>1</v>
      </c>
      <c r="G131" s="49"/>
      <c r="H131" s="50"/>
      <c r="I131" s="122"/>
      <c r="J131" s="49"/>
      <c r="K131" s="50"/>
      <c r="L131" s="50"/>
      <c r="M131" s="90"/>
      <c r="N131" s="50"/>
      <c r="O131" s="50"/>
      <c r="P131" s="90"/>
      <c r="Q131" s="52">
        <f t="shared" si="47"/>
        <v>0</v>
      </c>
      <c r="R131" s="52">
        <f t="shared" si="48"/>
        <v>0</v>
      </c>
      <c r="S131" s="53">
        <f t="shared" si="49"/>
        <v>0</v>
      </c>
      <c r="T131" s="54">
        <f t="shared" si="50"/>
        <v>0</v>
      </c>
      <c r="U131" s="115">
        <f>SUM(Tableau1[[#This Row],[Vente confiserie]:[Vente boisson]])</f>
        <v>0</v>
      </c>
      <c r="V131" s="55"/>
      <c r="W131" s="55"/>
      <c r="X131" s="135">
        <f>SUM(Tableau1[[#This Row],[Vente lunette]:[Location lunette]])</f>
        <v>0</v>
      </c>
      <c r="Y131" s="55"/>
      <c r="Z131" s="55"/>
      <c r="AA131" s="55"/>
      <c r="AB131" s="55"/>
      <c r="AC131" s="56">
        <f t="shared" si="79"/>
        <v>0</v>
      </c>
      <c r="AD131" s="57"/>
      <c r="AE131" s="57"/>
      <c r="AF131" s="57"/>
      <c r="AG131" s="57"/>
      <c r="AH131" s="57"/>
      <c r="AI131" s="57"/>
      <c r="AJ131" s="118">
        <f>(Tableau1[[#This Row],[Recette guichet ]]*1.1275177)-Tableau1[[#This Row],[Recette guichet ]]</f>
        <v>0</v>
      </c>
      <c r="AK131" s="57"/>
      <c r="AL131" s="56">
        <f t="shared" si="80"/>
        <v>0</v>
      </c>
      <c r="AM131" s="58"/>
      <c r="AN131" s="58"/>
      <c r="AO131" s="58"/>
      <c r="AP131" s="115">
        <f t="shared" si="51"/>
        <v>0</v>
      </c>
      <c r="AQ131" s="69"/>
      <c r="AR131" s="69"/>
      <c r="AS131" s="69"/>
      <c r="AT131" s="69"/>
      <c r="AU131" s="59">
        <f t="shared" si="52"/>
        <v>0</v>
      </c>
      <c r="AV131" s="60">
        <f t="shared" si="53"/>
        <v>0</v>
      </c>
      <c r="AW131" s="58"/>
      <c r="AX131" s="58"/>
      <c r="AY131" s="58"/>
      <c r="AZ131" s="60">
        <f t="shared" si="82"/>
        <v>0</v>
      </c>
      <c r="BA131" s="58"/>
      <c r="BB131" s="58"/>
      <c r="BC131" s="58"/>
      <c r="BD131" s="60">
        <f>SUM(Tableau1[[#This Row],[ticket/carte/abonnement périmé]:[Autres ou non précisé 5]])</f>
        <v>0</v>
      </c>
      <c r="BE131" s="58"/>
      <c r="BF131" s="58"/>
      <c r="BG131" s="58"/>
      <c r="BH131" s="61">
        <f t="shared" si="54"/>
        <v>0</v>
      </c>
      <c r="BI131" s="120"/>
      <c r="BJ131" s="120"/>
      <c r="BK131" s="62">
        <f t="shared" si="55"/>
        <v>0</v>
      </c>
      <c r="BL131" s="120"/>
      <c r="BM131" s="120"/>
      <c r="BN131" s="120"/>
      <c r="BO131" s="120"/>
      <c r="BP131" s="120"/>
      <c r="BQ131" s="63"/>
      <c r="BR131" s="52">
        <f t="shared" si="56"/>
        <v>0</v>
      </c>
      <c r="BS131" s="52">
        <f t="shared" si="57"/>
        <v>0</v>
      </c>
      <c r="BT131" s="61">
        <f t="shared" si="58"/>
        <v>0</v>
      </c>
      <c r="BU131" s="64">
        <f t="shared" si="59"/>
        <v>0</v>
      </c>
      <c r="BV131" s="119">
        <f>SUM(Tableau1[[#This Row],[Achats confiserie]:[Achats boisson]])</f>
        <v>0</v>
      </c>
      <c r="BW131" s="58"/>
      <c r="BX131" s="69"/>
      <c r="BY131" s="58"/>
      <c r="BZ131" s="56">
        <f t="shared" si="60"/>
        <v>0</v>
      </c>
      <c r="CA131" s="66"/>
      <c r="CB131" s="66"/>
      <c r="CC131" s="56">
        <f t="shared" si="61"/>
        <v>0</v>
      </c>
      <c r="CD131" s="55"/>
      <c r="CE131" s="65"/>
      <c r="CF131" s="55"/>
      <c r="CG131" s="55"/>
      <c r="CH131" s="67">
        <f t="shared" si="62"/>
        <v>0</v>
      </c>
      <c r="CI131" s="68">
        <f t="shared" si="78"/>
        <v>0</v>
      </c>
      <c r="CJ131" s="55"/>
      <c r="CK131" s="55"/>
      <c r="CL131" s="55"/>
      <c r="CM131" s="55"/>
      <c r="CN131" s="55"/>
      <c r="CO131" s="68">
        <f t="shared" si="63"/>
        <v>0</v>
      </c>
      <c r="CP131" s="75">
        <f>SUM(Tableau1[[#This Row],[Fourniture eau]:[Energie (non précisé)]])</f>
        <v>0</v>
      </c>
      <c r="CQ131" s="55"/>
      <c r="CR131" s="55"/>
      <c r="CS131" s="55"/>
      <c r="CT131" s="55"/>
      <c r="CU131" s="55"/>
      <c r="CV131" s="55">
        <v>0</v>
      </c>
      <c r="CW131" s="55"/>
      <c r="CX131" s="68">
        <f>SUM(Tableau1[[#This Row],[Sous-traitance]:[Autres ou non précisé 12]])</f>
        <v>0</v>
      </c>
      <c r="CY131" s="65"/>
      <c r="CZ131" s="65"/>
      <c r="DA131" s="65"/>
      <c r="DB131" s="65"/>
      <c r="DC131" s="55"/>
      <c r="DD131" s="68">
        <f t="shared" si="83"/>
        <v>0</v>
      </c>
      <c r="DE131" s="55"/>
      <c r="DF131" s="65"/>
      <c r="DG131" s="65"/>
      <c r="DH131" s="65"/>
      <c r="DI131" s="68">
        <f>SUM(Tableau1[[#This Row],[Entretien et réparation matériel de projection]:[Autres ou non précisé 14]])</f>
        <v>0</v>
      </c>
      <c r="DJ131" s="58"/>
      <c r="DK131" s="58"/>
      <c r="DL131" s="69"/>
      <c r="DM131" s="68">
        <f t="shared" si="64"/>
        <v>0</v>
      </c>
      <c r="DN131" s="58"/>
      <c r="DO131" s="58"/>
      <c r="DP131" s="68">
        <f t="shared" si="65"/>
        <v>0</v>
      </c>
      <c r="DQ131" s="65"/>
      <c r="DR131" s="65"/>
      <c r="DS131" s="68">
        <f t="shared" si="66"/>
        <v>0</v>
      </c>
      <c r="DT131" s="65"/>
      <c r="DU131" s="65"/>
      <c r="DV131" s="65"/>
      <c r="DW131" s="68">
        <f>SUM(Tableau1[[#This Row],[Comission et courtage sur achats]:[Autres ou honoraires
 non précisé ]])</f>
        <v>0</v>
      </c>
      <c r="DX131" s="57"/>
      <c r="DY131" s="57"/>
      <c r="DZ131" s="65"/>
      <c r="EA131" s="65"/>
      <c r="EB131" s="65"/>
      <c r="EC131" s="68">
        <f t="shared" si="67"/>
        <v>0</v>
      </c>
      <c r="ED131" s="69"/>
      <c r="EE131" s="69"/>
      <c r="EF131" s="69"/>
      <c r="EG131" s="69"/>
      <c r="EH131" s="69"/>
      <c r="EI131" s="84">
        <f>SUM(Tableau1[[#This Row],[Transports sur films]:[autres ]])</f>
        <v>0</v>
      </c>
      <c r="EJ131" s="132">
        <v>0</v>
      </c>
      <c r="EK131" s="132"/>
      <c r="EL131" s="68">
        <f t="shared" si="68"/>
        <v>0</v>
      </c>
      <c r="EM131" s="65"/>
      <c r="EN131" s="65">
        <v>0</v>
      </c>
      <c r="EO131" s="65"/>
      <c r="EP131" s="65"/>
      <c r="EQ131" s="65"/>
      <c r="ER131" s="65"/>
      <c r="ES131" s="65"/>
      <c r="ET131" s="68">
        <f t="shared" si="69"/>
        <v>0</v>
      </c>
      <c r="EU131" s="65"/>
      <c r="EV131" s="65"/>
      <c r="EW131" s="65"/>
      <c r="EX131" s="65"/>
      <c r="EY131" s="65"/>
      <c r="EZ131" s="68">
        <f t="shared" si="85"/>
        <v>0</v>
      </c>
      <c r="FA131" s="65"/>
      <c r="FB131" s="65"/>
      <c r="FC131" s="70">
        <f t="shared" si="84"/>
        <v>0</v>
      </c>
      <c r="FD131" s="65"/>
      <c r="FE131" s="71">
        <f t="shared" si="70"/>
        <v>0</v>
      </c>
      <c r="FF131" s="72">
        <f t="shared" si="71"/>
        <v>0</v>
      </c>
      <c r="FG131" s="65"/>
      <c r="FH131" s="65"/>
      <c r="FI131" s="65"/>
      <c r="FJ131" s="56">
        <f t="shared" si="72"/>
        <v>0</v>
      </c>
      <c r="FK131" s="65"/>
      <c r="FL131" s="65"/>
      <c r="FM131" s="65"/>
      <c r="FN131" s="65"/>
      <c r="FO131" s="67">
        <f t="shared" si="73"/>
        <v>0</v>
      </c>
      <c r="FP131" s="57"/>
      <c r="FQ131" s="73"/>
      <c r="FR131" s="73"/>
      <c r="FS131" s="71">
        <f t="shared" si="74"/>
        <v>0</v>
      </c>
      <c r="FT131" s="91"/>
      <c r="FU131" s="91"/>
      <c r="FV131" s="67">
        <f>SUM(Tableau1[[#This Row],[Droits d''auteurs SACEM + cotisations SACEM]:[Autres ou non préciés]])</f>
        <v>0</v>
      </c>
      <c r="FW131" s="75">
        <f t="shared" si="75"/>
        <v>0</v>
      </c>
      <c r="FX131" s="74">
        <v>0</v>
      </c>
      <c r="FY131" s="74"/>
      <c r="FZ131" s="74"/>
      <c r="GA131" s="74"/>
      <c r="GB131" s="71">
        <f t="shared" si="76"/>
        <v>0</v>
      </c>
      <c r="GC131" s="92"/>
      <c r="GD131" s="92"/>
      <c r="GE131" s="67">
        <f t="shared" si="77"/>
        <v>0</v>
      </c>
      <c r="GF131" s="66"/>
      <c r="GG131" s="66"/>
      <c r="GH131" s="66"/>
      <c r="GI131" s="66"/>
      <c r="GJ131" s="77"/>
    </row>
    <row r="132" spans="1:192" ht="18.600000000000001" customHeight="1" x14ac:dyDescent="0.25">
      <c r="A132" s="89"/>
      <c r="B132" s="17"/>
      <c r="C132" s="50"/>
      <c r="D132" s="140"/>
      <c r="E132" s="51"/>
      <c r="F132" s="139">
        <f t="shared" si="81"/>
        <v>1</v>
      </c>
      <c r="G132" s="49"/>
      <c r="H132" s="50"/>
      <c r="I132" s="122"/>
      <c r="J132" s="49"/>
      <c r="K132" s="50"/>
      <c r="L132" s="50"/>
      <c r="M132" s="90"/>
      <c r="N132" s="50"/>
      <c r="O132" s="50"/>
      <c r="P132" s="90"/>
      <c r="Q132" s="52">
        <f t="shared" si="47"/>
        <v>0</v>
      </c>
      <c r="R132" s="52">
        <f t="shared" si="48"/>
        <v>0</v>
      </c>
      <c r="S132" s="53">
        <f t="shared" si="49"/>
        <v>0</v>
      </c>
      <c r="T132" s="54">
        <f t="shared" si="50"/>
        <v>0</v>
      </c>
      <c r="U132" s="115">
        <f>SUM(Tableau1[[#This Row],[Vente confiserie]:[Vente boisson]])</f>
        <v>0</v>
      </c>
      <c r="V132" s="55"/>
      <c r="W132" s="55"/>
      <c r="X132" s="135">
        <f>SUM(Tableau1[[#This Row],[Vente lunette]:[Location lunette]])</f>
        <v>0</v>
      </c>
      <c r="Y132" s="55"/>
      <c r="Z132" s="55"/>
      <c r="AA132" s="55"/>
      <c r="AB132" s="55"/>
      <c r="AC132" s="56">
        <f t="shared" si="79"/>
        <v>0</v>
      </c>
      <c r="AD132" s="57"/>
      <c r="AE132" s="57"/>
      <c r="AF132" s="57"/>
      <c r="AG132" s="57"/>
      <c r="AH132" s="57"/>
      <c r="AI132" s="57"/>
      <c r="AJ132" s="118">
        <f>(Tableau1[[#This Row],[Recette guichet ]]*1.1275177)-Tableau1[[#This Row],[Recette guichet ]]</f>
        <v>0</v>
      </c>
      <c r="AK132" s="57"/>
      <c r="AL132" s="56">
        <f t="shared" si="80"/>
        <v>0</v>
      </c>
      <c r="AM132" s="58"/>
      <c r="AN132" s="58"/>
      <c r="AO132" s="58"/>
      <c r="AP132" s="115">
        <f t="shared" si="51"/>
        <v>0</v>
      </c>
      <c r="AQ132" s="69"/>
      <c r="AR132" s="69"/>
      <c r="AS132" s="69"/>
      <c r="AT132" s="69"/>
      <c r="AU132" s="59">
        <f t="shared" si="52"/>
        <v>0</v>
      </c>
      <c r="AV132" s="60">
        <f t="shared" si="53"/>
        <v>0</v>
      </c>
      <c r="AW132" s="58"/>
      <c r="AX132" s="58"/>
      <c r="AY132" s="58"/>
      <c r="AZ132" s="60">
        <f t="shared" si="82"/>
        <v>0</v>
      </c>
      <c r="BA132" s="58"/>
      <c r="BB132" s="58"/>
      <c r="BC132" s="58"/>
      <c r="BD132" s="60">
        <f>SUM(Tableau1[[#This Row],[ticket/carte/abonnement périmé]:[Autres ou non précisé 5]])</f>
        <v>0</v>
      </c>
      <c r="BE132" s="58"/>
      <c r="BF132" s="58"/>
      <c r="BG132" s="58"/>
      <c r="BH132" s="61">
        <f t="shared" si="54"/>
        <v>0</v>
      </c>
      <c r="BI132" s="120"/>
      <c r="BJ132" s="120"/>
      <c r="BK132" s="62">
        <f t="shared" si="55"/>
        <v>0</v>
      </c>
      <c r="BL132" s="120"/>
      <c r="BM132" s="120"/>
      <c r="BN132" s="120"/>
      <c r="BO132" s="120"/>
      <c r="BP132" s="120"/>
      <c r="BQ132" s="63"/>
      <c r="BR132" s="52">
        <f t="shared" si="56"/>
        <v>0</v>
      </c>
      <c r="BS132" s="52">
        <f t="shared" si="57"/>
        <v>0</v>
      </c>
      <c r="BT132" s="61">
        <f t="shared" si="58"/>
        <v>0</v>
      </c>
      <c r="BU132" s="64">
        <f t="shared" si="59"/>
        <v>0</v>
      </c>
      <c r="BV132" s="119">
        <f>SUM(Tableau1[[#This Row],[Achats confiserie]:[Achats boisson]])</f>
        <v>0</v>
      </c>
      <c r="BW132" s="58"/>
      <c r="BX132" s="69"/>
      <c r="BY132" s="58"/>
      <c r="BZ132" s="56">
        <f t="shared" si="60"/>
        <v>0</v>
      </c>
      <c r="CA132" s="66"/>
      <c r="CB132" s="66"/>
      <c r="CC132" s="56">
        <f t="shared" si="61"/>
        <v>0</v>
      </c>
      <c r="CD132" s="55"/>
      <c r="CE132" s="65"/>
      <c r="CF132" s="55"/>
      <c r="CG132" s="55"/>
      <c r="CH132" s="67">
        <f t="shared" si="62"/>
        <v>0</v>
      </c>
      <c r="CI132" s="68">
        <f t="shared" si="78"/>
        <v>0</v>
      </c>
      <c r="CJ132" s="55"/>
      <c r="CK132" s="55"/>
      <c r="CL132" s="55"/>
      <c r="CM132" s="55"/>
      <c r="CN132" s="55"/>
      <c r="CO132" s="68">
        <f t="shared" si="63"/>
        <v>0</v>
      </c>
      <c r="CP132" s="75">
        <f>SUM(Tableau1[[#This Row],[Fourniture eau]:[Energie (non précisé)]])</f>
        <v>0</v>
      </c>
      <c r="CQ132" s="55"/>
      <c r="CR132" s="55"/>
      <c r="CS132" s="55"/>
      <c r="CT132" s="55"/>
      <c r="CU132" s="55"/>
      <c r="CV132" s="55">
        <v>0</v>
      </c>
      <c r="CW132" s="55"/>
      <c r="CX132" s="68">
        <f>SUM(Tableau1[[#This Row],[Sous-traitance]:[Autres ou non précisé 12]])</f>
        <v>0</v>
      </c>
      <c r="CY132" s="65"/>
      <c r="CZ132" s="65"/>
      <c r="DA132" s="65"/>
      <c r="DB132" s="65"/>
      <c r="DC132" s="55"/>
      <c r="DD132" s="68">
        <f t="shared" si="83"/>
        <v>0</v>
      </c>
      <c r="DE132" s="55"/>
      <c r="DF132" s="65"/>
      <c r="DG132" s="65"/>
      <c r="DH132" s="65"/>
      <c r="DI132" s="68">
        <f>SUM(Tableau1[[#This Row],[Entretien et réparation matériel de projection]:[Autres ou non précisé 14]])</f>
        <v>0</v>
      </c>
      <c r="DJ132" s="58"/>
      <c r="DK132" s="58"/>
      <c r="DL132" s="69"/>
      <c r="DM132" s="68">
        <f t="shared" si="64"/>
        <v>0</v>
      </c>
      <c r="DN132" s="58"/>
      <c r="DO132" s="58"/>
      <c r="DP132" s="68">
        <f t="shared" si="65"/>
        <v>0</v>
      </c>
      <c r="DQ132" s="65"/>
      <c r="DR132" s="65"/>
      <c r="DS132" s="68">
        <f t="shared" si="66"/>
        <v>0</v>
      </c>
      <c r="DT132" s="65"/>
      <c r="DU132" s="65"/>
      <c r="DV132" s="65"/>
      <c r="DW132" s="68">
        <f>SUM(Tableau1[[#This Row],[Comission et courtage sur achats]:[Autres ou honoraires
 non précisé ]])</f>
        <v>0</v>
      </c>
      <c r="DX132" s="57"/>
      <c r="DY132" s="57"/>
      <c r="DZ132" s="65"/>
      <c r="EA132" s="65"/>
      <c r="EB132" s="65"/>
      <c r="EC132" s="68">
        <f t="shared" si="67"/>
        <v>0</v>
      </c>
      <c r="ED132" s="69"/>
      <c r="EE132" s="69"/>
      <c r="EF132" s="69"/>
      <c r="EG132" s="69"/>
      <c r="EH132" s="69"/>
      <c r="EI132" s="84">
        <f>SUM(Tableau1[[#This Row],[Transports sur films]:[autres ]])</f>
        <v>0</v>
      </c>
      <c r="EJ132" s="132">
        <v>0</v>
      </c>
      <c r="EK132" s="132"/>
      <c r="EL132" s="68">
        <f t="shared" si="68"/>
        <v>0</v>
      </c>
      <c r="EM132" s="65"/>
      <c r="EN132" s="65">
        <v>0</v>
      </c>
      <c r="EO132" s="65"/>
      <c r="EP132" s="65"/>
      <c r="EQ132" s="65"/>
      <c r="ER132" s="65"/>
      <c r="ES132" s="65"/>
      <c r="ET132" s="68">
        <f t="shared" si="69"/>
        <v>0</v>
      </c>
      <c r="EU132" s="65"/>
      <c r="EV132" s="65"/>
      <c r="EW132" s="65"/>
      <c r="EX132" s="65"/>
      <c r="EY132" s="65"/>
      <c r="EZ132" s="68">
        <f t="shared" si="85"/>
        <v>0</v>
      </c>
      <c r="FA132" s="65"/>
      <c r="FB132" s="65"/>
      <c r="FC132" s="70">
        <f t="shared" si="84"/>
        <v>0</v>
      </c>
      <c r="FD132" s="65"/>
      <c r="FE132" s="71">
        <f t="shared" si="70"/>
        <v>0</v>
      </c>
      <c r="FF132" s="72">
        <f t="shared" si="71"/>
        <v>0</v>
      </c>
      <c r="FG132" s="65"/>
      <c r="FH132" s="65"/>
      <c r="FI132" s="65"/>
      <c r="FJ132" s="56">
        <f t="shared" si="72"/>
        <v>0</v>
      </c>
      <c r="FK132" s="65"/>
      <c r="FL132" s="65"/>
      <c r="FM132" s="65"/>
      <c r="FN132" s="65"/>
      <c r="FO132" s="67">
        <f t="shared" si="73"/>
        <v>0</v>
      </c>
      <c r="FP132" s="57"/>
      <c r="FQ132" s="73"/>
      <c r="FR132" s="73"/>
      <c r="FS132" s="71">
        <f t="shared" si="74"/>
        <v>0</v>
      </c>
      <c r="FT132" s="91"/>
      <c r="FU132" s="91"/>
      <c r="FV132" s="67">
        <f>SUM(Tableau1[[#This Row],[Droits d''auteurs SACEM + cotisations SACEM]:[Autres ou non préciés]])</f>
        <v>0</v>
      </c>
      <c r="FW132" s="75">
        <f t="shared" si="75"/>
        <v>0</v>
      </c>
      <c r="FX132" s="74">
        <v>0</v>
      </c>
      <c r="FY132" s="74"/>
      <c r="FZ132" s="74"/>
      <c r="GA132" s="74"/>
      <c r="GB132" s="71">
        <f t="shared" si="76"/>
        <v>0</v>
      </c>
      <c r="GC132" s="92"/>
      <c r="GD132" s="92"/>
      <c r="GE132" s="67">
        <f t="shared" si="77"/>
        <v>0</v>
      </c>
      <c r="GF132" s="66"/>
      <c r="GG132" s="66"/>
      <c r="GH132" s="66"/>
      <c r="GI132" s="66"/>
      <c r="GJ132" s="77"/>
    </row>
    <row r="133" spans="1:192" ht="18.600000000000001" customHeight="1" x14ac:dyDescent="0.25">
      <c r="A133" s="89"/>
      <c r="B133" s="17"/>
      <c r="C133" s="50"/>
      <c r="D133" s="140"/>
      <c r="E133" s="51"/>
      <c r="F133" s="139">
        <f t="shared" si="81"/>
        <v>1</v>
      </c>
      <c r="G133" s="49"/>
      <c r="H133" s="50"/>
      <c r="I133" s="122"/>
      <c r="J133" s="49"/>
      <c r="K133" s="50"/>
      <c r="L133" s="50"/>
      <c r="M133" s="90"/>
      <c r="N133" s="50"/>
      <c r="O133" s="50"/>
      <c r="P133" s="90"/>
      <c r="Q133" s="52">
        <f t="shared" si="47"/>
        <v>0</v>
      </c>
      <c r="R133" s="52">
        <f t="shared" si="48"/>
        <v>0</v>
      </c>
      <c r="S133" s="53">
        <f t="shared" si="49"/>
        <v>0</v>
      </c>
      <c r="T133" s="54">
        <f t="shared" si="50"/>
        <v>0</v>
      </c>
      <c r="U133" s="115">
        <f>SUM(Tableau1[[#This Row],[Vente confiserie]:[Vente boisson]])</f>
        <v>0</v>
      </c>
      <c r="V133" s="55"/>
      <c r="W133" s="55"/>
      <c r="X133" s="135">
        <f>SUM(Tableau1[[#This Row],[Vente lunette]:[Location lunette]])</f>
        <v>0</v>
      </c>
      <c r="Y133" s="55"/>
      <c r="Z133" s="55"/>
      <c r="AA133" s="55"/>
      <c r="AB133" s="55"/>
      <c r="AC133" s="56">
        <f t="shared" si="79"/>
        <v>0</v>
      </c>
      <c r="AD133" s="57"/>
      <c r="AE133" s="57"/>
      <c r="AF133" s="57"/>
      <c r="AG133" s="57"/>
      <c r="AH133" s="57"/>
      <c r="AI133" s="57"/>
      <c r="AJ133" s="118">
        <f>(Tableau1[[#This Row],[Recette guichet ]]*1.1275177)-Tableau1[[#This Row],[Recette guichet ]]</f>
        <v>0</v>
      </c>
      <c r="AK133" s="57"/>
      <c r="AL133" s="56">
        <f t="shared" si="80"/>
        <v>0</v>
      </c>
      <c r="AM133" s="58"/>
      <c r="AN133" s="58"/>
      <c r="AO133" s="58"/>
      <c r="AP133" s="115">
        <f t="shared" si="51"/>
        <v>0</v>
      </c>
      <c r="AQ133" s="69"/>
      <c r="AR133" s="69"/>
      <c r="AS133" s="69"/>
      <c r="AT133" s="69"/>
      <c r="AU133" s="59">
        <f t="shared" si="52"/>
        <v>0</v>
      </c>
      <c r="AV133" s="60">
        <f t="shared" si="53"/>
        <v>0</v>
      </c>
      <c r="AW133" s="58"/>
      <c r="AX133" s="58"/>
      <c r="AY133" s="58"/>
      <c r="AZ133" s="60">
        <f t="shared" si="82"/>
        <v>0</v>
      </c>
      <c r="BA133" s="58"/>
      <c r="BB133" s="58"/>
      <c r="BC133" s="58"/>
      <c r="BD133" s="60">
        <f>SUM(Tableau1[[#This Row],[ticket/carte/abonnement périmé]:[Autres ou non précisé 5]])</f>
        <v>0</v>
      </c>
      <c r="BE133" s="58"/>
      <c r="BF133" s="58"/>
      <c r="BG133" s="58"/>
      <c r="BH133" s="61">
        <f t="shared" si="54"/>
        <v>0</v>
      </c>
      <c r="BI133" s="120"/>
      <c r="BJ133" s="120"/>
      <c r="BK133" s="62">
        <f t="shared" si="55"/>
        <v>0</v>
      </c>
      <c r="BL133" s="120"/>
      <c r="BM133" s="120"/>
      <c r="BN133" s="120"/>
      <c r="BO133" s="120"/>
      <c r="BP133" s="120"/>
      <c r="BQ133" s="63"/>
      <c r="BR133" s="52">
        <f t="shared" si="56"/>
        <v>0</v>
      </c>
      <c r="BS133" s="52">
        <f t="shared" si="57"/>
        <v>0</v>
      </c>
      <c r="BT133" s="61">
        <f t="shared" si="58"/>
        <v>0</v>
      </c>
      <c r="BU133" s="64">
        <f t="shared" si="59"/>
        <v>0</v>
      </c>
      <c r="BV133" s="119">
        <f>SUM(Tableau1[[#This Row],[Achats confiserie]:[Achats boisson]])</f>
        <v>0</v>
      </c>
      <c r="BW133" s="58"/>
      <c r="BX133" s="69"/>
      <c r="BY133" s="58"/>
      <c r="BZ133" s="56">
        <f t="shared" si="60"/>
        <v>0</v>
      </c>
      <c r="CA133" s="66"/>
      <c r="CB133" s="66"/>
      <c r="CC133" s="56">
        <f t="shared" si="61"/>
        <v>0</v>
      </c>
      <c r="CD133" s="55"/>
      <c r="CE133" s="65"/>
      <c r="CF133" s="55"/>
      <c r="CG133" s="55"/>
      <c r="CH133" s="67">
        <f t="shared" si="62"/>
        <v>0</v>
      </c>
      <c r="CI133" s="68">
        <f t="shared" si="78"/>
        <v>0</v>
      </c>
      <c r="CJ133" s="55"/>
      <c r="CK133" s="55"/>
      <c r="CL133" s="55"/>
      <c r="CM133" s="55"/>
      <c r="CN133" s="55"/>
      <c r="CO133" s="68">
        <f t="shared" si="63"/>
        <v>0</v>
      </c>
      <c r="CP133" s="75">
        <f>SUM(Tableau1[[#This Row],[Fourniture eau]:[Energie (non précisé)]])</f>
        <v>0</v>
      </c>
      <c r="CQ133" s="55"/>
      <c r="CR133" s="55"/>
      <c r="CS133" s="55"/>
      <c r="CT133" s="55"/>
      <c r="CU133" s="55"/>
      <c r="CV133" s="55">
        <v>0</v>
      </c>
      <c r="CW133" s="55"/>
      <c r="CX133" s="68">
        <f>SUM(Tableau1[[#This Row],[Sous-traitance]:[Autres ou non précisé 12]])</f>
        <v>0</v>
      </c>
      <c r="CY133" s="65"/>
      <c r="CZ133" s="65"/>
      <c r="DA133" s="65"/>
      <c r="DB133" s="65"/>
      <c r="DC133" s="55"/>
      <c r="DD133" s="68">
        <f t="shared" si="83"/>
        <v>0</v>
      </c>
      <c r="DE133" s="55"/>
      <c r="DF133" s="65"/>
      <c r="DG133" s="65"/>
      <c r="DH133" s="65"/>
      <c r="DI133" s="68">
        <f>SUM(Tableau1[[#This Row],[Entretien et réparation matériel de projection]:[Autres ou non précisé 14]])</f>
        <v>0</v>
      </c>
      <c r="DJ133" s="58"/>
      <c r="DK133" s="58"/>
      <c r="DL133" s="69"/>
      <c r="DM133" s="68">
        <f t="shared" si="64"/>
        <v>0</v>
      </c>
      <c r="DN133" s="58"/>
      <c r="DO133" s="58"/>
      <c r="DP133" s="68">
        <f t="shared" si="65"/>
        <v>0</v>
      </c>
      <c r="DQ133" s="65"/>
      <c r="DR133" s="65"/>
      <c r="DS133" s="68">
        <f t="shared" si="66"/>
        <v>0</v>
      </c>
      <c r="DT133" s="65"/>
      <c r="DU133" s="65"/>
      <c r="DV133" s="65"/>
      <c r="DW133" s="68">
        <f>SUM(Tableau1[[#This Row],[Comission et courtage sur achats]:[Autres ou honoraires
 non précisé ]])</f>
        <v>0</v>
      </c>
      <c r="DX133" s="57"/>
      <c r="DY133" s="57"/>
      <c r="DZ133" s="65"/>
      <c r="EA133" s="65"/>
      <c r="EB133" s="65"/>
      <c r="EC133" s="68">
        <f t="shared" si="67"/>
        <v>0</v>
      </c>
      <c r="ED133" s="69"/>
      <c r="EE133" s="69"/>
      <c r="EF133" s="69"/>
      <c r="EG133" s="69"/>
      <c r="EH133" s="69"/>
      <c r="EI133" s="84">
        <f>SUM(Tableau1[[#This Row],[Transports sur films]:[autres ]])</f>
        <v>0</v>
      </c>
      <c r="EJ133" s="132">
        <v>0</v>
      </c>
      <c r="EK133" s="132"/>
      <c r="EL133" s="68">
        <f t="shared" si="68"/>
        <v>0</v>
      </c>
      <c r="EM133" s="65"/>
      <c r="EN133" s="65">
        <v>0</v>
      </c>
      <c r="EO133" s="65"/>
      <c r="EP133" s="65"/>
      <c r="EQ133" s="65"/>
      <c r="ER133" s="65"/>
      <c r="ES133" s="65"/>
      <c r="ET133" s="68">
        <f t="shared" si="69"/>
        <v>0</v>
      </c>
      <c r="EU133" s="65"/>
      <c r="EV133" s="65"/>
      <c r="EW133" s="65"/>
      <c r="EX133" s="65"/>
      <c r="EY133" s="65"/>
      <c r="EZ133" s="68">
        <f t="shared" si="85"/>
        <v>0</v>
      </c>
      <c r="FA133" s="65"/>
      <c r="FB133" s="65"/>
      <c r="FC133" s="70">
        <f t="shared" si="84"/>
        <v>0</v>
      </c>
      <c r="FD133" s="65"/>
      <c r="FE133" s="71">
        <f t="shared" si="70"/>
        <v>0</v>
      </c>
      <c r="FF133" s="72">
        <f t="shared" si="71"/>
        <v>0</v>
      </c>
      <c r="FG133" s="65"/>
      <c r="FH133" s="65"/>
      <c r="FI133" s="65"/>
      <c r="FJ133" s="56">
        <f t="shared" si="72"/>
        <v>0</v>
      </c>
      <c r="FK133" s="65"/>
      <c r="FL133" s="65"/>
      <c r="FM133" s="65"/>
      <c r="FN133" s="65"/>
      <c r="FO133" s="67">
        <f t="shared" si="73"/>
        <v>0</v>
      </c>
      <c r="FP133" s="57"/>
      <c r="FQ133" s="73"/>
      <c r="FR133" s="73"/>
      <c r="FS133" s="71">
        <f t="shared" si="74"/>
        <v>0</v>
      </c>
      <c r="FT133" s="91"/>
      <c r="FU133" s="91"/>
      <c r="FV133" s="67">
        <f>SUM(Tableau1[[#This Row],[Droits d''auteurs SACEM + cotisations SACEM]:[Autres ou non préciés]])</f>
        <v>0</v>
      </c>
      <c r="FW133" s="75">
        <f t="shared" si="75"/>
        <v>0</v>
      </c>
      <c r="FX133" s="74">
        <v>0</v>
      </c>
      <c r="FY133" s="74"/>
      <c r="FZ133" s="74"/>
      <c r="GA133" s="74"/>
      <c r="GB133" s="71">
        <f t="shared" si="76"/>
        <v>0</v>
      </c>
      <c r="GC133" s="92"/>
      <c r="GD133" s="92"/>
      <c r="GE133" s="67">
        <f t="shared" si="77"/>
        <v>0</v>
      </c>
      <c r="GF133" s="66"/>
      <c r="GG133" s="66"/>
      <c r="GH133" s="66"/>
      <c r="GI133" s="66"/>
      <c r="GJ133" s="77"/>
    </row>
    <row r="134" spans="1:192" ht="18.600000000000001" customHeight="1" x14ac:dyDescent="0.25">
      <c r="A134" s="89"/>
      <c r="B134" s="17"/>
      <c r="C134" s="50"/>
      <c r="D134" s="140"/>
      <c r="E134" s="51"/>
      <c r="F134" s="139">
        <f t="shared" si="81"/>
        <v>1</v>
      </c>
      <c r="G134" s="49"/>
      <c r="H134" s="50"/>
      <c r="I134" s="122"/>
      <c r="J134" s="49"/>
      <c r="K134" s="50"/>
      <c r="L134" s="50"/>
      <c r="M134" s="90"/>
      <c r="N134" s="50"/>
      <c r="O134" s="50"/>
      <c r="P134" s="90"/>
      <c r="Q134" s="52">
        <f t="shared" ref="Q134:Q197" si="86">R134+BH134+BK134</f>
        <v>0</v>
      </c>
      <c r="R134" s="52">
        <f t="shared" ref="R134:R197" si="87">S134+AU134</f>
        <v>0</v>
      </c>
      <c r="S134" s="53">
        <f t="shared" ref="S134:S197" si="88">SUM(T134,AC134,AL134)</f>
        <v>0</v>
      </c>
      <c r="T134" s="54">
        <f t="shared" ref="T134:T197" si="89">SUM(V134:W134,Y134:AB134)</f>
        <v>0</v>
      </c>
      <c r="U134" s="115">
        <f>SUM(Tableau1[[#This Row],[Vente confiserie]:[Vente boisson]])</f>
        <v>0</v>
      </c>
      <c r="V134" s="55"/>
      <c r="W134" s="55"/>
      <c r="X134" s="135">
        <f>SUM(Tableau1[[#This Row],[Vente lunette]:[Location lunette]])</f>
        <v>0</v>
      </c>
      <c r="Y134" s="55"/>
      <c r="Z134" s="55"/>
      <c r="AA134" s="55"/>
      <c r="AB134" s="55"/>
      <c r="AC134" s="56">
        <f t="shared" si="79"/>
        <v>0</v>
      </c>
      <c r="AD134" s="57"/>
      <c r="AE134" s="57"/>
      <c r="AF134" s="57"/>
      <c r="AG134" s="57"/>
      <c r="AH134" s="57"/>
      <c r="AI134" s="57"/>
      <c r="AJ134" s="118">
        <f>(Tableau1[[#This Row],[Recette guichet ]]*1.1275177)-Tableau1[[#This Row],[Recette guichet ]]</f>
        <v>0</v>
      </c>
      <c r="AK134" s="57"/>
      <c r="AL134" s="56">
        <f t="shared" si="80"/>
        <v>0</v>
      </c>
      <c r="AM134" s="58"/>
      <c r="AN134" s="58"/>
      <c r="AO134" s="58"/>
      <c r="AP134" s="115">
        <f t="shared" ref="AP134:AP197" si="90">SUM(AQ134:AS134)</f>
        <v>0</v>
      </c>
      <c r="AQ134" s="69"/>
      <c r="AR134" s="69"/>
      <c r="AS134" s="69"/>
      <c r="AT134" s="69"/>
      <c r="AU134" s="59">
        <f t="shared" ref="AU134:AU197" si="91">SUM(AV134,AZ134,BD134)</f>
        <v>0</v>
      </c>
      <c r="AV134" s="60">
        <f t="shared" ref="AV134:AV197" si="92">SUM(AW134:AY134)</f>
        <v>0</v>
      </c>
      <c r="AW134" s="58"/>
      <c r="AX134" s="58"/>
      <c r="AY134" s="58"/>
      <c r="AZ134" s="60">
        <f t="shared" si="82"/>
        <v>0</v>
      </c>
      <c r="BA134" s="58"/>
      <c r="BB134" s="58"/>
      <c r="BC134" s="58"/>
      <c r="BD134" s="60">
        <f>SUM(Tableau1[[#This Row],[ticket/carte/abonnement périmé]:[Autres ou non précisé 5]])</f>
        <v>0</v>
      </c>
      <c r="BE134" s="58"/>
      <c r="BF134" s="58"/>
      <c r="BG134" s="58"/>
      <c r="BH134" s="61">
        <f t="shared" ref="BH134:BH197" si="93">SUM(BI134:BJ134)</f>
        <v>0</v>
      </c>
      <c r="BI134" s="120"/>
      <c r="BJ134" s="120"/>
      <c r="BK134" s="62">
        <f t="shared" ref="BK134:BK197" si="94">SUM(BL134:BQ134)</f>
        <v>0</v>
      </c>
      <c r="BL134" s="120"/>
      <c r="BM134" s="120"/>
      <c r="BN134" s="120"/>
      <c r="BO134" s="120"/>
      <c r="BP134" s="120"/>
      <c r="BQ134" s="63"/>
      <c r="BR134" s="52">
        <f t="shared" ref="BR134:BR197" si="95">BS134+GB134+GE134+GJ134</f>
        <v>0</v>
      </c>
      <c r="BS134" s="52">
        <f t="shared" ref="BS134:BS197" si="96">BT134+CH134+FE134+FO134+FS134+FV134</f>
        <v>0</v>
      </c>
      <c r="BT134" s="61">
        <f t="shared" ref="BT134:BT197" si="97">SUM(BU134,CC134,BZ134)</f>
        <v>0</v>
      </c>
      <c r="BU134" s="64">
        <f t="shared" ref="BU134:BU197" si="98">SUM(BW134:BY134)</f>
        <v>0</v>
      </c>
      <c r="BV134" s="119">
        <f>SUM(Tableau1[[#This Row],[Achats confiserie]:[Achats boisson]])</f>
        <v>0</v>
      </c>
      <c r="BW134" s="58"/>
      <c r="BX134" s="69"/>
      <c r="BY134" s="58"/>
      <c r="BZ134" s="56">
        <f t="shared" ref="BZ134:BZ197" si="99">SUM(CA134:CB134)</f>
        <v>0</v>
      </c>
      <c r="CA134" s="66"/>
      <c r="CB134" s="66"/>
      <c r="CC134" s="56">
        <f t="shared" ref="CC134:CC197" si="100">SUM(CD134:CG134)</f>
        <v>0</v>
      </c>
      <c r="CD134" s="55"/>
      <c r="CE134" s="65"/>
      <c r="CF134" s="55"/>
      <c r="CG134" s="55"/>
      <c r="CH134" s="67">
        <f t="shared" ref="CH134:CH197" si="101">SUM(CI134,CO134,CX134,DD134,DI134,DM134,DP134,DS134,DW134,EC134,EL134,ET134,EZ134,FC134,EI134)</f>
        <v>0</v>
      </c>
      <c r="CI134" s="68">
        <f t="shared" si="78"/>
        <v>0</v>
      </c>
      <c r="CJ134" s="55"/>
      <c r="CK134" s="55"/>
      <c r="CL134" s="55"/>
      <c r="CM134" s="55"/>
      <c r="CN134" s="55"/>
      <c r="CO134" s="68">
        <f t="shared" ref="CO134:CO197" si="102">SUM(CQ134:CW134)</f>
        <v>0</v>
      </c>
      <c r="CP134" s="75">
        <f>SUM(Tableau1[[#This Row],[Fourniture eau]:[Energie (non précisé)]])</f>
        <v>0</v>
      </c>
      <c r="CQ134" s="55"/>
      <c r="CR134" s="55"/>
      <c r="CS134" s="55"/>
      <c r="CT134" s="55"/>
      <c r="CU134" s="55"/>
      <c r="CV134" s="55">
        <v>0</v>
      </c>
      <c r="CW134" s="55"/>
      <c r="CX134" s="68">
        <f>SUM(Tableau1[[#This Row],[Sous-traitance]:[Autres ou non précisé 12]])</f>
        <v>0</v>
      </c>
      <c r="CY134" s="65"/>
      <c r="CZ134" s="65"/>
      <c r="DA134" s="65"/>
      <c r="DB134" s="65"/>
      <c r="DC134" s="55"/>
      <c r="DD134" s="68">
        <f t="shared" si="83"/>
        <v>0</v>
      </c>
      <c r="DE134" s="55"/>
      <c r="DF134" s="65"/>
      <c r="DG134" s="65"/>
      <c r="DH134" s="65"/>
      <c r="DI134" s="68">
        <f>SUM(Tableau1[[#This Row],[Entretien et réparation matériel de projection]:[Autres ou non précisé 14]])</f>
        <v>0</v>
      </c>
      <c r="DJ134" s="58"/>
      <c r="DK134" s="58"/>
      <c r="DL134" s="69"/>
      <c r="DM134" s="68">
        <f t="shared" ref="DM134:DM197" si="103">SUM(DN134:DO134)</f>
        <v>0</v>
      </c>
      <c r="DN134" s="58"/>
      <c r="DO134" s="58"/>
      <c r="DP134" s="68">
        <f t="shared" ref="DP134:DP197" si="104">SUM(DQ134:DR134)</f>
        <v>0</v>
      </c>
      <c r="DQ134" s="65"/>
      <c r="DR134" s="65"/>
      <c r="DS134" s="68">
        <f t="shared" ref="DS134:DS197" si="105">SUM(DT134:DV134)</f>
        <v>0</v>
      </c>
      <c r="DT134" s="65"/>
      <c r="DU134" s="65"/>
      <c r="DV134" s="65"/>
      <c r="DW134" s="68">
        <f>SUM(Tableau1[[#This Row],[Comission et courtage sur achats]:[Autres ou honoraires
 non précisé ]])</f>
        <v>0</v>
      </c>
      <c r="DX134" s="57"/>
      <c r="DY134" s="57"/>
      <c r="DZ134" s="65"/>
      <c r="EA134" s="65"/>
      <c r="EB134" s="65"/>
      <c r="EC134" s="68">
        <f t="shared" ref="EC134:EC197" si="106">SUM(ED134:EH134)</f>
        <v>0</v>
      </c>
      <c r="ED134" s="69"/>
      <c r="EE134" s="69"/>
      <c r="EF134" s="69"/>
      <c r="EG134" s="69"/>
      <c r="EH134" s="69"/>
      <c r="EI134" s="84">
        <f>SUM(Tableau1[[#This Row],[Transports sur films]:[autres ]])</f>
        <v>0</v>
      </c>
      <c r="EJ134" s="132">
        <v>0</v>
      </c>
      <c r="EK134" s="132"/>
      <c r="EL134" s="68">
        <f t="shared" ref="EL134:EL197" si="107">SUM(EM134:ES134)</f>
        <v>0</v>
      </c>
      <c r="EM134" s="65"/>
      <c r="EN134" s="65">
        <v>0</v>
      </c>
      <c r="EO134" s="65"/>
      <c r="EP134" s="65"/>
      <c r="EQ134" s="65"/>
      <c r="ER134" s="65"/>
      <c r="ES134" s="65"/>
      <c r="ET134" s="68">
        <f t="shared" ref="ET134:ET197" si="108">SUM(EU134:EY134)</f>
        <v>0</v>
      </c>
      <c r="EU134" s="65"/>
      <c r="EV134" s="65"/>
      <c r="EW134" s="65"/>
      <c r="EX134" s="65"/>
      <c r="EY134" s="65"/>
      <c r="EZ134" s="68">
        <f t="shared" si="85"/>
        <v>0</v>
      </c>
      <c r="FA134" s="65"/>
      <c r="FB134" s="65"/>
      <c r="FC134" s="70">
        <f t="shared" si="84"/>
        <v>0</v>
      </c>
      <c r="FD134" s="65"/>
      <c r="FE134" s="71">
        <f t="shared" ref="FE134:FE197" si="109">SUM(FF134,FJ134)</f>
        <v>0</v>
      </c>
      <c r="FF134" s="72">
        <f t="shared" ref="FF134:FF197" si="110">SUM(FG134:FI134)</f>
        <v>0</v>
      </c>
      <c r="FG134" s="65"/>
      <c r="FH134" s="65"/>
      <c r="FI134" s="65"/>
      <c r="FJ134" s="56">
        <f t="shared" ref="FJ134:FJ197" si="111">SUM(FK134:FN134)</f>
        <v>0</v>
      </c>
      <c r="FK134" s="65"/>
      <c r="FL134" s="65"/>
      <c r="FM134" s="65"/>
      <c r="FN134" s="65"/>
      <c r="FO134" s="67">
        <f t="shared" ref="FO134:FO197" si="112">SUM(FP134:FR134)</f>
        <v>0</v>
      </c>
      <c r="FP134" s="57"/>
      <c r="FQ134" s="73"/>
      <c r="FR134" s="73"/>
      <c r="FS134" s="71">
        <f t="shared" ref="FS134:FS197" si="113">SUM(FT134:FU134)</f>
        <v>0</v>
      </c>
      <c r="FT134" s="91"/>
      <c r="FU134" s="91"/>
      <c r="FV134" s="67">
        <f>SUM(Tableau1[[#This Row],[Droits d''auteurs SACEM + cotisations SACEM]:[Autres ou non préciés]])</f>
        <v>0</v>
      </c>
      <c r="FW134" s="75">
        <f t="shared" ref="FW134:FW197" si="114">SUM(FX134:FZ134)</f>
        <v>0</v>
      </c>
      <c r="FX134" s="74">
        <v>0</v>
      </c>
      <c r="FY134" s="74"/>
      <c r="FZ134" s="74"/>
      <c r="GA134" s="74"/>
      <c r="GB134" s="71">
        <f t="shared" ref="GB134:GB197" si="115">SUM(GC134:GD134)</f>
        <v>0</v>
      </c>
      <c r="GC134" s="92"/>
      <c r="GD134" s="92"/>
      <c r="GE134" s="67">
        <f t="shared" ref="GE134:GE197" si="116">SUM(GF134:GI134)</f>
        <v>0</v>
      </c>
      <c r="GF134" s="66"/>
      <c r="GG134" s="66"/>
      <c r="GH134" s="66"/>
      <c r="GI134" s="66"/>
      <c r="GJ134" s="77"/>
    </row>
    <row r="135" spans="1:192" ht="18.600000000000001" customHeight="1" x14ac:dyDescent="0.25">
      <c r="A135" s="89"/>
      <c r="B135" s="17"/>
      <c r="C135" s="50"/>
      <c r="D135" s="140"/>
      <c r="E135" s="51"/>
      <c r="F135" s="139">
        <f t="shared" si="81"/>
        <v>1</v>
      </c>
      <c r="G135" s="49"/>
      <c r="H135" s="50"/>
      <c r="I135" s="122"/>
      <c r="J135" s="49"/>
      <c r="K135" s="50"/>
      <c r="L135" s="50"/>
      <c r="M135" s="90"/>
      <c r="N135" s="50"/>
      <c r="O135" s="50"/>
      <c r="P135" s="90"/>
      <c r="Q135" s="52">
        <f t="shared" si="86"/>
        <v>0</v>
      </c>
      <c r="R135" s="52">
        <f t="shared" si="87"/>
        <v>0</v>
      </c>
      <c r="S135" s="53">
        <f t="shared" si="88"/>
        <v>0</v>
      </c>
      <c r="T135" s="54">
        <f t="shared" si="89"/>
        <v>0</v>
      </c>
      <c r="U135" s="115">
        <f>SUM(Tableau1[[#This Row],[Vente confiserie]:[Vente boisson]])</f>
        <v>0</v>
      </c>
      <c r="V135" s="55"/>
      <c r="W135" s="55"/>
      <c r="X135" s="135">
        <f>SUM(Tableau1[[#This Row],[Vente lunette]:[Location lunette]])</f>
        <v>0</v>
      </c>
      <c r="Y135" s="55"/>
      <c r="Z135" s="55"/>
      <c r="AA135" s="55"/>
      <c r="AB135" s="55"/>
      <c r="AC135" s="56">
        <f t="shared" si="79"/>
        <v>0</v>
      </c>
      <c r="AD135" s="57"/>
      <c r="AE135" s="57"/>
      <c r="AF135" s="57"/>
      <c r="AG135" s="57"/>
      <c r="AH135" s="57"/>
      <c r="AI135" s="57"/>
      <c r="AJ135" s="118">
        <f>(Tableau1[[#This Row],[Recette guichet ]]*1.1275177)-Tableau1[[#This Row],[Recette guichet ]]</f>
        <v>0</v>
      </c>
      <c r="AK135" s="57"/>
      <c r="AL135" s="56">
        <f t="shared" si="80"/>
        <v>0</v>
      </c>
      <c r="AM135" s="58"/>
      <c r="AN135" s="58"/>
      <c r="AO135" s="58"/>
      <c r="AP135" s="115">
        <f t="shared" si="90"/>
        <v>0</v>
      </c>
      <c r="AQ135" s="69"/>
      <c r="AR135" s="69"/>
      <c r="AS135" s="69"/>
      <c r="AT135" s="69"/>
      <c r="AU135" s="59">
        <f t="shared" si="91"/>
        <v>0</v>
      </c>
      <c r="AV135" s="60">
        <f t="shared" si="92"/>
        <v>0</v>
      </c>
      <c r="AW135" s="58"/>
      <c r="AX135" s="58"/>
      <c r="AY135" s="58"/>
      <c r="AZ135" s="60">
        <f t="shared" si="82"/>
        <v>0</v>
      </c>
      <c r="BA135" s="58"/>
      <c r="BB135" s="58"/>
      <c r="BC135" s="58"/>
      <c r="BD135" s="60">
        <f>SUM(Tableau1[[#This Row],[ticket/carte/abonnement périmé]:[Autres ou non précisé 5]])</f>
        <v>0</v>
      </c>
      <c r="BE135" s="58"/>
      <c r="BF135" s="58"/>
      <c r="BG135" s="58"/>
      <c r="BH135" s="61">
        <f t="shared" si="93"/>
        <v>0</v>
      </c>
      <c r="BI135" s="120"/>
      <c r="BJ135" s="120"/>
      <c r="BK135" s="62">
        <f t="shared" si="94"/>
        <v>0</v>
      </c>
      <c r="BL135" s="120"/>
      <c r="BM135" s="120"/>
      <c r="BN135" s="120"/>
      <c r="BO135" s="120"/>
      <c r="BP135" s="120"/>
      <c r="BQ135" s="63"/>
      <c r="BR135" s="52">
        <f t="shared" si="95"/>
        <v>0</v>
      </c>
      <c r="BS135" s="52">
        <f t="shared" si="96"/>
        <v>0</v>
      </c>
      <c r="BT135" s="61">
        <f t="shared" si="97"/>
        <v>0</v>
      </c>
      <c r="BU135" s="64">
        <f t="shared" si="98"/>
        <v>0</v>
      </c>
      <c r="BV135" s="119">
        <f>SUM(Tableau1[[#This Row],[Achats confiserie]:[Achats boisson]])</f>
        <v>0</v>
      </c>
      <c r="BW135" s="58"/>
      <c r="BX135" s="69"/>
      <c r="BY135" s="58"/>
      <c r="BZ135" s="56">
        <f t="shared" si="99"/>
        <v>0</v>
      </c>
      <c r="CA135" s="66"/>
      <c r="CB135" s="66"/>
      <c r="CC135" s="56">
        <f t="shared" si="100"/>
        <v>0</v>
      </c>
      <c r="CD135" s="55"/>
      <c r="CE135" s="65"/>
      <c r="CF135" s="55"/>
      <c r="CG135" s="55"/>
      <c r="CH135" s="67">
        <f t="shared" si="101"/>
        <v>0</v>
      </c>
      <c r="CI135" s="68">
        <f t="shared" si="78"/>
        <v>0</v>
      </c>
      <c r="CJ135" s="55"/>
      <c r="CK135" s="55"/>
      <c r="CL135" s="55"/>
      <c r="CM135" s="55"/>
      <c r="CN135" s="55"/>
      <c r="CO135" s="68">
        <f t="shared" si="102"/>
        <v>0</v>
      </c>
      <c r="CP135" s="75">
        <f>SUM(Tableau1[[#This Row],[Fourniture eau]:[Energie (non précisé)]])</f>
        <v>0</v>
      </c>
      <c r="CQ135" s="55"/>
      <c r="CR135" s="55"/>
      <c r="CS135" s="55"/>
      <c r="CT135" s="55"/>
      <c r="CU135" s="55"/>
      <c r="CV135" s="55">
        <v>0</v>
      </c>
      <c r="CW135" s="55"/>
      <c r="CX135" s="68">
        <f>SUM(Tableau1[[#This Row],[Sous-traitance]:[Autres ou non précisé 12]])</f>
        <v>0</v>
      </c>
      <c r="CY135" s="65"/>
      <c r="CZ135" s="65"/>
      <c r="DA135" s="65"/>
      <c r="DB135" s="65"/>
      <c r="DC135" s="55"/>
      <c r="DD135" s="68">
        <f t="shared" si="83"/>
        <v>0</v>
      </c>
      <c r="DE135" s="55"/>
      <c r="DF135" s="65"/>
      <c r="DG135" s="65"/>
      <c r="DH135" s="65"/>
      <c r="DI135" s="68">
        <f>SUM(Tableau1[[#This Row],[Entretien et réparation matériel de projection]:[Autres ou non précisé 14]])</f>
        <v>0</v>
      </c>
      <c r="DJ135" s="58"/>
      <c r="DK135" s="58"/>
      <c r="DL135" s="69"/>
      <c r="DM135" s="68">
        <f t="shared" si="103"/>
        <v>0</v>
      </c>
      <c r="DN135" s="58"/>
      <c r="DO135" s="58"/>
      <c r="DP135" s="68">
        <f t="shared" si="104"/>
        <v>0</v>
      </c>
      <c r="DQ135" s="65"/>
      <c r="DR135" s="65"/>
      <c r="DS135" s="68">
        <f t="shared" si="105"/>
        <v>0</v>
      </c>
      <c r="DT135" s="65"/>
      <c r="DU135" s="65"/>
      <c r="DV135" s="65"/>
      <c r="DW135" s="68">
        <f>SUM(Tableau1[[#This Row],[Comission et courtage sur achats]:[Autres ou honoraires
 non précisé ]])</f>
        <v>0</v>
      </c>
      <c r="DX135" s="57"/>
      <c r="DY135" s="57"/>
      <c r="DZ135" s="65"/>
      <c r="EA135" s="65"/>
      <c r="EB135" s="65"/>
      <c r="EC135" s="68">
        <f t="shared" si="106"/>
        <v>0</v>
      </c>
      <c r="ED135" s="69"/>
      <c r="EE135" s="69"/>
      <c r="EF135" s="69"/>
      <c r="EG135" s="69"/>
      <c r="EH135" s="69"/>
      <c r="EI135" s="84">
        <f>SUM(Tableau1[[#This Row],[Transports sur films]:[autres ]])</f>
        <v>0</v>
      </c>
      <c r="EJ135" s="132">
        <v>0</v>
      </c>
      <c r="EK135" s="132"/>
      <c r="EL135" s="68">
        <f t="shared" si="107"/>
        <v>0</v>
      </c>
      <c r="EM135" s="65"/>
      <c r="EN135" s="65">
        <v>0</v>
      </c>
      <c r="EO135" s="65"/>
      <c r="EP135" s="65"/>
      <c r="EQ135" s="65"/>
      <c r="ER135" s="65"/>
      <c r="ES135" s="65"/>
      <c r="ET135" s="68">
        <f t="shared" si="108"/>
        <v>0</v>
      </c>
      <c r="EU135" s="65"/>
      <c r="EV135" s="65"/>
      <c r="EW135" s="65"/>
      <c r="EX135" s="65"/>
      <c r="EY135" s="65"/>
      <c r="EZ135" s="68">
        <f t="shared" si="85"/>
        <v>0</v>
      </c>
      <c r="FA135" s="65"/>
      <c r="FB135" s="65"/>
      <c r="FC135" s="70">
        <f t="shared" si="84"/>
        <v>0</v>
      </c>
      <c r="FD135" s="65"/>
      <c r="FE135" s="71">
        <f t="shared" si="109"/>
        <v>0</v>
      </c>
      <c r="FF135" s="72">
        <f t="shared" si="110"/>
        <v>0</v>
      </c>
      <c r="FG135" s="65"/>
      <c r="FH135" s="65"/>
      <c r="FI135" s="65"/>
      <c r="FJ135" s="56">
        <f t="shared" si="111"/>
        <v>0</v>
      </c>
      <c r="FK135" s="65"/>
      <c r="FL135" s="65"/>
      <c r="FM135" s="65"/>
      <c r="FN135" s="65"/>
      <c r="FO135" s="67">
        <f t="shared" si="112"/>
        <v>0</v>
      </c>
      <c r="FP135" s="57"/>
      <c r="FQ135" s="73"/>
      <c r="FR135" s="73"/>
      <c r="FS135" s="71">
        <f t="shared" si="113"/>
        <v>0</v>
      </c>
      <c r="FT135" s="91"/>
      <c r="FU135" s="91"/>
      <c r="FV135" s="67">
        <f>SUM(Tableau1[[#This Row],[Droits d''auteurs SACEM + cotisations SACEM]:[Autres ou non préciés]])</f>
        <v>0</v>
      </c>
      <c r="FW135" s="75">
        <f t="shared" si="114"/>
        <v>0</v>
      </c>
      <c r="FX135" s="74">
        <v>0</v>
      </c>
      <c r="FY135" s="74"/>
      <c r="FZ135" s="74"/>
      <c r="GA135" s="74"/>
      <c r="GB135" s="71">
        <f t="shared" si="115"/>
        <v>0</v>
      </c>
      <c r="GC135" s="92"/>
      <c r="GD135" s="92"/>
      <c r="GE135" s="67">
        <f t="shared" si="116"/>
        <v>0</v>
      </c>
      <c r="GF135" s="66"/>
      <c r="GG135" s="66"/>
      <c r="GH135" s="66"/>
      <c r="GI135" s="66"/>
      <c r="GJ135" s="77"/>
    </row>
    <row r="136" spans="1:192" ht="18.600000000000001" customHeight="1" x14ac:dyDescent="0.25">
      <c r="A136" s="89"/>
      <c r="B136" s="17"/>
      <c r="C136" s="50"/>
      <c r="D136" s="140"/>
      <c r="E136" s="51"/>
      <c r="F136" s="139">
        <f t="shared" si="81"/>
        <v>1</v>
      </c>
      <c r="G136" s="49"/>
      <c r="H136" s="50"/>
      <c r="I136" s="122"/>
      <c r="J136" s="49"/>
      <c r="K136" s="50"/>
      <c r="L136" s="50"/>
      <c r="M136" s="90"/>
      <c r="N136" s="50"/>
      <c r="O136" s="50"/>
      <c r="P136" s="90"/>
      <c r="Q136" s="52">
        <f t="shared" si="86"/>
        <v>0</v>
      </c>
      <c r="R136" s="52">
        <f t="shared" si="87"/>
        <v>0</v>
      </c>
      <c r="S136" s="53">
        <f t="shared" si="88"/>
        <v>0</v>
      </c>
      <c r="T136" s="54">
        <f t="shared" si="89"/>
        <v>0</v>
      </c>
      <c r="U136" s="115">
        <f>SUM(Tableau1[[#This Row],[Vente confiserie]:[Vente boisson]])</f>
        <v>0</v>
      </c>
      <c r="V136" s="55"/>
      <c r="W136" s="55"/>
      <c r="X136" s="135">
        <f>SUM(Tableau1[[#This Row],[Vente lunette]:[Location lunette]])</f>
        <v>0</v>
      </c>
      <c r="Y136" s="55"/>
      <c r="Z136" s="55"/>
      <c r="AA136" s="55"/>
      <c r="AB136" s="55"/>
      <c r="AC136" s="56">
        <f t="shared" si="79"/>
        <v>0</v>
      </c>
      <c r="AD136" s="57"/>
      <c r="AE136" s="57"/>
      <c r="AF136" s="57"/>
      <c r="AG136" s="57"/>
      <c r="AH136" s="57"/>
      <c r="AI136" s="57"/>
      <c r="AJ136" s="118">
        <f>(Tableau1[[#This Row],[Recette guichet ]]*1.1275177)-Tableau1[[#This Row],[Recette guichet ]]</f>
        <v>0</v>
      </c>
      <c r="AK136" s="57"/>
      <c r="AL136" s="56">
        <f t="shared" si="80"/>
        <v>0</v>
      </c>
      <c r="AM136" s="58"/>
      <c r="AN136" s="58"/>
      <c r="AO136" s="58"/>
      <c r="AP136" s="115">
        <f t="shared" si="90"/>
        <v>0</v>
      </c>
      <c r="AQ136" s="69"/>
      <c r="AR136" s="69"/>
      <c r="AS136" s="69"/>
      <c r="AT136" s="69"/>
      <c r="AU136" s="59">
        <f t="shared" si="91"/>
        <v>0</v>
      </c>
      <c r="AV136" s="60">
        <f t="shared" si="92"/>
        <v>0</v>
      </c>
      <c r="AW136" s="58"/>
      <c r="AX136" s="58"/>
      <c r="AY136" s="58"/>
      <c r="AZ136" s="60">
        <f t="shared" si="82"/>
        <v>0</v>
      </c>
      <c r="BA136" s="58"/>
      <c r="BB136" s="58"/>
      <c r="BC136" s="58"/>
      <c r="BD136" s="60">
        <f>SUM(Tableau1[[#This Row],[ticket/carte/abonnement périmé]:[Autres ou non précisé 5]])</f>
        <v>0</v>
      </c>
      <c r="BE136" s="58"/>
      <c r="BF136" s="58"/>
      <c r="BG136" s="58"/>
      <c r="BH136" s="61">
        <f t="shared" si="93"/>
        <v>0</v>
      </c>
      <c r="BI136" s="120"/>
      <c r="BJ136" s="120"/>
      <c r="BK136" s="62">
        <f t="shared" si="94"/>
        <v>0</v>
      </c>
      <c r="BL136" s="120"/>
      <c r="BM136" s="120"/>
      <c r="BN136" s="120"/>
      <c r="BO136" s="120"/>
      <c r="BP136" s="120"/>
      <c r="BQ136" s="63"/>
      <c r="BR136" s="52">
        <f t="shared" si="95"/>
        <v>0</v>
      </c>
      <c r="BS136" s="52">
        <f t="shared" si="96"/>
        <v>0</v>
      </c>
      <c r="BT136" s="61">
        <f t="shared" si="97"/>
        <v>0</v>
      </c>
      <c r="BU136" s="64">
        <f t="shared" si="98"/>
        <v>0</v>
      </c>
      <c r="BV136" s="119">
        <f>SUM(Tableau1[[#This Row],[Achats confiserie]:[Achats boisson]])</f>
        <v>0</v>
      </c>
      <c r="BW136" s="58"/>
      <c r="BX136" s="69"/>
      <c r="BY136" s="58"/>
      <c r="BZ136" s="56">
        <f t="shared" si="99"/>
        <v>0</v>
      </c>
      <c r="CA136" s="66"/>
      <c r="CB136" s="66"/>
      <c r="CC136" s="56">
        <f t="shared" si="100"/>
        <v>0</v>
      </c>
      <c r="CD136" s="55"/>
      <c r="CE136" s="65"/>
      <c r="CF136" s="55"/>
      <c r="CG136" s="55"/>
      <c r="CH136" s="67">
        <f t="shared" si="101"/>
        <v>0</v>
      </c>
      <c r="CI136" s="68">
        <f t="shared" si="78"/>
        <v>0</v>
      </c>
      <c r="CJ136" s="55"/>
      <c r="CK136" s="55"/>
      <c r="CL136" s="55"/>
      <c r="CM136" s="55"/>
      <c r="CN136" s="55"/>
      <c r="CO136" s="68">
        <f t="shared" si="102"/>
        <v>0</v>
      </c>
      <c r="CP136" s="75">
        <f>SUM(Tableau1[[#This Row],[Fourniture eau]:[Energie (non précisé)]])</f>
        <v>0</v>
      </c>
      <c r="CQ136" s="55"/>
      <c r="CR136" s="55"/>
      <c r="CS136" s="55"/>
      <c r="CT136" s="55"/>
      <c r="CU136" s="55"/>
      <c r="CV136" s="55">
        <v>0</v>
      </c>
      <c r="CW136" s="55"/>
      <c r="CX136" s="68">
        <f>SUM(Tableau1[[#This Row],[Sous-traitance]:[Autres ou non précisé 12]])</f>
        <v>0</v>
      </c>
      <c r="CY136" s="65"/>
      <c r="CZ136" s="65"/>
      <c r="DA136" s="65"/>
      <c r="DB136" s="65"/>
      <c r="DC136" s="55"/>
      <c r="DD136" s="68">
        <f t="shared" si="83"/>
        <v>0</v>
      </c>
      <c r="DE136" s="55"/>
      <c r="DF136" s="65"/>
      <c r="DG136" s="65"/>
      <c r="DH136" s="65"/>
      <c r="DI136" s="68">
        <f>SUM(Tableau1[[#This Row],[Entretien et réparation matériel de projection]:[Autres ou non précisé 14]])</f>
        <v>0</v>
      </c>
      <c r="DJ136" s="58"/>
      <c r="DK136" s="58"/>
      <c r="DL136" s="69"/>
      <c r="DM136" s="68">
        <f t="shared" si="103"/>
        <v>0</v>
      </c>
      <c r="DN136" s="58"/>
      <c r="DO136" s="58"/>
      <c r="DP136" s="68">
        <f t="shared" si="104"/>
        <v>0</v>
      </c>
      <c r="DQ136" s="65"/>
      <c r="DR136" s="65"/>
      <c r="DS136" s="68">
        <f t="shared" si="105"/>
        <v>0</v>
      </c>
      <c r="DT136" s="65"/>
      <c r="DU136" s="65"/>
      <c r="DV136" s="65"/>
      <c r="DW136" s="68">
        <f>SUM(Tableau1[[#This Row],[Comission et courtage sur achats]:[Autres ou honoraires
 non précisé ]])</f>
        <v>0</v>
      </c>
      <c r="DX136" s="57"/>
      <c r="DY136" s="57"/>
      <c r="DZ136" s="65"/>
      <c r="EA136" s="65"/>
      <c r="EB136" s="65"/>
      <c r="EC136" s="68">
        <f t="shared" si="106"/>
        <v>0</v>
      </c>
      <c r="ED136" s="69"/>
      <c r="EE136" s="69"/>
      <c r="EF136" s="69"/>
      <c r="EG136" s="69"/>
      <c r="EH136" s="69"/>
      <c r="EI136" s="84">
        <f>SUM(Tableau1[[#This Row],[Transports sur films]:[autres ]])</f>
        <v>0</v>
      </c>
      <c r="EJ136" s="132">
        <v>0</v>
      </c>
      <c r="EK136" s="132"/>
      <c r="EL136" s="68">
        <f t="shared" si="107"/>
        <v>0</v>
      </c>
      <c r="EM136" s="65"/>
      <c r="EN136" s="65">
        <v>0</v>
      </c>
      <c r="EO136" s="65"/>
      <c r="EP136" s="65"/>
      <c r="EQ136" s="65"/>
      <c r="ER136" s="65"/>
      <c r="ES136" s="65"/>
      <c r="ET136" s="68">
        <f t="shared" si="108"/>
        <v>0</v>
      </c>
      <c r="EU136" s="65"/>
      <c r="EV136" s="65"/>
      <c r="EW136" s="65"/>
      <c r="EX136" s="65"/>
      <c r="EY136" s="65"/>
      <c r="EZ136" s="68">
        <f t="shared" si="85"/>
        <v>0</v>
      </c>
      <c r="FA136" s="65"/>
      <c r="FB136" s="65"/>
      <c r="FC136" s="70">
        <f t="shared" si="84"/>
        <v>0</v>
      </c>
      <c r="FD136" s="65"/>
      <c r="FE136" s="71">
        <f t="shared" si="109"/>
        <v>0</v>
      </c>
      <c r="FF136" s="72">
        <f t="shared" si="110"/>
        <v>0</v>
      </c>
      <c r="FG136" s="65"/>
      <c r="FH136" s="65"/>
      <c r="FI136" s="65"/>
      <c r="FJ136" s="56">
        <f t="shared" si="111"/>
        <v>0</v>
      </c>
      <c r="FK136" s="65"/>
      <c r="FL136" s="65"/>
      <c r="FM136" s="65"/>
      <c r="FN136" s="65"/>
      <c r="FO136" s="67">
        <f t="shared" si="112"/>
        <v>0</v>
      </c>
      <c r="FP136" s="57"/>
      <c r="FQ136" s="73"/>
      <c r="FR136" s="73"/>
      <c r="FS136" s="71">
        <f t="shared" si="113"/>
        <v>0</v>
      </c>
      <c r="FT136" s="91"/>
      <c r="FU136" s="91"/>
      <c r="FV136" s="67">
        <f>SUM(Tableau1[[#This Row],[Droits d''auteurs SACEM + cotisations SACEM]:[Autres ou non préciés]])</f>
        <v>0</v>
      </c>
      <c r="FW136" s="75">
        <f t="shared" si="114"/>
        <v>0</v>
      </c>
      <c r="FX136" s="74">
        <v>0</v>
      </c>
      <c r="FY136" s="74"/>
      <c r="FZ136" s="74"/>
      <c r="GA136" s="74"/>
      <c r="GB136" s="71">
        <f t="shared" si="115"/>
        <v>0</v>
      </c>
      <c r="GC136" s="92"/>
      <c r="GD136" s="92"/>
      <c r="GE136" s="67">
        <f t="shared" si="116"/>
        <v>0</v>
      </c>
      <c r="GF136" s="66"/>
      <c r="GG136" s="66"/>
      <c r="GH136" s="66"/>
      <c r="GI136" s="66"/>
      <c r="GJ136" s="77"/>
    </row>
    <row r="137" spans="1:192" ht="18.600000000000001" customHeight="1" x14ac:dyDescent="0.25">
      <c r="A137" s="89"/>
      <c r="B137" s="17"/>
      <c r="C137" s="50"/>
      <c r="D137" s="140"/>
      <c r="E137" s="51"/>
      <c r="F137" s="139">
        <f t="shared" si="81"/>
        <v>1</v>
      </c>
      <c r="G137" s="49"/>
      <c r="H137" s="50"/>
      <c r="I137" s="122"/>
      <c r="J137" s="49"/>
      <c r="K137" s="50"/>
      <c r="L137" s="50"/>
      <c r="M137" s="90"/>
      <c r="N137" s="50"/>
      <c r="O137" s="50"/>
      <c r="P137" s="90"/>
      <c r="Q137" s="52">
        <f t="shared" si="86"/>
        <v>0</v>
      </c>
      <c r="R137" s="52">
        <f t="shared" si="87"/>
        <v>0</v>
      </c>
      <c r="S137" s="53">
        <f t="shared" si="88"/>
        <v>0</v>
      </c>
      <c r="T137" s="54">
        <f t="shared" si="89"/>
        <v>0</v>
      </c>
      <c r="U137" s="115">
        <f>SUM(Tableau1[[#This Row],[Vente confiserie]:[Vente boisson]])</f>
        <v>0</v>
      </c>
      <c r="V137" s="55"/>
      <c r="W137" s="55"/>
      <c r="X137" s="135">
        <f>SUM(Tableau1[[#This Row],[Vente lunette]:[Location lunette]])</f>
        <v>0</v>
      </c>
      <c r="Y137" s="55"/>
      <c r="Z137" s="55"/>
      <c r="AA137" s="55"/>
      <c r="AB137" s="55"/>
      <c r="AC137" s="56">
        <f t="shared" si="79"/>
        <v>0</v>
      </c>
      <c r="AD137" s="57"/>
      <c r="AE137" s="57"/>
      <c r="AF137" s="57"/>
      <c r="AG137" s="57"/>
      <c r="AH137" s="57"/>
      <c r="AI137" s="57"/>
      <c r="AJ137" s="118">
        <f>(Tableau1[[#This Row],[Recette guichet ]]*1.1275177)-Tableau1[[#This Row],[Recette guichet ]]</f>
        <v>0</v>
      </c>
      <c r="AK137" s="57"/>
      <c r="AL137" s="56">
        <f t="shared" si="80"/>
        <v>0</v>
      </c>
      <c r="AM137" s="58"/>
      <c r="AN137" s="58"/>
      <c r="AO137" s="58"/>
      <c r="AP137" s="115">
        <f t="shared" si="90"/>
        <v>0</v>
      </c>
      <c r="AQ137" s="69"/>
      <c r="AR137" s="69"/>
      <c r="AS137" s="69"/>
      <c r="AT137" s="69"/>
      <c r="AU137" s="59">
        <f t="shared" si="91"/>
        <v>0</v>
      </c>
      <c r="AV137" s="60">
        <f t="shared" si="92"/>
        <v>0</v>
      </c>
      <c r="AW137" s="58"/>
      <c r="AX137" s="58"/>
      <c r="AY137" s="58"/>
      <c r="AZ137" s="60">
        <f t="shared" si="82"/>
        <v>0</v>
      </c>
      <c r="BA137" s="58"/>
      <c r="BB137" s="58"/>
      <c r="BC137" s="58"/>
      <c r="BD137" s="60">
        <f>SUM(Tableau1[[#This Row],[ticket/carte/abonnement périmé]:[Autres ou non précisé 5]])</f>
        <v>0</v>
      </c>
      <c r="BE137" s="58"/>
      <c r="BF137" s="58"/>
      <c r="BG137" s="58"/>
      <c r="BH137" s="61">
        <f t="shared" si="93"/>
        <v>0</v>
      </c>
      <c r="BI137" s="120"/>
      <c r="BJ137" s="120"/>
      <c r="BK137" s="62">
        <f t="shared" si="94"/>
        <v>0</v>
      </c>
      <c r="BL137" s="120"/>
      <c r="BM137" s="120"/>
      <c r="BN137" s="120"/>
      <c r="BO137" s="120"/>
      <c r="BP137" s="120"/>
      <c r="BQ137" s="63"/>
      <c r="BR137" s="52">
        <f t="shared" si="95"/>
        <v>0</v>
      </c>
      <c r="BS137" s="52">
        <f t="shared" si="96"/>
        <v>0</v>
      </c>
      <c r="BT137" s="61">
        <f t="shared" si="97"/>
        <v>0</v>
      </c>
      <c r="BU137" s="64">
        <f t="shared" si="98"/>
        <v>0</v>
      </c>
      <c r="BV137" s="119">
        <f>SUM(Tableau1[[#This Row],[Achats confiserie]:[Achats boisson]])</f>
        <v>0</v>
      </c>
      <c r="BW137" s="58"/>
      <c r="BX137" s="69"/>
      <c r="BY137" s="58"/>
      <c r="BZ137" s="56">
        <f t="shared" si="99"/>
        <v>0</v>
      </c>
      <c r="CA137" s="66"/>
      <c r="CB137" s="66"/>
      <c r="CC137" s="56">
        <f t="shared" si="100"/>
        <v>0</v>
      </c>
      <c r="CD137" s="55"/>
      <c r="CE137" s="65"/>
      <c r="CF137" s="55"/>
      <c r="CG137" s="55"/>
      <c r="CH137" s="67">
        <f t="shared" si="101"/>
        <v>0</v>
      </c>
      <c r="CI137" s="68">
        <f t="shared" si="78"/>
        <v>0</v>
      </c>
      <c r="CJ137" s="55"/>
      <c r="CK137" s="55"/>
      <c r="CL137" s="55"/>
      <c r="CM137" s="55"/>
      <c r="CN137" s="55"/>
      <c r="CO137" s="68">
        <f t="shared" si="102"/>
        <v>0</v>
      </c>
      <c r="CP137" s="75">
        <f>SUM(Tableau1[[#This Row],[Fourniture eau]:[Energie (non précisé)]])</f>
        <v>0</v>
      </c>
      <c r="CQ137" s="55"/>
      <c r="CR137" s="55"/>
      <c r="CS137" s="55"/>
      <c r="CT137" s="55"/>
      <c r="CU137" s="55"/>
      <c r="CV137" s="55">
        <v>0</v>
      </c>
      <c r="CW137" s="55"/>
      <c r="CX137" s="68">
        <f>SUM(Tableau1[[#This Row],[Sous-traitance]:[Autres ou non précisé 12]])</f>
        <v>0</v>
      </c>
      <c r="CY137" s="65"/>
      <c r="CZ137" s="65"/>
      <c r="DA137" s="65"/>
      <c r="DB137" s="65"/>
      <c r="DC137" s="55"/>
      <c r="DD137" s="68">
        <f t="shared" si="83"/>
        <v>0</v>
      </c>
      <c r="DE137" s="55"/>
      <c r="DF137" s="65"/>
      <c r="DG137" s="65"/>
      <c r="DH137" s="65"/>
      <c r="DI137" s="68">
        <f>SUM(Tableau1[[#This Row],[Entretien et réparation matériel de projection]:[Autres ou non précisé 14]])</f>
        <v>0</v>
      </c>
      <c r="DJ137" s="58"/>
      <c r="DK137" s="58"/>
      <c r="DL137" s="69"/>
      <c r="DM137" s="68">
        <f t="shared" si="103"/>
        <v>0</v>
      </c>
      <c r="DN137" s="58"/>
      <c r="DO137" s="58"/>
      <c r="DP137" s="68">
        <f t="shared" si="104"/>
        <v>0</v>
      </c>
      <c r="DQ137" s="65"/>
      <c r="DR137" s="65"/>
      <c r="DS137" s="68">
        <f t="shared" si="105"/>
        <v>0</v>
      </c>
      <c r="DT137" s="65"/>
      <c r="DU137" s="65"/>
      <c r="DV137" s="65"/>
      <c r="DW137" s="68">
        <f>SUM(Tableau1[[#This Row],[Comission et courtage sur achats]:[Autres ou honoraires
 non précisé ]])</f>
        <v>0</v>
      </c>
      <c r="DX137" s="57"/>
      <c r="DY137" s="57"/>
      <c r="DZ137" s="65"/>
      <c r="EA137" s="65"/>
      <c r="EB137" s="65"/>
      <c r="EC137" s="68">
        <f t="shared" si="106"/>
        <v>0</v>
      </c>
      <c r="ED137" s="69"/>
      <c r="EE137" s="69"/>
      <c r="EF137" s="69"/>
      <c r="EG137" s="69"/>
      <c r="EH137" s="69"/>
      <c r="EI137" s="84">
        <f>SUM(Tableau1[[#This Row],[Transports sur films]:[autres ]])</f>
        <v>0</v>
      </c>
      <c r="EJ137" s="132">
        <v>0</v>
      </c>
      <c r="EK137" s="132"/>
      <c r="EL137" s="68">
        <f t="shared" si="107"/>
        <v>0</v>
      </c>
      <c r="EM137" s="65"/>
      <c r="EN137" s="65">
        <v>0</v>
      </c>
      <c r="EO137" s="65"/>
      <c r="EP137" s="65"/>
      <c r="EQ137" s="65"/>
      <c r="ER137" s="65"/>
      <c r="ES137" s="65"/>
      <c r="ET137" s="68">
        <f t="shared" si="108"/>
        <v>0</v>
      </c>
      <c r="EU137" s="65"/>
      <c r="EV137" s="65"/>
      <c r="EW137" s="65"/>
      <c r="EX137" s="65"/>
      <c r="EY137" s="65"/>
      <c r="EZ137" s="68">
        <f t="shared" si="85"/>
        <v>0</v>
      </c>
      <c r="FA137" s="65"/>
      <c r="FB137" s="65"/>
      <c r="FC137" s="70">
        <f t="shared" si="84"/>
        <v>0</v>
      </c>
      <c r="FD137" s="65"/>
      <c r="FE137" s="71">
        <f t="shared" si="109"/>
        <v>0</v>
      </c>
      <c r="FF137" s="72">
        <f t="shared" si="110"/>
        <v>0</v>
      </c>
      <c r="FG137" s="65"/>
      <c r="FH137" s="65"/>
      <c r="FI137" s="65"/>
      <c r="FJ137" s="56">
        <f t="shared" si="111"/>
        <v>0</v>
      </c>
      <c r="FK137" s="65"/>
      <c r="FL137" s="65"/>
      <c r="FM137" s="65"/>
      <c r="FN137" s="65"/>
      <c r="FO137" s="67">
        <f t="shared" si="112"/>
        <v>0</v>
      </c>
      <c r="FP137" s="57"/>
      <c r="FQ137" s="73"/>
      <c r="FR137" s="73"/>
      <c r="FS137" s="71">
        <f t="shared" si="113"/>
        <v>0</v>
      </c>
      <c r="FT137" s="91"/>
      <c r="FU137" s="91"/>
      <c r="FV137" s="67">
        <f>SUM(Tableau1[[#This Row],[Droits d''auteurs SACEM + cotisations SACEM]:[Autres ou non préciés]])</f>
        <v>0</v>
      </c>
      <c r="FW137" s="75">
        <f t="shared" si="114"/>
        <v>0</v>
      </c>
      <c r="FX137" s="74">
        <v>0</v>
      </c>
      <c r="FY137" s="74"/>
      <c r="FZ137" s="74"/>
      <c r="GA137" s="74"/>
      <c r="GB137" s="71">
        <f t="shared" si="115"/>
        <v>0</v>
      </c>
      <c r="GC137" s="92"/>
      <c r="GD137" s="92"/>
      <c r="GE137" s="67">
        <f t="shared" si="116"/>
        <v>0</v>
      </c>
      <c r="GF137" s="66"/>
      <c r="GG137" s="66"/>
      <c r="GH137" s="66"/>
      <c r="GI137" s="66"/>
      <c r="GJ137" s="77"/>
    </row>
    <row r="138" spans="1:192" ht="18.600000000000001" customHeight="1" x14ac:dyDescent="0.25">
      <c r="A138" s="89"/>
      <c r="B138" s="17"/>
      <c r="C138" s="50"/>
      <c r="D138" s="140"/>
      <c r="E138" s="51"/>
      <c r="F138" s="139">
        <f t="shared" si="81"/>
        <v>1</v>
      </c>
      <c r="G138" s="49"/>
      <c r="H138" s="50"/>
      <c r="I138" s="122"/>
      <c r="J138" s="49"/>
      <c r="K138" s="50"/>
      <c r="L138" s="50"/>
      <c r="M138" s="90"/>
      <c r="N138" s="50"/>
      <c r="O138" s="50"/>
      <c r="P138" s="90"/>
      <c r="Q138" s="52">
        <f t="shared" si="86"/>
        <v>0</v>
      </c>
      <c r="R138" s="52">
        <f t="shared" si="87"/>
        <v>0</v>
      </c>
      <c r="S138" s="53">
        <f t="shared" si="88"/>
        <v>0</v>
      </c>
      <c r="T138" s="54">
        <f t="shared" si="89"/>
        <v>0</v>
      </c>
      <c r="U138" s="115">
        <f>SUM(Tableau1[[#This Row],[Vente confiserie]:[Vente boisson]])</f>
        <v>0</v>
      </c>
      <c r="V138" s="55"/>
      <c r="W138" s="55"/>
      <c r="X138" s="135">
        <f>SUM(Tableau1[[#This Row],[Vente lunette]:[Location lunette]])</f>
        <v>0</v>
      </c>
      <c r="Y138" s="55"/>
      <c r="Z138" s="55"/>
      <c r="AA138" s="55"/>
      <c r="AB138" s="55"/>
      <c r="AC138" s="56">
        <f t="shared" si="79"/>
        <v>0</v>
      </c>
      <c r="AD138" s="57"/>
      <c r="AE138" s="57"/>
      <c r="AF138" s="57"/>
      <c r="AG138" s="57"/>
      <c r="AH138" s="57"/>
      <c r="AI138" s="57"/>
      <c r="AJ138" s="118">
        <f>(Tableau1[[#This Row],[Recette guichet ]]*1.1275177)-Tableau1[[#This Row],[Recette guichet ]]</f>
        <v>0</v>
      </c>
      <c r="AK138" s="57"/>
      <c r="AL138" s="56">
        <f t="shared" si="80"/>
        <v>0</v>
      </c>
      <c r="AM138" s="58"/>
      <c r="AN138" s="58"/>
      <c r="AO138" s="58"/>
      <c r="AP138" s="115">
        <f t="shared" si="90"/>
        <v>0</v>
      </c>
      <c r="AQ138" s="69"/>
      <c r="AR138" s="69"/>
      <c r="AS138" s="69"/>
      <c r="AT138" s="69"/>
      <c r="AU138" s="59">
        <f t="shared" si="91"/>
        <v>0</v>
      </c>
      <c r="AV138" s="60">
        <f t="shared" si="92"/>
        <v>0</v>
      </c>
      <c r="AW138" s="58"/>
      <c r="AX138" s="58"/>
      <c r="AY138" s="58"/>
      <c r="AZ138" s="60">
        <f t="shared" si="82"/>
        <v>0</v>
      </c>
      <c r="BA138" s="58"/>
      <c r="BB138" s="58"/>
      <c r="BC138" s="58"/>
      <c r="BD138" s="60">
        <f>SUM(Tableau1[[#This Row],[ticket/carte/abonnement périmé]:[Autres ou non précisé 5]])</f>
        <v>0</v>
      </c>
      <c r="BE138" s="58"/>
      <c r="BF138" s="58"/>
      <c r="BG138" s="58"/>
      <c r="BH138" s="61">
        <f t="shared" si="93"/>
        <v>0</v>
      </c>
      <c r="BI138" s="120"/>
      <c r="BJ138" s="120"/>
      <c r="BK138" s="62">
        <f t="shared" si="94"/>
        <v>0</v>
      </c>
      <c r="BL138" s="120"/>
      <c r="BM138" s="120"/>
      <c r="BN138" s="120"/>
      <c r="BO138" s="120"/>
      <c r="BP138" s="120"/>
      <c r="BQ138" s="63"/>
      <c r="BR138" s="52">
        <f t="shared" si="95"/>
        <v>0</v>
      </c>
      <c r="BS138" s="52">
        <f t="shared" si="96"/>
        <v>0</v>
      </c>
      <c r="BT138" s="61">
        <f t="shared" si="97"/>
        <v>0</v>
      </c>
      <c r="BU138" s="64">
        <f t="shared" si="98"/>
        <v>0</v>
      </c>
      <c r="BV138" s="119">
        <f>SUM(Tableau1[[#This Row],[Achats confiserie]:[Achats boisson]])</f>
        <v>0</v>
      </c>
      <c r="BW138" s="58"/>
      <c r="BX138" s="69"/>
      <c r="BY138" s="58"/>
      <c r="BZ138" s="56">
        <f t="shared" si="99"/>
        <v>0</v>
      </c>
      <c r="CA138" s="66"/>
      <c r="CB138" s="66"/>
      <c r="CC138" s="56">
        <f t="shared" si="100"/>
        <v>0</v>
      </c>
      <c r="CD138" s="55"/>
      <c r="CE138" s="65"/>
      <c r="CF138" s="55"/>
      <c r="CG138" s="55"/>
      <c r="CH138" s="67">
        <f t="shared" si="101"/>
        <v>0</v>
      </c>
      <c r="CI138" s="68">
        <f t="shared" si="78"/>
        <v>0</v>
      </c>
      <c r="CJ138" s="55"/>
      <c r="CK138" s="55"/>
      <c r="CL138" s="55"/>
      <c r="CM138" s="55"/>
      <c r="CN138" s="55"/>
      <c r="CO138" s="68">
        <f t="shared" si="102"/>
        <v>0</v>
      </c>
      <c r="CP138" s="75">
        <f>SUM(Tableau1[[#This Row],[Fourniture eau]:[Energie (non précisé)]])</f>
        <v>0</v>
      </c>
      <c r="CQ138" s="55"/>
      <c r="CR138" s="55"/>
      <c r="CS138" s="55"/>
      <c r="CT138" s="55"/>
      <c r="CU138" s="55"/>
      <c r="CV138" s="55">
        <v>0</v>
      </c>
      <c r="CW138" s="55"/>
      <c r="CX138" s="68">
        <f>SUM(Tableau1[[#This Row],[Sous-traitance]:[Autres ou non précisé 12]])</f>
        <v>0</v>
      </c>
      <c r="CY138" s="65"/>
      <c r="CZ138" s="65"/>
      <c r="DA138" s="65"/>
      <c r="DB138" s="65"/>
      <c r="DC138" s="55"/>
      <c r="DD138" s="68">
        <f t="shared" si="83"/>
        <v>0</v>
      </c>
      <c r="DE138" s="55"/>
      <c r="DF138" s="65"/>
      <c r="DG138" s="65"/>
      <c r="DH138" s="65"/>
      <c r="DI138" s="68">
        <f>SUM(Tableau1[[#This Row],[Entretien et réparation matériel de projection]:[Autres ou non précisé 14]])</f>
        <v>0</v>
      </c>
      <c r="DJ138" s="58"/>
      <c r="DK138" s="58"/>
      <c r="DL138" s="69"/>
      <c r="DM138" s="68">
        <f t="shared" si="103"/>
        <v>0</v>
      </c>
      <c r="DN138" s="58"/>
      <c r="DO138" s="58"/>
      <c r="DP138" s="68">
        <f t="shared" si="104"/>
        <v>0</v>
      </c>
      <c r="DQ138" s="65"/>
      <c r="DR138" s="65"/>
      <c r="DS138" s="68">
        <f t="shared" si="105"/>
        <v>0</v>
      </c>
      <c r="DT138" s="65"/>
      <c r="DU138" s="65"/>
      <c r="DV138" s="65"/>
      <c r="DW138" s="68">
        <f>SUM(Tableau1[[#This Row],[Comission et courtage sur achats]:[Autres ou honoraires
 non précisé ]])</f>
        <v>0</v>
      </c>
      <c r="DX138" s="57"/>
      <c r="DY138" s="57"/>
      <c r="DZ138" s="65"/>
      <c r="EA138" s="65"/>
      <c r="EB138" s="65"/>
      <c r="EC138" s="68">
        <f t="shared" si="106"/>
        <v>0</v>
      </c>
      <c r="ED138" s="69"/>
      <c r="EE138" s="69"/>
      <c r="EF138" s="69"/>
      <c r="EG138" s="69"/>
      <c r="EH138" s="69"/>
      <c r="EI138" s="84">
        <f>SUM(Tableau1[[#This Row],[Transports sur films]:[autres ]])</f>
        <v>0</v>
      </c>
      <c r="EJ138" s="132">
        <v>0</v>
      </c>
      <c r="EK138" s="132"/>
      <c r="EL138" s="68">
        <f t="shared" si="107"/>
        <v>0</v>
      </c>
      <c r="EM138" s="65"/>
      <c r="EN138" s="65">
        <v>0</v>
      </c>
      <c r="EO138" s="65"/>
      <c r="EP138" s="65"/>
      <c r="EQ138" s="65"/>
      <c r="ER138" s="65"/>
      <c r="ES138" s="65"/>
      <c r="ET138" s="68">
        <f t="shared" si="108"/>
        <v>0</v>
      </c>
      <c r="EU138" s="65"/>
      <c r="EV138" s="65"/>
      <c r="EW138" s="65"/>
      <c r="EX138" s="65"/>
      <c r="EY138" s="65"/>
      <c r="EZ138" s="68">
        <f t="shared" si="85"/>
        <v>0</v>
      </c>
      <c r="FA138" s="65"/>
      <c r="FB138" s="65"/>
      <c r="FC138" s="70">
        <f t="shared" si="84"/>
        <v>0</v>
      </c>
      <c r="FD138" s="65"/>
      <c r="FE138" s="71">
        <f t="shared" si="109"/>
        <v>0</v>
      </c>
      <c r="FF138" s="72">
        <f t="shared" si="110"/>
        <v>0</v>
      </c>
      <c r="FG138" s="65"/>
      <c r="FH138" s="65"/>
      <c r="FI138" s="65"/>
      <c r="FJ138" s="56">
        <f t="shared" si="111"/>
        <v>0</v>
      </c>
      <c r="FK138" s="65"/>
      <c r="FL138" s="65"/>
      <c r="FM138" s="65"/>
      <c r="FN138" s="65"/>
      <c r="FO138" s="67">
        <f t="shared" si="112"/>
        <v>0</v>
      </c>
      <c r="FP138" s="57"/>
      <c r="FQ138" s="73"/>
      <c r="FR138" s="73"/>
      <c r="FS138" s="71">
        <f t="shared" si="113"/>
        <v>0</v>
      </c>
      <c r="FT138" s="91"/>
      <c r="FU138" s="91"/>
      <c r="FV138" s="67">
        <f>SUM(Tableau1[[#This Row],[Droits d''auteurs SACEM + cotisations SACEM]:[Autres ou non préciés]])</f>
        <v>0</v>
      </c>
      <c r="FW138" s="75">
        <f t="shared" si="114"/>
        <v>0</v>
      </c>
      <c r="FX138" s="74">
        <v>0</v>
      </c>
      <c r="FY138" s="74"/>
      <c r="FZ138" s="74"/>
      <c r="GA138" s="74"/>
      <c r="GB138" s="71">
        <f t="shared" si="115"/>
        <v>0</v>
      </c>
      <c r="GC138" s="92"/>
      <c r="GD138" s="92"/>
      <c r="GE138" s="67">
        <f t="shared" si="116"/>
        <v>0</v>
      </c>
      <c r="GF138" s="66"/>
      <c r="GG138" s="66"/>
      <c r="GH138" s="66"/>
      <c r="GI138" s="66"/>
      <c r="GJ138" s="77"/>
    </row>
    <row r="139" spans="1:192" ht="18.600000000000001" customHeight="1" x14ac:dyDescent="0.25">
      <c r="A139" s="89"/>
      <c r="B139" s="17"/>
      <c r="C139" s="50"/>
      <c r="D139" s="140"/>
      <c r="E139" s="51"/>
      <c r="F139" s="139">
        <f t="shared" si="81"/>
        <v>1</v>
      </c>
      <c r="G139" s="49"/>
      <c r="H139" s="50"/>
      <c r="I139" s="122"/>
      <c r="J139" s="49"/>
      <c r="K139" s="50"/>
      <c r="L139" s="50"/>
      <c r="M139" s="90"/>
      <c r="N139" s="50"/>
      <c r="O139" s="50"/>
      <c r="P139" s="90"/>
      <c r="Q139" s="52">
        <f t="shared" si="86"/>
        <v>0</v>
      </c>
      <c r="R139" s="52">
        <f t="shared" si="87"/>
        <v>0</v>
      </c>
      <c r="S139" s="53">
        <f t="shared" si="88"/>
        <v>0</v>
      </c>
      <c r="T139" s="54">
        <f t="shared" si="89"/>
        <v>0</v>
      </c>
      <c r="U139" s="115">
        <f>SUM(Tableau1[[#This Row],[Vente confiserie]:[Vente boisson]])</f>
        <v>0</v>
      </c>
      <c r="V139" s="55"/>
      <c r="W139" s="55"/>
      <c r="X139" s="135">
        <f>SUM(Tableau1[[#This Row],[Vente lunette]:[Location lunette]])</f>
        <v>0</v>
      </c>
      <c r="Y139" s="55"/>
      <c r="Z139" s="55"/>
      <c r="AA139" s="55"/>
      <c r="AB139" s="55"/>
      <c r="AC139" s="56">
        <f t="shared" si="79"/>
        <v>0</v>
      </c>
      <c r="AD139" s="57"/>
      <c r="AE139" s="57"/>
      <c r="AF139" s="57"/>
      <c r="AG139" s="57"/>
      <c r="AH139" s="57"/>
      <c r="AI139" s="57"/>
      <c r="AJ139" s="118">
        <f>(Tableau1[[#This Row],[Recette guichet ]]*1.1275177)-Tableau1[[#This Row],[Recette guichet ]]</f>
        <v>0</v>
      </c>
      <c r="AK139" s="57"/>
      <c r="AL139" s="56">
        <f t="shared" si="80"/>
        <v>0</v>
      </c>
      <c r="AM139" s="58"/>
      <c r="AN139" s="58"/>
      <c r="AO139" s="58"/>
      <c r="AP139" s="115">
        <f t="shared" si="90"/>
        <v>0</v>
      </c>
      <c r="AQ139" s="69"/>
      <c r="AR139" s="69"/>
      <c r="AS139" s="69"/>
      <c r="AT139" s="69"/>
      <c r="AU139" s="59">
        <f t="shared" si="91"/>
        <v>0</v>
      </c>
      <c r="AV139" s="60">
        <f t="shared" si="92"/>
        <v>0</v>
      </c>
      <c r="AW139" s="58"/>
      <c r="AX139" s="58"/>
      <c r="AY139" s="58"/>
      <c r="AZ139" s="60">
        <f t="shared" si="82"/>
        <v>0</v>
      </c>
      <c r="BA139" s="58"/>
      <c r="BB139" s="58"/>
      <c r="BC139" s="58"/>
      <c r="BD139" s="60">
        <f>SUM(Tableau1[[#This Row],[ticket/carte/abonnement périmé]:[Autres ou non précisé 5]])</f>
        <v>0</v>
      </c>
      <c r="BE139" s="58"/>
      <c r="BF139" s="58"/>
      <c r="BG139" s="58"/>
      <c r="BH139" s="61">
        <f t="shared" si="93"/>
        <v>0</v>
      </c>
      <c r="BI139" s="120"/>
      <c r="BJ139" s="120"/>
      <c r="BK139" s="62">
        <f t="shared" si="94"/>
        <v>0</v>
      </c>
      <c r="BL139" s="120"/>
      <c r="BM139" s="120"/>
      <c r="BN139" s="120"/>
      <c r="BO139" s="120"/>
      <c r="BP139" s="120"/>
      <c r="BQ139" s="63"/>
      <c r="BR139" s="52">
        <f t="shared" si="95"/>
        <v>0</v>
      </c>
      <c r="BS139" s="52">
        <f t="shared" si="96"/>
        <v>0</v>
      </c>
      <c r="BT139" s="61">
        <f t="shared" si="97"/>
        <v>0</v>
      </c>
      <c r="BU139" s="64">
        <f t="shared" si="98"/>
        <v>0</v>
      </c>
      <c r="BV139" s="119">
        <f>SUM(Tableau1[[#This Row],[Achats confiserie]:[Achats boisson]])</f>
        <v>0</v>
      </c>
      <c r="BW139" s="58"/>
      <c r="BX139" s="69"/>
      <c r="BY139" s="58"/>
      <c r="BZ139" s="56">
        <f t="shared" si="99"/>
        <v>0</v>
      </c>
      <c r="CA139" s="66"/>
      <c r="CB139" s="66"/>
      <c r="CC139" s="56">
        <f t="shared" si="100"/>
        <v>0</v>
      </c>
      <c r="CD139" s="55"/>
      <c r="CE139" s="65"/>
      <c r="CF139" s="55"/>
      <c r="CG139" s="55"/>
      <c r="CH139" s="67">
        <f t="shared" si="101"/>
        <v>0</v>
      </c>
      <c r="CI139" s="68">
        <f t="shared" si="78"/>
        <v>0</v>
      </c>
      <c r="CJ139" s="55"/>
      <c r="CK139" s="55"/>
      <c r="CL139" s="55"/>
      <c r="CM139" s="55"/>
      <c r="CN139" s="55"/>
      <c r="CO139" s="68">
        <f t="shared" si="102"/>
        <v>0</v>
      </c>
      <c r="CP139" s="75">
        <f>SUM(Tableau1[[#This Row],[Fourniture eau]:[Energie (non précisé)]])</f>
        <v>0</v>
      </c>
      <c r="CQ139" s="55"/>
      <c r="CR139" s="55"/>
      <c r="CS139" s="55"/>
      <c r="CT139" s="55"/>
      <c r="CU139" s="55"/>
      <c r="CV139" s="55">
        <v>0</v>
      </c>
      <c r="CW139" s="55"/>
      <c r="CX139" s="68">
        <f>SUM(Tableau1[[#This Row],[Sous-traitance]:[Autres ou non précisé 12]])</f>
        <v>0</v>
      </c>
      <c r="CY139" s="65"/>
      <c r="CZ139" s="65"/>
      <c r="DA139" s="65"/>
      <c r="DB139" s="65"/>
      <c r="DC139" s="55"/>
      <c r="DD139" s="68">
        <f t="shared" si="83"/>
        <v>0</v>
      </c>
      <c r="DE139" s="55"/>
      <c r="DF139" s="65"/>
      <c r="DG139" s="65"/>
      <c r="DH139" s="65"/>
      <c r="DI139" s="68">
        <f>SUM(Tableau1[[#This Row],[Entretien et réparation matériel de projection]:[Autres ou non précisé 14]])</f>
        <v>0</v>
      </c>
      <c r="DJ139" s="58"/>
      <c r="DK139" s="58"/>
      <c r="DL139" s="69"/>
      <c r="DM139" s="68">
        <f t="shared" si="103"/>
        <v>0</v>
      </c>
      <c r="DN139" s="58"/>
      <c r="DO139" s="58"/>
      <c r="DP139" s="68">
        <f t="shared" si="104"/>
        <v>0</v>
      </c>
      <c r="DQ139" s="65"/>
      <c r="DR139" s="65"/>
      <c r="DS139" s="68">
        <f t="shared" si="105"/>
        <v>0</v>
      </c>
      <c r="DT139" s="65"/>
      <c r="DU139" s="65"/>
      <c r="DV139" s="65"/>
      <c r="DW139" s="68">
        <f>SUM(Tableau1[[#This Row],[Comission et courtage sur achats]:[Autres ou honoraires
 non précisé ]])</f>
        <v>0</v>
      </c>
      <c r="DX139" s="57"/>
      <c r="DY139" s="57"/>
      <c r="DZ139" s="65"/>
      <c r="EA139" s="65"/>
      <c r="EB139" s="65"/>
      <c r="EC139" s="68">
        <f t="shared" si="106"/>
        <v>0</v>
      </c>
      <c r="ED139" s="69"/>
      <c r="EE139" s="69"/>
      <c r="EF139" s="69"/>
      <c r="EG139" s="69"/>
      <c r="EH139" s="69"/>
      <c r="EI139" s="84">
        <f>SUM(Tableau1[[#This Row],[Transports sur films]:[autres ]])</f>
        <v>0</v>
      </c>
      <c r="EJ139" s="132">
        <v>0</v>
      </c>
      <c r="EK139" s="132"/>
      <c r="EL139" s="68">
        <f t="shared" si="107"/>
        <v>0</v>
      </c>
      <c r="EM139" s="65"/>
      <c r="EN139" s="65">
        <v>0</v>
      </c>
      <c r="EO139" s="65"/>
      <c r="EP139" s="65"/>
      <c r="EQ139" s="65"/>
      <c r="ER139" s="65"/>
      <c r="ES139" s="65"/>
      <c r="ET139" s="68">
        <f t="shared" si="108"/>
        <v>0</v>
      </c>
      <c r="EU139" s="65"/>
      <c r="EV139" s="65"/>
      <c r="EW139" s="65"/>
      <c r="EX139" s="65"/>
      <c r="EY139" s="65"/>
      <c r="EZ139" s="68">
        <f t="shared" si="85"/>
        <v>0</v>
      </c>
      <c r="FA139" s="65"/>
      <c r="FB139" s="65"/>
      <c r="FC139" s="70">
        <f t="shared" si="84"/>
        <v>0</v>
      </c>
      <c r="FD139" s="65"/>
      <c r="FE139" s="71">
        <f t="shared" si="109"/>
        <v>0</v>
      </c>
      <c r="FF139" s="72">
        <f t="shared" si="110"/>
        <v>0</v>
      </c>
      <c r="FG139" s="65"/>
      <c r="FH139" s="65"/>
      <c r="FI139" s="65"/>
      <c r="FJ139" s="56">
        <f t="shared" si="111"/>
        <v>0</v>
      </c>
      <c r="FK139" s="65"/>
      <c r="FL139" s="65"/>
      <c r="FM139" s="65"/>
      <c r="FN139" s="65"/>
      <c r="FO139" s="67">
        <f t="shared" si="112"/>
        <v>0</v>
      </c>
      <c r="FP139" s="57"/>
      <c r="FQ139" s="73"/>
      <c r="FR139" s="73"/>
      <c r="FS139" s="71">
        <f t="shared" si="113"/>
        <v>0</v>
      </c>
      <c r="FT139" s="91"/>
      <c r="FU139" s="91"/>
      <c r="FV139" s="67">
        <f>SUM(Tableau1[[#This Row],[Droits d''auteurs SACEM + cotisations SACEM]:[Autres ou non préciés]])</f>
        <v>0</v>
      </c>
      <c r="FW139" s="75">
        <f t="shared" si="114"/>
        <v>0</v>
      </c>
      <c r="FX139" s="74">
        <v>0</v>
      </c>
      <c r="FY139" s="74"/>
      <c r="FZ139" s="74"/>
      <c r="GA139" s="74"/>
      <c r="GB139" s="71">
        <f t="shared" si="115"/>
        <v>0</v>
      </c>
      <c r="GC139" s="92"/>
      <c r="GD139" s="92"/>
      <c r="GE139" s="67">
        <f t="shared" si="116"/>
        <v>0</v>
      </c>
      <c r="GF139" s="66"/>
      <c r="GG139" s="66"/>
      <c r="GH139" s="66"/>
      <c r="GI139" s="66"/>
      <c r="GJ139" s="77"/>
    </row>
    <row r="140" spans="1:192" ht="18.600000000000001" customHeight="1" x14ac:dyDescent="0.25">
      <c r="A140" s="89"/>
      <c r="B140" s="17"/>
      <c r="C140" s="50"/>
      <c r="D140" s="140"/>
      <c r="E140" s="51"/>
      <c r="F140" s="139">
        <f t="shared" si="81"/>
        <v>1</v>
      </c>
      <c r="G140" s="49"/>
      <c r="H140" s="50"/>
      <c r="I140" s="122"/>
      <c r="J140" s="49"/>
      <c r="K140" s="50"/>
      <c r="L140" s="50"/>
      <c r="M140" s="90"/>
      <c r="N140" s="50"/>
      <c r="O140" s="50"/>
      <c r="P140" s="90"/>
      <c r="Q140" s="52">
        <f t="shared" si="86"/>
        <v>0</v>
      </c>
      <c r="R140" s="52">
        <f t="shared" si="87"/>
        <v>0</v>
      </c>
      <c r="S140" s="53">
        <f t="shared" si="88"/>
        <v>0</v>
      </c>
      <c r="T140" s="54">
        <f t="shared" si="89"/>
        <v>0</v>
      </c>
      <c r="U140" s="115">
        <f>SUM(Tableau1[[#This Row],[Vente confiserie]:[Vente boisson]])</f>
        <v>0</v>
      </c>
      <c r="V140" s="55"/>
      <c r="W140" s="55"/>
      <c r="X140" s="135">
        <f>SUM(Tableau1[[#This Row],[Vente lunette]:[Location lunette]])</f>
        <v>0</v>
      </c>
      <c r="Y140" s="55"/>
      <c r="Z140" s="55"/>
      <c r="AA140" s="55"/>
      <c r="AB140" s="55"/>
      <c r="AC140" s="56">
        <f t="shared" si="79"/>
        <v>0</v>
      </c>
      <c r="AD140" s="57"/>
      <c r="AE140" s="57"/>
      <c r="AF140" s="57"/>
      <c r="AG140" s="57"/>
      <c r="AH140" s="57"/>
      <c r="AI140" s="57"/>
      <c r="AJ140" s="118">
        <f>(Tableau1[[#This Row],[Recette guichet ]]*1.1275177)-Tableau1[[#This Row],[Recette guichet ]]</f>
        <v>0</v>
      </c>
      <c r="AK140" s="57"/>
      <c r="AL140" s="56">
        <f t="shared" si="80"/>
        <v>0</v>
      </c>
      <c r="AM140" s="58"/>
      <c r="AN140" s="58"/>
      <c r="AO140" s="58"/>
      <c r="AP140" s="115">
        <f t="shared" si="90"/>
        <v>0</v>
      </c>
      <c r="AQ140" s="69"/>
      <c r="AR140" s="69"/>
      <c r="AS140" s="69"/>
      <c r="AT140" s="69"/>
      <c r="AU140" s="59">
        <f t="shared" si="91"/>
        <v>0</v>
      </c>
      <c r="AV140" s="60">
        <f t="shared" si="92"/>
        <v>0</v>
      </c>
      <c r="AW140" s="58"/>
      <c r="AX140" s="58"/>
      <c r="AY140" s="58"/>
      <c r="AZ140" s="60">
        <f t="shared" si="82"/>
        <v>0</v>
      </c>
      <c r="BA140" s="58"/>
      <c r="BB140" s="58"/>
      <c r="BC140" s="58"/>
      <c r="BD140" s="60">
        <f>SUM(Tableau1[[#This Row],[ticket/carte/abonnement périmé]:[Autres ou non précisé 5]])</f>
        <v>0</v>
      </c>
      <c r="BE140" s="58"/>
      <c r="BF140" s="58"/>
      <c r="BG140" s="58"/>
      <c r="BH140" s="61">
        <f t="shared" si="93"/>
        <v>0</v>
      </c>
      <c r="BI140" s="120"/>
      <c r="BJ140" s="120"/>
      <c r="BK140" s="62">
        <f t="shared" si="94"/>
        <v>0</v>
      </c>
      <c r="BL140" s="120"/>
      <c r="BM140" s="120"/>
      <c r="BN140" s="120"/>
      <c r="BO140" s="120"/>
      <c r="BP140" s="120"/>
      <c r="BQ140" s="63"/>
      <c r="BR140" s="52">
        <f t="shared" si="95"/>
        <v>0</v>
      </c>
      <c r="BS140" s="52">
        <f t="shared" si="96"/>
        <v>0</v>
      </c>
      <c r="BT140" s="61">
        <f t="shared" si="97"/>
        <v>0</v>
      </c>
      <c r="BU140" s="64">
        <f t="shared" si="98"/>
        <v>0</v>
      </c>
      <c r="BV140" s="119">
        <f>SUM(Tableau1[[#This Row],[Achats confiserie]:[Achats boisson]])</f>
        <v>0</v>
      </c>
      <c r="BW140" s="58"/>
      <c r="BX140" s="69"/>
      <c r="BY140" s="58"/>
      <c r="BZ140" s="56">
        <f t="shared" si="99"/>
        <v>0</v>
      </c>
      <c r="CA140" s="66"/>
      <c r="CB140" s="66"/>
      <c r="CC140" s="56">
        <f t="shared" si="100"/>
        <v>0</v>
      </c>
      <c r="CD140" s="55"/>
      <c r="CE140" s="65"/>
      <c r="CF140" s="55"/>
      <c r="CG140" s="55"/>
      <c r="CH140" s="67">
        <f t="shared" si="101"/>
        <v>0</v>
      </c>
      <c r="CI140" s="68">
        <f t="shared" si="78"/>
        <v>0</v>
      </c>
      <c r="CJ140" s="55"/>
      <c r="CK140" s="55"/>
      <c r="CL140" s="55"/>
      <c r="CM140" s="55"/>
      <c r="CN140" s="55"/>
      <c r="CO140" s="68">
        <f t="shared" si="102"/>
        <v>0</v>
      </c>
      <c r="CP140" s="75">
        <f>SUM(Tableau1[[#This Row],[Fourniture eau]:[Energie (non précisé)]])</f>
        <v>0</v>
      </c>
      <c r="CQ140" s="55"/>
      <c r="CR140" s="55"/>
      <c r="CS140" s="55"/>
      <c r="CT140" s="55"/>
      <c r="CU140" s="55"/>
      <c r="CV140" s="55">
        <v>0</v>
      </c>
      <c r="CW140" s="55"/>
      <c r="CX140" s="68">
        <f>SUM(Tableau1[[#This Row],[Sous-traitance]:[Autres ou non précisé 12]])</f>
        <v>0</v>
      </c>
      <c r="CY140" s="65"/>
      <c r="CZ140" s="65"/>
      <c r="DA140" s="65"/>
      <c r="DB140" s="65"/>
      <c r="DC140" s="55"/>
      <c r="DD140" s="68">
        <f t="shared" si="83"/>
        <v>0</v>
      </c>
      <c r="DE140" s="55"/>
      <c r="DF140" s="65"/>
      <c r="DG140" s="65"/>
      <c r="DH140" s="65"/>
      <c r="DI140" s="68">
        <f>SUM(Tableau1[[#This Row],[Entretien et réparation matériel de projection]:[Autres ou non précisé 14]])</f>
        <v>0</v>
      </c>
      <c r="DJ140" s="58"/>
      <c r="DK140" s="58"/>
      <c r="DL140" s="69"/>
      <c r="DM140" s="68">
        <f t="shared" si="103"/>
        <v>0</v>
      </c>
      <c r="DN140" s="58"/>
      <c r="DO140" s="58"/>
      <c r="DP140" s="68">
        <f t="shared" si="104"/>
        <v>0</v>
      </c>
      <c r="DQ140" s="65"/>
      <c r="DR140" s="65"/>
      <c r="DS140" s="68">
        <f t="shared" si="105"/>
        <v>0</v>
      </c>
      <c r="DT140" s="65"/>
      <c r="DU140" s="65"/>
      <c r="DV140" s="65"/>
      <c r="DW140" s="68">
        <f>SUM(Tableau1[[#This Row],[Comission et courtage sur achats]:[Autres ou honoraires
 non précisé ]])</f>
        <v>0</v>
      </c>
      <c r="DX140" s="57"/>
      <c r="DY140" s="57"/>
      <c r="DZ140" s="65"/>
      <c r="EA140" s="65"/>
      <c r="EB140" s="65"/>
      <c r="EC140" s="68">
        <f t="shared" si="106"/>
        <v>0</v>
      </c>
      <c r="ED140" s="69"/>
      <c r="EE140" s="69"/>
      <c r="EF140" s="69"/>
      <c r="EG140" s="69"/>
      <c r="EH140" s="69"/>
      <c r="EI140" s="84">
        <f>SUM(Tableau1[[#This Row],[Transports sur films]:[autres ]])</f>
        <v>0</v>
      </c>
      <c r="EJ140" s="132">
        <v>0</v>
      </c>
      <c r="EK140" s="132"/>
      <c r="EL140" s="68">
        <f t="shared" si="107"/>
        <v>0</v>
      </c>
      <c r="EM140" s="65"/>
      <c r="EN140" s="65">
        <v>0</v>
      </c>
      <c r="EO140" s="65"/>
      <c r="EP140" s="65"/>
      <c r="EQ140" s="65"/>
      <c r="ER140" s="65"/>
      <c r="ES140" s="65"/>
      <c r="ET140" s="68">
        <f t="shared" si="108"/>
        <v>0</v>
      </c>
      <c r="EU140" s="65"/>
      <c r="EV140" s="65"/>
      <c r="EW140" s="65"/>
      <c r="EX140" s="65"/>
      <c r="EY140" s="65"/>
      <c r="EZ140" s="68">
        <f t="shared" si="85"/>
        <v>0</v>
      </c>
      <c r="FA140" s="65"/>
      <c r="FB140" s="65"/>
      <c r="FC140" s="70">
        <f t="shared" si="84"/>
        <v>0</v>
      </c>
      <c r="FD140" s="65"/>
      <c r="FE140" s="71">
        <f t="shared" si="109"/>
        <v>0</v>
      </c>
      <c r="FF140" s="72">
        <f t="shared" si="110"/>
        <v>0</v>
      </c>
      <c r="FG140" s="65"/>
      <c r="FH140" s="65"/>
      <c r="FI140" s="65"/>
      <c r="FJ140" s="56">
        <f t="shared" si="111"/>
        <v>0</v>
      </c>
      <c r="FK140" s="65"/>
      <c r="FL140" s="65"/>
      <c r="FM140" s="65"/>
      <c r="FN140" s="65"/>
      <c r="FO140" s="67">
        <f t="shared" si="112"/>
        <v>0</v>
      </c>
      <c r="FP140" s="57"/>
      <c r="FQ140" s="73"/>
      <c r="FR140" s="73"/>
      <c r="FS140" s="71">
        <f t="shared" si="113"/>
        <v>0</v>
      </c>
      <c r="FT140" s="91"/>
      <c r="FU140" s="91"/>
      <c r="FV140" s="67">
        <f>SUM(Tableau1[[#This Row],[Droits d''auteurs SACEM + cotisations SACEM]:[Autres ou non préciés]])</f>
        <v>0</v>
      </c>
      <c r="FW140" s="75">
        <f t="shared" si="114"/>
        <v>0</v>
      </c>
      <c r="FX140" s="74">
        <v>0</v>
      </c>
      <c r="FY140" s="74"/>
      <c r="FZ140" s="74"/>
      <c r="GA140" s="74"/>
      <c r="GB140" s="71">
        <f t="shared" si="115"/>
        <v>0</v>
      </c>
      <c r="GC140" s="92"/>
      <c r="GD140" s="92"/>
      <c r="GE140" s="67">
        <f t="shared" si="116"/>
        <v>0</v>
      </c>
      <c r="GF140" s="66"/>
      <c r="GG140" s="66"/>
      <c r="GH140" s="66"/>
      <c r="GI140" s="66"/>
      <c r="GJ140" s="77"/>
    </row>
    <row r="141" spans="1:192" ht="18.600000000000001" customHeight="1" x14ac:dyDescent="0.25">
      <c r="A141" s="89"/>
      <c r="B141" s="17"/>
      <c r="C141" s="50"/>
      <c r="D141" s="140"/>
      <c r="E141" s="51"/>
      <c r="F141" s="139">
        <f t="shared" si="81"/>
        <v>1</v>
      </c>
      <c r="G141" s="49"/>
      <c r="H141" s="50"/>
      <c r="I141" s="122"/>
      <c r="J141" s="49"/>
      <c r="K141" s="50"/>
      <c r="L141" s="50"/>
      <c r="M141" s="90"/>
      <c r="N141" s="50"/>
      <c r="O141" s="50"/>
      <c r="P141" s="90"/>
      <c r="Q141" s="52">
        <f t="shared" si="86"/>
        <v>0</v>
      </c>
      <c r="R141" s="52">
        <f t="shared" si="87"/>
        <v>0</v>
      </c>
      <c r="S141" s="53">
        <f t="shared" si="88"/>
        <v>0</v>
      </c>
      <c r="T141" s="54">
        <f t="shared" si="89"/>
        <v>0</v>
      </c>
      <c r="U141" s="115">
        <f>SUM(Tableau1[[#This Row],[Vente confiserie]:[Vente boisson]])</f>
        <v>0</v>
      </c>
      <c r="V141" s="55"/>
      <c r="W141" s="55"/>
      <c r="X141" s="135">
        <f>SUM(Tableau1[[#This Row],[Vente lunette]:[Location lunette]])</f>
        <v>0</v>
      </c>
      <c r="Y141" s="55"/>
      <c r="Z141" s="55"/>
      <c r="AA141" s="55"/>
      <c r="AB141" s="55"/>
      <c r="AC141" s="56">
        <f t="shared" si="79"/>
        <v>0</v>
      </c>
      <c r="AD141" s="57"/>
      <c r="AE141" s="57"/>
      <c r="AF141" s="57"/>
      <c r="AG141" s="57"/>
      <c r="AH141" s="57"/>
      <c r="AI141" s="57"/>
      <c r="AJ141" s="118">
        <f>(Tableau1[[#This Row],[Recette guichet ]]*1.1275177)-Tableau1[[#This Row],[Recette guichet ]]</f>
        <v>0</v>
      </c>
      <c r="AK141" s="57"/>
      <c r="AL141" s="56">
        <f t="shared" si="80"/>
        <v>0</v>
      </c>
      <c r="AM141" s="58"/>
      <c r="AN141" s="58"/>
      <c r="AO141" s="58"/>
      <c r="AP141" s="115">
        <f t="shared" si="90"/>
        <v>0</v>
      </c>
      <c r="AQ141" s="69"/>
      <c r="AR141" s="69"/>
      <c r="AS141" s="69"/>
      <c r="AT141" s="69"/>
      <c r="AU141" s="59">
        <f t="shared" si="91"/>
        <v>0</v>
      </c>
      <c r="AV141" s="60">
        <f t="shared" si="92"/>
        <v>0</v>
      </c>
      <c r="AW141" s="58"/>
      <c r="AX141" s="58"/>
      <c r="AY141" s="58"/>
      <c r="AZ141" s="60">
        <f t="shared" si="82"/>
        <v>0</v>
      </c>
      <c r="BA141" s="58"/>
      <c r="BB141" s="58"/>
      <c r="BC141" s="58"/>
      <c r="BD141" s="60">
        <f>SUM(Tableau1[[#This Row],[ticket/carte/abonnement périmé]:[Autres ou non précisé 5]])</f>
        <v>0</v>
      </c>
      <c r="BE141" s="58"/>
      <c r="BF141" s="58"/>
      <c r="BG141" s="58"/>
      <c r="BH141" s="61">
        <f t="shared" si="93"/>
        <v>0</v>
      </c>
      <c r="BI141" s="120"/>
      <c r="BJ141" s="120"/>
      <c r="BK141" s="62">
        <f t="shared" si="94"/>
        <v>0</v>
      </c>
      <c r="BL141" s="120"/>
      <c r="BM141" s="120"/>
      <c r="BN141" s="120"/>
      <c r="BO141" s="120"/>
      <c r="BP141" s="120"/>
      <c r="BQ141" s="63"/>
      <c r="BR141" s="52">
        <f t="shared" si="95"/>
        <v>0</v>
      </c>
      <c r="BS141" s="52">
        <f t="shared" si="96"/>
        <v>0</v>
      </c>
      <c r="BT141" s="61">
        <f t="shared" si="97"/>
        <v>0</v>
      </c>
      <c r="BU141" s="64">
        <f t="shared" si="98"/>
        <v>0</v>
      </c>
      <c r="BV141" s="119">
        <f>SUM(Tableau1[[#This Row],[Achats confiserie]:[Achats boisson]])</f>
        <v>0</v>
      </c>
      <c r="BW141" s="58"/>
      <c r="BX141" s="69"/>
      <c r="BY141" s="58"/>
      <c r="BZ141" s="56">
        <f t="shared" si="99"/>
        <v>0</v>
      </c>
      <c r="CA141" s="66"/>
      <c r="CB141" s="66"/>
      <c r="CC141" s="56">
        <f t="shared" si="100"/>
        <v>0</v>
      </c>
      <c r="CD141" s="55"/>
      <c r="CE141" s="65"/>
      <c r="CF141" s="55"/>
      <c r="CG141" s="55"/>
      <c r="CH141" s="67">
        <f t="shared" si="101"/>
        <v>0</v>
      </c>
      <c r="CI141" s="68">
        <f t="shared" si="78"/>
        <v>0</v>
      </c>
      <c r="CJ141" s="55"/>
      <c r="CK141" s="55"/>
      <c r="CL141" s="55"/>
      <c r="CM141" s="55"/>
      <c r="CN141" s="55"/>
      <c r="CO141" s="68">
        <f t="shared" si="102"/>
        <v>0</v>
      </c>
      <c r="CP141" s="75">
        <f>SUM(Tableau1[[#This Row],[Fourniture eau]:[Energie (non précisé)]])</f>
        <v>0</v>
      </c>
      <c r="CQ141" s="55"/>
      <c r="CR141" s="55"/>
      <c r="CS141" s="55"/>
      <c r="CT141" s="55"/>
      <c r="CU141" s="55"/>
      <c r="CV141" s="55">
        <v>0</v>
      </c>
      <c r="CW141" s="55"/>
      <c r="CX141" s="68">
        <f>SUM(Tableau1[[#This Row],[Sous-traitance]:[Autres ou non précisé 12]])</f>
        <v>0</v>
      </c>
      <c r="CY141" s="65"/>
      <c r="CZ141" s="65"/>
      <c r="DA141" s="65"/>
      <c r="DB141" s="65"/>
      <c r="DC141" s="55"/>
      <c r="DD141" s="68">
        <f t="shared" si="83"/>
        <v>0</v>
      </c>
      <c r="DE141" s="55"/>
      <c r="DF141" s="65"/>
      <c r="DG141" s="65"/>
      <c r="DH141" s="65"/>
      <c r="DI141" s="68">
        <f>SUM(Tableau1[[#This Row],[Entretien et réparation matériel de projection]:[Autres ou non précisé 14]])</f>
        <v>0</v>
      </c>
      <c r="DJ141" s="58"/>
      <c r="DK141" s="58"/>
      <c r="DL141" s="69"/>
      <c r="DM141" s="68">
        <f t="shared" si="103"/>
        <v>0</v>
      </c>
      <c r="DN141" s="58"/>
      <c r="DO141" s="58"/>
      <c r="DP141" s="68">
        <f t="shared" si="104"/>
        <v>0</v>
      </c>
      <c r="DQ141" s="65"/>
      <c r="DR141" s="65"/>
      <c r="DS141" s="68">
        <f t="shared" si="105"/>
        <v>0</v>
      </c>
      <c r="DT141" s="65"/>
      <c r="DU141" s="65"/>
      <c r="DV141" s="65"/>
      <c r="DW141" s="68">
        <f>SUM(Tableau1[[#This Row],[Comission et courtage sur achats]:[Autres ou honoraires
 non précisé ]])</f>
        <v>0</v>
      </c>
      <c r="DX141" s="57"/>
      <c r="DY141" s="57"/>
      <c r="DZ141" s="65"/>
      <c r="EA141" s="65"/>
      <c r="EB141" s="65"/>
      <c r="EC141" s="68">
        <f t="shared" si="106"/>
        <v>0</v>
      </c>
      <c r="ED141" s="69"/>
      <c r="EE141" s="69"/>
      <c r="EF141" s="69"/>
      <c r="EG141" s="69"/>
      <c r="EH141" s="69"/>
      <c r="EI141" s="84">
        <f>SUM(Tableau1[[#This Row],[Transports sur films]:[autres ]])</f>
        <v>0</v>
      </c>
      <c r="EJ141" s="132">
        <v>0</v>
      </c>
      <c r="EK141" s="132"/>
      <c r="EL141" s="68">
        <f t="shared" si="107"/>
        <v>0</v>
      </c>
      <c r="EM141" s="65"/>
      <c r="EN141" s="65">
        <v>0</v>
      </c>
      <c r="EO141" s="65"/>
      <c r="EP141" s="65"/>
      <c r="EQ141" s="65"/>
      <c r="ER141" s="65"/>
      <c r="ES141" s="65"/>
      <c r="ET141" s="68">
        <f t="shared" si="108"/>
        <v>0</v>
      </c>
      <c r="EU141" s="65"/>
      <c r="EV141" s="65"/>
      <c r="EW141" s="65"/>
      <c r="EX141" s="65"/>
      <c r="EY141" s="65"/>
      <c r="EZ141" s="68">
        <f t="shared" si="85"/>
        <v>0</v>
      </c>
      <c r="FA141" s="65"/>
      <c r="FB141" s="65"/>
      <c r="FC141" s="70">
        <f t="shared" si="84"/>
        <v>0</v>
      </c>
      <c r="FD141" s="65"/>
      <c r="FE141" s="71">
        <f t="shared" si="109"/>
        <v>0</v>
      </c>
      <c r="FF141" s="72">
        <f t="shared" si="110"/>
        <v>0</v>
      </c>
      <c r="FG141" s="65"/>
      <c r="FH141" s="65"/>
      <c r="FI141" s="65"/>
      <c r="FJ141" s="56">
        <f t="shared" si="111"/>
        <v>0</v>
      </c>
      <c r="FK141" s="65"/>
      <c r="FL141" s="65"/>
      <c r="FM141" s="65"/>
      <c r="FN141" s="65"/>
      <c r="FO141" s="67">
        <f t="shared" si="112"/>
        <v>0</v>
      </c>
      <c r="FP141" s="57"/>
      <c r="FQ141" s="73"/>
      <c r="FR141" s="73"/>
      <c r="FS141" s="71">
        <f t="shared" si="113"/>
        <v>0</v>
      </c>
      <c r="FT141" s="91"/>
      <c r="FU141" s="91"/>
      <c r="FV141" s="67">
        <f>SUM(Tableau1[[#This Row],[Droits d''auteurs SACEM + cotisations SACEM]:[Autres ou non préciés]])</f>
        <v>0</v>
      </c>
      <c r="FW141" s="75">
        <f t="shared" si="114"/>
        <v>0</v>
      </c>
      <c r="FX141" s="74">
        <v>0</v>
      </c>
      <c r="FY141" s="74"/>
      <c r="FZ141" s="74"/>
      <c r="GA141" s="74"/>
      <c r="GB141" s="71">
        <f t="shared" si="115"/>
        <v>0</v>
      </c>
      <c r="GC141" s="92"/>
      <c r="GD141" s="92"/>
      <c r="GE141" s="67">
        <f t="shared" si="116"/>
        <v>0</v>
      </c>
      <c r="GF141" s="66"/>
      <c r="GG141" s="66"/>
      <c r="GH141" s="66"/>
      <c r="GI141" s="66"/>
      <c r="GJ141" s="77"/>
    </row>
    <row r="142" spans="1:192" ht="18.600000000000001" customHeight="1" x14ac:dyDescent="0.25">
      <c r="A142" s="89"/>
      <c r="B142" s="17"/>
      <c r="C142" s="50"/>
      <c r="D142" s="140"/>
      <c r="E142" s="51"/>
      <c r="F142" s="139">
        <f t="shared" si="81"/>
        <v>1</v>
      </c>
      <c r="G142" s="49"/>
      <c r="H142" s="50"/>
      <c r="I142" s="122"/>
      <c r="J142" s="49"/>
      <c r="K142" s="50"/>
      <c r="L142" s="50"/>
      <c r="M142" s="90"/>
      <c r="N142" s="50"/>
      <c r="O142" s="50"/>
      <c r="P142" s="90"/>
      <c r="Q142" s="52">
        <f t="shared" si="86"/>
        <v>0</v>
      </c>
      <c r="R142" s="52">
        <f t="shared" si="87"/>
        <v>0</v>
      </c>
      <c r="S142" s="53">
        <f t="shared" si="88"/>
        <v>0</v>
      </c>
      <c r="T142" s="54">
        <f t="shared" si="89"/>
        <v>0</v>
      </c>
      <c r="U142" s="115">
        <f>SUM(Tableau1[[#This Row],[Vente confiserie]:[Vente boisson]])</f>
        <v>0</v>
      </c>
      <c r="V142" s="55"/>
      <c r="W142" s="55"/>
      <c r="X142" s="135">
        <f>SUM(Tableau1[[#This Row],[Vente lunette]:[Location lunette]])</f>
        <v>0</v>
      </c>
      <c r="Y142" s="55"/>
      <c r="Z142" s="55"/>
      <c r="AA142" s="55"/>
      <c r="AB142" s="55"/>
      <c r="AC142" s="56">
        <f t="shared" si="79"/>
        <v>0</v>
      </c>
      <c r="AD142" s="57"/>
      <c r="AE142" s="57"/>
      <c r="AF142" s="57"/>
      <c r="AG142" s="57"/>
      <c r="AH142" s="57"/>
      <c r="AI142" s="57"/>
      <c r="AJ142" s="118">
        <f>(Tableau1[[#This Row],[Recette guichet ]]*1.1275177)-Tableau1[[#This Row],[Recette guichet ]]</f>
        <v>0</v>
      </c>
      <c r="AK142" s="57"/>
      <c r="AL142" s="56">
        <f t="shared" si="80"/>
        <v>0</v>
      </c>
      <c r="AM142" s="58"/>
      <c r="AN142" s="58"/>
      <c r="AO142" s="58"/>
      <c r="AP142" s="115">
        <f t="shared" si="90"/>
        <v>0</v>
      </c>
      <c r="AQ142" s="69"/>
      <c r="AR142" s="69"/>
      <c r="AS142" s="69"/>
      <c r="AT142" s="69"/>
      <c r="AU142" s="59">
        <f t="shared" si="91"/>
        <v>0</v>
      </c>
      <c r="AV142" s="60">
        <f t="shared" si="92"/>
        <v>0</v>
      </c>
      <c r="AW142" s="58"/>
      <c r="AX142" s="58"/>
      <c r="AY142" s="58"/>
      <c r="AZ142" s="60">
        <f t="shared" si="82"/>
        <v>0</v>
      </c>
      <c r="BA142" s="58"/>
      <c r="BB142" s="58"/>
      <c r="BC142" s="58"/>
      <c r="BD142" s="60">
        <f>SUM(Tableau1[[#This Row],[ticket/carte/abonnement périmé]:[Autres ou non précisé 5]])</f>
        <v>0</v>
      </c>
      <c r="BE142" s="58"/>
      <c r="BF142" s="58"/>
      <c r="BG142" s="58"/>
      <c r="BH142" s="61">
        <f t="shared" si="93"/>
        <v>0</v>
      </c>
      <c r="BI142" s="120"/>
      <c r="BJ142" s="120"/>
      <c r="BK142" s="62">
        <f t="shared" si="94"/>
        <v>0</v>
      </c>
      <c r="BL142" s="120"/>
      <c r="BM142" s="120"/>
      <c r="BN142" s="120"/>
      <c r="BO142" s="120"/>
      <c r="BP142" s="120"/>
      <c r="BQ142" s="63"/>
      <c r="BR142" s="52">
        <f t="shared" si="95"/>
        <v>0</v>
      </c>
      <c r="BS142" s="52">
        <f t="shared" si="96"/>
        <v>0</v>
      </c>
      <c r="BT142" s="61">
        <f t="shared" si="97"/>
        <v>0</v>
      </c>
      <c r="BU142" s="64">
        <f t="shared" si="98"/>
        <v>0</v>
      </c>
      <c r="BV142" s="119">
        <f>SUM(Tableau1[[#This Row],[Achats confiserie]:[Achats boisson]])</f>
        <v>0</v>
      </c>
      <c r="BW142" s="58"/>
      <c r="BX142" s="69"/>
      <c r="BY142" s="58"/>
      <c r="BZ142" s="56">
        <f t="shared" si="99"/>
        <v>0</v>
      </c>
      <c r="CA142" s="66"/>
      <c r="CB142" s="66"/>
      <c r="CC142" s="56">
        <f t="shared" si="100"/>
        <v>0</v>
      </c>
      <c r="CD142" s="55"/>
      <c r="CE142" s="65"/>
      <c r="CF142" s="55"/>
      <c r="CG142" s="55"/>
      <c r="CH142" s="67">
        <f t="shared" si="101"/>
        <v>0</v>
      </c>
      <c r="CI142" s="68">
        <f t="shared" si="78"/>
        <v>0</v>
      </c>
      <c r="CJ142" s="55"/>
      <c r="CK142" s="55"/>
      <c r="CL142" s="55"/>
      <c r="CM142" s="55"/>
      <c r="CN142" s="55"/>
      <c r="CO142" s="68">
        <f t="shared" si="102"/>
        <v>0</v>
      </c>
      <c r="CP142" s="75">
        <f>SUM(Tableau1[[#This Row],[Fourniture eau]:[Energie (non précisé)]])</f>
        <v>0</v>
      </c>
      <c r="CQ142" s="55"/>
      <c r="CR142" s="55"/>
      <c r="CS142" s="55"/>
      <c r="CT142" s="55"/>
      <c r="CU142" s="55"/>
      <c r="CV142" s="55">
        <v>0</v>
      </c>
      <c r="CW142" s="55"/>
      <c r="CX142" s="68">
        <f>SUM(Tableau1[[#This Row],[Sous-traitance]:[Autres ou non précisé 12]])</f>
        <v>0</v>
      </c>
      <c r="CY142" s="65"/>
      <c r="CZ142" s="65"/>
      <c r="DA142" s="65"/>
      <c r="DB142" s="65"/>
      <c r="DC142" s="55"/>
      <c r="DD142" s="68">
        <f t="shared" si="83"/>
        <v>0</v>
      </c>
      <c r="DE142" s="55"/>
      <c r="DF142" s="65"/>
      <c r="DG142" s="65"/>
      <c r="DH142" s="65"/>
      <c r="DI142" s="68">
        <f>SUM(Tableau1[[#This Row],[Entretien et réparation matériel de projection]:[Autres ou non précisé 14]])</f>
        <v>0</v>
      </c>
      <c r="DJ142" s="58"/>
      <c r="DK142" s="58"/>
      <c r="DL142" s="69"/>
      <c r="DM142" s="68">
        <f t="shared" si="103"/>
        <v>0</v>
      </c>
      <c r="DN142" s="58"/>
      <c r="DO142" s="58"/>
      <c r="DP142" s="68">
        <f t="shared" si="104"/>
        <v>0</v>
      </c>
      <c r="DQ142" s="65"/>
      <c r="DR142" s="65"/>
      <c r="DS142" s="68">
        <f t="shared" si="105"/>
        <v>0</v>
      </c>
      <c r="DT142" s="65"/>
      <c r="DU142" s="65"/>
      <c r="DV142" s="65"/>
      <c r="DW142" s="68">
        <f>SUM(Tableau1[[#This Row],[Comission et courtage sur achats]:[Autres ou honoraires
 non précisé ]])</f>
        <v>0</v>
      </c>
      <c r="DX142" s="57"/>
      <c r="DY142" s="57"/>
      <c r="DZ142" s="65"/>
      <c r="EA142" s="65"/>
      <c r="EB142" s="65"/>
      <c r="EC142" s="68">
        <f t="shared" si="106"/>
        <v>0</v>
      </c>
      <c r="ED142" s="69"/>
      <c r="EE142" s="69"/>
      <c r="EF142" s="69"/>
      <c r="EG142" s="69"/>
      <c r="EH142" s="69"/>
      <c r="EI142" s="84">
        <f>SUM(Tableau1[[#This Row],[Transports sur films]:[autres ]])</f>
        <v>0</v>
      </c>
      <c r="EJ142" s="132">
        <v>0</v>
      </c>
      <c r="EK142" s="132"/>
      <c r="EL142" s="68">
        <f t="shared" si="107"/>
        <v>0</v>
      </c>
      <c r="EM142" s="65"/>
      <c r="EN142" s="65">
        <v>0</v>
      </c>
      <c r="EO142" s="65"/>
      <c r="EP142" s="65"/>
      <c r="EQ142" s="65"/>
      <c r="ER142" s="65"/>
      <c r="ES142" s="65"/>
      <c r="ET142" s="68">
        <f t="shared" si="108"/>
        <v>0</v>
      </c>
      <c r="EU142" s="65"/>
      <c r="EV142" s="65"/>
      <c r="EW142" s="65"/>
      <c r="EX142" s="65"/>
      <c r="EY142" s="65"/>
      <c r="EZ142" s="68">
        <f t="shared" si="85"/>
        <v>0</v>
      </c>
      <c r="FA142" s="65"/>
      <c r="FB142" s="65"/>
      <c r="FC142" s="70">
        <f t="shared" si="84"/>
        <v>0</v>
      </c>
      <c r="FD142" s="65"/>
      <c r="FE142" s="71">
        <f t="shared" si="109"/>
        <v>0</v>
      </c>
      <c r="FF142" s="72">
        <f t="shared" si="110"/>
        <v>0</v>
      </c>
      <c r="FG142" s="65"/>
      <c r="FH142" s="65"/>
      <c r="FI142" s="65"/>
      <c r="FJ142" s="56">
        <f t="shared" si="111"/>
        <v>0</v>
      </c>
      <c r="FK142" s="65"/>
      <c r="FL142" s="65"/>
      <c r="FM142" s="65"/>
      <c r="FN142" s="65"/>
      <c r="FO142" s="67">
        <f t="shared" si="112"/>
        <v>0</v>
      </c>
      <c r="FP142" s="57"/>
      <c r="FQ142" s="73"/>
      <c r="FR142" s="73"/>
      <c r="FS142" s="71">
        <f t="shared" si="113"/>
        <v>0</v>
      </c>
      <c r="FT142" s="91"/>
      <c r="FU142" s="91"/>
      <c r="FV142" s="67">
        <f>SUM(Tableau1[[#This Row],[Droits d''auteurs SACEM + cotisations SACEM]:[Autres ou non préciés]])</f>
        <v>0</v>
      </c>
      <c r="FW142" s="75">
        <f t="shared" si="114"/>
        <v>0</v>
      </c>
      <c r="FX142" s="74">
        <v>0</v>
      </c>
      <c r="FY142" s="74"/>
      <c r="FZ142" s="74"/>
      <c r="GA142" s="74"/>
      <c r="GB142" s="71">
        <f t="shared" si="115"/>
        <v>0</v>
      </c>
      <c r="GC142" s="92"/>
      <c r="GD142" s="92"/>
      <c r="GE142" s="67">
        <f t="shared" si="116"/>
        <v>0</v>
      </c>
      <c r="GF142" s="66"/>
      <c r="GG142" s="66"/>
      <c r="GH142" s="66"/>
      <c r="GI142" s="66"/>
      <c r="GJ142" s="77"/>
    </row>
    <row r="143" spans="1:192" ht="18.600000000000001" customHeight="1" x14ac:dyDescent="0.25">
      <c r="A143" s="89"/>
      <c r="B143" s="17"/>
      <c r="C143" s="50"/>
      <c r="D143" s="140"/>
      <c r="E143" s="51"/>
      <c r="F143" s="139">
        <f t="shared" si="81"/>
        <v>1</v>
      </c>
      <c r="G143" s="49"/>
      <c r="H143" s="50"/>
      <c r="I143" s="122"/>
      <c r="J143" s="49"/>
      <c r="K143" s="50"/>
      <c r="L143" s="50"/>
      <c r="M143" s="90"/>
      <c r="N143" s="50"/>
      <c r="O143" s="50"/>
      <c r="P143" s="90"/>
      <c r="Q143" s="52">
        <f t="shared" si="86"/>
        <v>0</v>
      </c>
      <c r="R143" s="52">
        <f t="shared" si="87"/>
        <v>0</v>
      </c>
      <c r="S143" s="53">
        <f t="shared" si="88"/>
        <v>0</v>
      </c>
      <c r="T143" s="54">
        <f t="shared" si="89"/>
        <v>0</v>
      </c>
      <c r="U143" s="115">
        <f>SUM(Tableau1[[#This Row],[Vente confiserie]:[Vente boisson]])</f>
        <v>0</v>
      </c>
      <c r="V143" s="55"/>
      <c r="W143" s="55"/>
      <c r="X143" s="135">
        <f>SUM(Tableau1[[#This Row],[Vente lunette]:[Location lunette]])</f>
        <v>0</v>
      </c>
      <c r="Y143" s="55"/>
      <c r="Z143" s="55"/>
      <c r="AA143" s="55"/>
      <c r="AB143" s="55"/>
      <c r="AC143" s="56">
        <f t="shared" si="79"/>
        <v>0</v>
      </c>
      <c r="AD143" s="57"/>
      <c r="AE143" s="57"/>
      <c r="AF143" s="57"/>
      <c r="AG143" s="57"/>
      <c r="AH143" s="57"/>
      <c r="AI143" s="57"/>
      <c r="AJ143" s="118">
        <f>(Tableau1[[#This Row],[Recette guichet ]]*1.1275177)-Tableau1[[#This Row],[Recette guichet ]]</f>
        <v>0</v>
      </c>
      <c r="AK143" s="57"/>
      <c r="AL143" s="56">
        <f t="shared" si="80"/>
        <v>0</v>
      </c>
      <c r="AM143" s="58"/>
      <c r="AN143" s="58"/>
      <c r="AO143" s="58"/>
      <c r="AP143" s="115">
        <f t="shared" si="90"/>
        <v>0</v>
      </c>
      <c r="AQ143" s="69"/>
      <c r="AR143" s="69"/>
      <c r="AS143" s="69"/>
      <c r="AT143" s="69"/>
      <c r="AU143" s="59">
        <f t="shared" si="91"/>
        <v>0</v>
      </c>
      <c r="AV143" s="60">
        <f t="shared" si="92"/>
        <v>0</v>
      </c>
      <c r="AW143" s="58"/>
      <c r="AX143" s="58"/>
      <c r="AY143" s="58"/>
      <c r="AZ143" s="60">
        <f t="shared" si="82"/>
        <v>0</v>
      </c>
      <c r="BA143" s="58"/>
      <c r="BB143" s="58"/>
      <c r="BC143" s="58"/>
      <c r="BD143" s="60">
        <f>SUM(Tableau1[[#This Row],[ticket/carte/abonnement périmé]:[Autres ou non précisé 5]])</f>
        <v>0</v>
      </c>
      <c r="BE143" s="58"/>
      <c r="BF143" s="58"/>
      <c r="BG143" s="58"/>
      <c r="BH143" s="61">
        <f t="shared" si="93"/>
        <v>0</v>
      </c>
      <c r="BI143" s="120"/>
      <c r="BJ143" s="120"/>
      <c r="BK143" s="62">
        <f t="shared" si="94"/>
        <v>0</v>
      </c>
      <c r="BL143" s="120"/>
      <c r="BM143" s="120"/>
      <c r="BN143" s="120"/>
      <c r="BO143" s="120"/>
      <c r="BP143" s="120"/>
      <c r="BQ143" s="63"/>
      <c r="BR143" s="52">
        <f t="shared" si="95"/>
        <v>0</v>
      </c>
      <c r="BS143" s="52">
        <f t="shared" si="96"/>
        <v>0</v>
      </c>
      <c r="BT143" s="61">
        <f t="shared" si="97"/>
        <v>0</v>
      </c>
      <c r="BU143" s="64">
        <f t="shared" si="98"/>
        <v>0</v>
      </c>
      <c r="BV143" s="119">
        <f>SUM(Tableau1[[#This Row],[Achats confiserie]:[Achats boisson]])</f>
        <v>0</v>
      </c>
      <c r="BW143" s="58"/>
      <c r="BX143" s="69"/>
      <c r="BY143" s="58"/>
      <c r="BZ143" s="56">
        <f t="shared" si="99"/>
        <v>0</v>
      </c>
      <c r="CA143" s="66"/>
      <c r="CB143" s="66"/>
      <c r="CC143" s="56">
        <f t="shared" si="100"/>
        <v>0</v>
      </c>
      <c r="CD143" s="55"/>
      <c r="CE143" s="65"/>
      <c r="CF143" s="55"/>
      <c r="CG143" s="55"/>
      <c r="CH143" s="67">
        <f t="shared" si="101"/>
        <v>0</v>
      </c>
      <c r="CI143" s="68">
        <f t="shared" si="78"/>
        <v>0</v>
      </c>
      <c r="CJ143" s="55"/>
      <c r="CK143" s="55"/>
      <c r="CL143" s="55"/>
      <c r="CM143" s="55"/>
      <c r="CN143" s="55"/>
      <c r="CO143" s="68">
        <f t="shared" si="102"/>
        <v>0</v>
      </c>
      <c r="CP143" s="75">
        <f>SUM(Tableau1[[#This Row],[Fourniture eau]:[Energie (non précisé)]])</f>
        <v>0</v>
      </c>
      <c r="CQ143" s="55"/>
      <c r="CR143" s="55"/>
      <c r="CS143" s="55"/>
      <c r="CT143" s="55"/>
      <c r="CU143" s="55"/>
      <c r="CV143" s="55">
        <v>0</v>
      </c>
      <c r="CW143" s="55"/>
      <c r="CX143" s="68">
        <f>SUM(Tableau1[[#This Row],[Sous-traitance]:[Autres ou non précisé 12]])</f>
        <v>0</v>
      </c>
      <c r="CY143" s="65"/>
      <c r="CZ143" s="65"/>
      <c r="DA143" s="65"/>
      <c r="DB143" s="65"/>
      <c r="DC143" s="55"/>
      <c r="DD143" s="68">
        <f t="shared" si="83"/>
        <v>0</v>
      </c>
      <c r="DE143" s="55"/>
      <c r="DF143" s="65"/>
      <c r="DG143" s="65"/>
      <c r="DH143" s="65"/>
      <c r="DI143" s="68">
        <f>SUM(Tableau1[[#This Row],[Entretien et réparation matériel de projection]:[Autres ou non précisé 14]])</f>
        <v>0</v>
      </c>
      <c r="DJ143" s="58"/>
      <c r="DK143" s="58"/>
      <c r="DL143" s="69"/>
      <c r="DM143" s="68">
        <f t="shared" si="103"/>
        <v>0</v>
      </c>
      <c r="DN143" s="58"/>
      <c r="DO143" s="58"/>
      <c r="DP143" s="68">
        <f t="shared" si="104"/>
        <v>0</v>
      </c>
      <c r="DQ143" s="65"/>
      <c r="DR143" s="65"/>
      <c r="DS143" s="68">
        <f t="shared" si="105"/>
        <v>0</v>
      </c>
      <c r="DT143" s="65"/>
      <c r="DU143" s="65"/>
      <c r="DV143" s="65"/>
      <c r="DW143" s="68">
        <f>SUM(Tableau1[[#This Row],[Comission et courtage sur achats]:[Autres ou honoraires
 non précisé ]])</f>
        <v>0</v>
      </c>
      <c r="DX143" s="57"/>
      <c r="DY143" s="57"/>
      <c r="DZ143" s="65"/>
      <c r="EA143" s="65"/>
      <c r="EB143" s="65"/>
      <c r="EC143" s="68">
        <f t="shared" si="106"/>
        <v>0</v>
      </c>
      <c r="ED143" s="69"/>
      <c r="EE143" s="69"/>
      <c r="EF143" s="69"/>
      <c r="EG143" s="69"/>
      <c r="EH143" s="69"/>
      <c r="EI143" s="84">
        <f>SUM(Tableau1[[#This Row],[Transports sur films]:[autres ]])</f>
        <v>0</v>
      </c>
      <c r="EJ143" s="132">
        <v>0</v>
      </c>
      <c r="EK143" s="132"/>
      <c r="EL143" s="68">
        <f t="shared" si="107"/>
        <v>0</v>
      </c>
      <c r="EM143" s="65"/>
      <c r="EN143" s="65">
        <v>0</v>
      </c>
      <c r="EO143" s="65"/>
      <c r="EP143" s="65"/>
      <c r="EQ143" s="65"/>
      <c r="ER143" s="65"/>
      <c r="ES143" s="65"/>
      <c r="ET143" s="68">
        <f t="shared" si="108"/>
        <v>0</v>
      </c>
      <c r="EU143" s="65"/>
      <c r="EV143" s="65"/>
      <c r="EW143" s="65"/>
      <c r="EX143" s="65"/>
      <c r="EY143" s="65"/>
      <c r="EZ143" s="68">
        <f t="shared" si="85"/>
        <v>0</v>
      </c>
      <c r="FA143" s="65"/>
      <c r="FB143" s="65"/>
      <c r="FC143" s="70">
        <f t="shared" si="84"/>
        <v>0</v>
      </c>
      <c r="FD143" s="65"/>
      <c r="FE143" s="71">
        <f t="shared" si="109"/>
        <v>0</v>
      </c>
      <c r="FF143" s="72">
        <f t="shared" si="110"/>
        <v>0</v>
      </c>
      <c r="FG143" s="65"/>
      <c r="FH143" s="65"/>
      <c r="FI143" s="65"/>
      <c r="FJ143" s="56">
        <f t="shared" si="111"/>
        <v>0</v>
      </c>
      <c r="FK143" s="65"/>
      <c r="FL143" s="65"/>
      <c r="FM143" s="65"/>
      <c r="FN143" s="65"/>
      <c r="FO143" s="67">
        <f t="shared" si="112"/>
        <v>0</v>
      </c>
      <c r="FP143" s="57"/>
      <c r="FQ143" s="73"/>
      <c r="FR143" s="73"/>
      <c r="FS143" s="71">
        <f t="shared" si="113"/>
        <v>0</v>
      </c>
      <c r="FT143" s="91"/>
      <c r="FU143" s="91"/>
      <c r="FV143" s="67">
        <f>SUM(Tableau1[[#This Row],[Droits d''auteurs SACEM + cotisations SACEM]:[Autres ou non préciés]])</f>
        <v>0</v>
      </c>
      <c r="FW143" s="75">
        <f t="shared" si="114"/>
        <v>0</v>
      </c>
      <c r="FX143" s="74">
        <v>0</v>
      </c>
      <c r="FY143" s="74"/>
      <c r="FZ143" s="74"/>
      <c r="GA143" s="74"/>
      <c r="GB143" s="71">
        <f t="shared" si="115"/>
        <v>0</v>
      </c>
      <c r="GC143" s="92"/>
      <c r="GD143" s="92"/>
      <c r="GE143" s="67">
        <f t="shared" si="116"/>
        <v>0</v>
      </c>
      <c r="GF143" s="66"/>
      <c r="GG143" s="66"/>
      <c r="GH143" s="66"/>
      <c r="GI143" s="66"/>
      <c r="GJ143" s="77"/>
    </row>
    <row r="144" spans="1:192" ht="18.600000000000001" customHeight="1" x14ac:dyDescent="0.25">
      <c r="A144" s="89"/>
      <c r="B144" s="17"/>
      <c r="C144" s="50"/>
      <c r="D144" s="140"/>
      <c r="E144" s="51"/>
      <c r="F144" s="139">
        <f t="shared" si="81"/>
        <v>1</v>
      </c>
      <c r="G144" s="49"/>
      <c r="H144" s="50"/>
      <c r="I144" s="122"/>
      <c r="J144" s="49"/>
      <c r="K144" s="50"/>
      <c r="L144" s="50"/>
      <c r="M144" s="90"/>
      <c r="N144" s="50"/>
      <c r="O144" s="50"/>
      <c r="P144" s="90"/>
      <c r="Q144" s="52">
        <f t="shared" si="86"/>
        <v>0</v>
      </c>
      <c r="R144" s="52">
        <f t="shared" si="87"/>
        <v>0</v>
      </c>
      <c r="S144" s="53">
        <f t="shared" si="88"/>
        <v>0</v>
      </c>
      <c r="T144" s="54">
        <f t="shared" si="89"/>
        <v>0</v>
      </c>
      <c r="U144" s="115">
        <f>SUM(Tableau1[[#This Row],[Vente confiserie]:[Vente boisson]])</f>
        <v>0</v>
      </c>
      <c r="V144" s="55"/>
      <c r="W144" s="55"/>
      <c r="X144" s="135">
        <f>SUM(Tableau1[[#This Row],[Vente lunette]:[Location lunette]])</f>
        <v>0</v>
      </c>
      <c r="Y144" s="55"/>
      <c r="Z144" s="55"/>
      <c r="AA144" s="55"/>
      <c r="AB144" s="55"/>
      <c r="AC144" s="56">
        <f t="shared" si="79"/>
        <v>0</v>
      </c>
      <c r="AD144" s="57"/>
      <c r="AE144" s="57"/>
      <c r="AF144" s="57"/>
      <c r="AG144" s="57"/>
      <c r="AH144" s="57"/>
      <c r="AI144" s="57"/>
      <c r="AJ144" s="118">
        <f>(Tableau1[[#This Row],[Recette guichet ]]*1.1275177)-Tableau1[[#This Row],[Recette guichet ]]</f>
        <v>0</v>
      </c>
      <c r="AK144" s="57"/>
      <c r="AL144" s="56">
        <f t="shared" si="80"/>
        <v>0</v>
      </c>
      <c r="AM144" s="58"/>
      <c r="AN144" s="58"/>
      <c r="AO144" s="58"/>
      <c r="AP144" s="115">
        <f t="shared" si="90"/>
        <v>0</v>
      </c>
      <c r="AQ144" s="69"/>
      <c r="AR144" s="69"/>
      <c r="AS144" s="69"/>
      <c r="AT144" s="69"/>
      <c r="AU144" s="59">
        <f t="shared" si="91"/>
        <v>0</v>
      </c>
      <c r="AV144" s="60">
        <f t="shared" si="92"/>
        <v>0</v>
      </c>
      <c r="AW144" s="58"/>
      <c r="AX144" s="58"/>
      <c r="AY144" s="58"/>
      <c r="AZ144" s="60">
        <f t="shared" si="82"/>
        <v>0</v>
      </c>
      <c r="BA144" s="58"/>
      <c r="BB144" s="58"/>
      <c r="BC144" s="58"/>
      <c r="BD144" s="60">
        <f>SUM(Tableau1[[#This Row],[ticket/carte/abonnement périmé]:[Autres ou non précisé 5]])</f>
        <v>0</v>
      </c>
      <c r="BE144" s="58"/>
      <c r="BF144" s="58"/>
      <c r="BG144" s="58"/>
      <c r="BH144" s="61">
        <f t="shared" si="93"/>
        <v>0</v>
      </c>
      <c r="BI144" s="120"/>
      <c r="BJ144" s="120"/>
      <c r="BK144" s="62">
        <f t="shared" si="94"/>
        <v>0</v>
      </c>
      <c r="BL144" s="120"/>
      <c r="BM144" s="120"/>
      <c r="BN144" s="120"/>
      <c r="BO144" s="120"/>
      <c r="BP144" s="120"/>
      <c r="BQ144" s="63"/>
      <c r="BR144" s="52">
        <f t="shared" si="95"/>
        <v>0</v>
      </c>
      <c r="BS144" s="52">
        <f t="shared" si="96"/>
        <v>0</v>
      </c>
      <c r="BT144" s="61">
        <f t="shared" si="97"/>
        <v>0</v>
      </c>
      <c r="BU144" s="64">
        <f t="shared" si="98"/>
        <v>0</v>
      </c>
      <c r="BV144" s="119">
        <f>SUM(Tableau1[[#This Row],[Achats confiserie]:[Achats boisson]])</f>
        <v>0</v>
      </c>
      <c r="BW144" s="58"/>
      <c r="BX144" s="69"/>
      <c r="BY144" s="58"/>
      <c r="BZ144" s="56">
        <f t="shared" si="99"/>
        <v>0</v>
      </c>
      <c r="CA144" s="66"/>
      <c r="CB144" s="66"/>
      <c r="CC144" s="56">
        <f t="shared" si="100"/>
        <v>0</v>
      </c>
      <c r="CD144" s="55"/>
      <c r="CE144" s="65"/>
      <c r="CF144" s="55"/>
      <c r="CG144" s="55"/>
      <c r="CH144" s="67">
        <f t="shared" si="101"/>
        <v>0</v>
      </c>
      <c r="CI144" s="68">
        <f t="shared" si="78"/>
        <v>0</v>
      </c>
      <c r="CJ144" s="55"/>
      <c r="CK144" s="55"/>
      <c r="CL144" s="55"/>
      <c r="CM144" s="55"/>
      <c r="CN144" s="55"/>
      <c r="CO144" s="68">
        <f t="shared" si="102"/>
        <v>0</v>
      </c>
      <c r="CP144" s="75">
        <f>SUM(Tableau1[[#This Row],[Fourniture eau]:[Energie (non précisé)]])</f>
        <v>0</v>
      </c>
      <c r="CQ144" s="55"/>
      <c r="CR144" s="55"/>
      <c r="CS144" s="55"/>
      <c r="CT144" s="55"/>
      <c r="CU144" s="55"/>
      <c r="CV144" s="55">
        <v>0</v>
      </c>
      <c r="CW144" s="55"/>
      <c r="CX144" s="68">
        <f>SUM(Tableau1[[#This Row],[Sous-traitance]:[Autres ou non précisé 12]])</f>
        <v>0</v>
      </c>
      <c r="CY144" s="65"/>
      <c r="CZ144" s="65"/>
      <c r="DA144" s="65"/>
      <c r="DB144" s="65"/>
      <c r="DC144" s="55"/>
      <c r="DD144" s="68">
        <f t="shared" si="83"/>
        <v>0</v>
      </c>
      <c r="DE144" s="55"/>
      <c r="DF144" s="65"/>
      <c r="DG144" s="65"/>
      <c r="DH144" s="65"/>
      <c r="DI144" s="68">
        <f>SUM(Tableau1[[#This Row],[Entretien et réparation matériel de projection]:[Autres ou non précisé 14]])</f>
        <v>0</v>
      </c>
      <c r="DJ144" s="58"/>
      <c r="DK144" s="58"/>
      <c r="DL144" s="69"/>
      <c r="DM144" s="68">
        <f t="shared" si="103"/>
        <v>0</v>
      </c>
      <c r="DN144" s="58"/>
      <c r="DO144" s="58"/>
      <c r="DP144" s="68">
        <f t="shared" si="104"/>
        <v>0</v>
      </c>
      <c r="DQ144" s="65"/>
      <c r="DR144" s="65"/>
      <c r="DS144" s="68">
        <f t="shared" si="105"/>
        <v>0</v>
      </c>
      <c r="DT144" s="65"/>
      <c r="DU144" s="65"/>
      <c r="DV144" s="65"/>
      <c r="DW144" s="68">
        <f>SUM(Tableau1[[#This Row],[Comission et courtage sur achats]:[Autres ou honoraires
 non précisé ]])</f>
        <v>0</v>
      </c>
      <c r="DX144" s="57"/>
      <c r="DY144" s="57"/>
      <c r="DZ144" s="65"/>
      <c r="EA144" s="65"/>
      <c r="EB144" s="65"/>
      <c r="EC144" s="68">
        <f t="shared" si="106"/>
        <v>0</v>
      </c>
      <c r="ED144" s="69"/>
      <c r="EE144" s="69"/>
      <c r="EF144" s="69"/>
      <c r="EG144" s="69"/>
      <c r="EH144" s="69"/>
      <c r="EI144" s="84">
        <f>SUM(Tableau1[[#This Row],[Transports sur films]:[autres ]])</f>
        <v>0</v>
      </c>
      <c r="EJ144" s="132">
        <v>0</v>
      </c>
      <c r="EK144" s="132"/>
      <c r="EL144" s="68">
        <f t="shared" si="107"/>
        <v>0</v>
      </c>
      <c r="EM144" s="65"/>
      <c r="EN144" s="65">
        <v>0</v>
      </c>
      <c r="EO144" s="65"/>
      <c r="EP144" s="65"/>
      <c r="EQ144" s="65"/>
      <c r="ER144" s="65"/>
      <c r="ES144" s="65"/>
      <c r="ET144" s="68">
        <f t="shared" si="108"/>
        <v>0</v>
      </c>
      <c r="EU144" s="65"/>
      <c r="EV144" s="65"/>
      <c r="EW144" s="65"/>
      <c r="EX144" s="65"/>
      <c r="EY144" s="65"/>
      <c r="EZ144" s="68">
        <f t="shared" si="85"/>
        <v>0</v>
      </c>
      <c r="FA144" s="65"/>
      <c r="FB144" s="65"/>
      <c r="FC144" s="70">
        <f t="shared" si="84"/>
        <v>0</v>
      </c>
      <c r="FD144" s="65"/>
      <c r="FE144" s="71">
        <f t="shared" si="109"/>
        <v>0</v>
      </c>
      <c r="FF144" s="72">
        <f t="shared" si="110"/>
        <v>0</v>
      </c>
      <c r="FG144" s="65"/>
      <c r="FH144" s="65"/>
      <c r="FI144" s="65"/>
      <c r="FJ144" s="56">
        <f t="shared" si="111"/>
        <v>0</v>
      </c>
      <c r="FK144" s="65"/>
      <c r="FL144" s="65"/>
      <c r="FM144" s="65"/>
      <c r="FN144" s="65"/>
      <c r="FO144" s="67">
        <f t="shared" si="112"/>
        <v>0</v>
      </c>
      <c r="FP144" s="57"/>
      <c r="FQ144" s="73"/>
      <c r="FR144" s="73"/>
      <c r="FS144" s="71">
        <f t="shared" si="113"/>
        <v>0</v>
      </c>
      <c r="FT144" s="91"/>
      <c r="FU144" s="91"/>
      <c r="FV144" s="67">
        <f>SUM(Tableau1[[#This Row],[Droits d''auteurs SACEM + cotisations SACEM]:[Autres ou non préciés]])</f>
        <v>0</v>
      </c>
      <c r="FW144" s="75">
        <f t="shared" si="114"/>
        <v>0</v>
      </c>
      <c r="FX144" s="74">
        <v>0</v>
      </c>
      <c r="FY144" s="74"/>
      <c r="FZ144" s="74"/>
      <c r="GA144" s="74"/>
      <c r="GB144" s="71">
        <f t="shared" si="115"/>
        <v>0</v>
      </c>
      <c r="GC144" s="92"/>
      <c r="GD144" s="92"/>
      <c r="GE144" s="67">
        <f t="shared" si="116"/>
        <v>0</v>
      </c>
      <c r="GF144" s="66"/>
      <c r="GG144" s="66"/>
      <c r="GH144" s="66"/>
      <c r="GI144" s="66"/>
      <c r="GJ144" s="77"/>
    </row>
    <row r="145" spans="1:192" ht="18.600000000000001" customHeight="1" x14ac:dyDescent="0.25">
      <c r="A145" s="89"/>
      <c r="B145" s="17"/>
      <c r="C145" s="50"/>
      <c r="D145" s="140"/>
      <c r="E145" s="51"/>
      <c r="F145" s="139">
        <f t="shared" si="81"/>
        <v>1</v>
      </c>
      <c r="G145" s="49"/>
      <c r="H145" s="50"/>
      <c r="I145" s="122"/>
      <c r="J145" s="49"/>
      <c r="K145" s="50"/>
      <c r="L145" s="50"/>
      <c r="M145" s="90"/>
      <c r="N145" s="50"/>
      <c r="O145" s="50"/>
      <c r="P145" s="90"/>
      <c r="Q145" s="52">
        <f t="shared" si="86"/>
        <v>0</v>
      </c>
      <c r="R145" s="52">
        <f t="shared" si="87"/>
        <v>0</v>
      </c>
      <c r="S145" s="53">
        <f t="shared" si="88"/>
        <v>0</v>
      </c>
      <c r="T145" s="54">
        <f t="shared" si="89"/>
        <v>0</v>
      </c>
      <c r="U145" s="115">
        <f>SUM(Tableau1[[#This Row],[Vente confiserie]:[Vente boisson]])</f>
        <v>0</v>
      </c>
      <c r="V145" s="55"/>
      <c r="W145" s="55"/>
      <c r="X145" s="135">
        <f>SUM(Tableau1[[#This Row],[Vente lunette]:[Location lunette]])</f>
        <v>0</v>
      </c>
      <c r="Y145" s="55"/>
      <c r="Z145" s="55"/>
      <c r="AA145" s="55"/>
      <c r="AB145" s="55"/>
      <c r="AC145" s="56">
        <f t="shared" si="79"/>
        <v>0</v>
      </c>
      <c r="AD145" s="57"/>
      <c r="AE145" s="57"/>
      <c r="AF145" s="57"/>
      <c r="AG145" s="57"/>
      <c r="AH145" s="57"/>
      <c r="AI145" s="57"/>
      <c r="AJ145" s="118">
        <f>(Tableau1[[#This Row],[Recette guichet ]]*1.1275177)-Tableau1[[#This Row],[Recette guichet ]]</f>
        <v>0</v>
      </c>
      <c r="AK145" s="57"/>
      <c r="AL145" s="56">
        <f t="shared" si="80"/>
        <v>0</v>
      </c>
      <c r="AM145" s="58"/>
      <c r="AN145" s="58"/>
      <c r="AO145" s="58"/>
      <c r="AP145" s="115">
        <f t="shared" si="90"/>
        <v>0</v>
      </c>
      <c r="AQ145" s="69"/>
      <c r="AR145" s="69"/>
      <c r="AS145" s="69"/>
      <c r="AT145" s="69"/>
      <c r="AU145" s="59">
        <f t="shared" si="91"/>
        <v>0</v>
      </c>
      <c r="AV145" s="60">
        <f t="shared" si="92"/>
        <v>0</v>
      </c>
      <c r="AW145" s="58"/>
      <c r="AX145" s="58"/>
      <c r="AY145" s="58"/>
      <c r="AZ145" s="60">
        <f t="shared" si="82"/>
        <v>0</v>
      </c>
      <c r="BA145" s="58"/>
      <c r="BB145" s="58"/>
      <c r="BC145" s="58"/>
      <c r="BD145" s="60">
        <f>SUM(Tableau1[[#This Row],[ticket/carte/abonnement périmé]:[Autres ou non précisé 5]])</f>
        <v>0</v>
      </c>
      <c r="BE145" s="58"/>
      <c r="BF145" s="58"/>
      <c r="BG145" s="58"/>
      <c r="BH145" s="61">
        <f t="shared" si="93"/>
        <v>0</v>
      </c>
      <c r="BI145" s="120"/>
      <c r="BJ145" s="120"/>
      <c r="BK145" s="62">
        <f t="shared" si="94"/>
        <v>0</v>
      </c>
      <c r="BL145" s="120"/>
      <c r="BM145" s="120"/>
      <c r="BN145" s="120"/>
      <c r="BO145" s="120"/>
      <c r="BP145" s="120"/>
      <c r="BQ145" s="63"/>
      <c r="BR145" s="52">
        <f t="shared" si="95"/>
        <v>0</v>
      </c>
      <c r="BS145" s="52">
        <f t="shared" si="96"/>
        <v>0</v>
      </c>
      <c r="BT145" s="61">
        <f t="shared" si="97"/>
        <v>0</v>
      </c>
      <c r="BU145" s="64">
        <f t="shared" si="98"/>
        <v>0</v>
      </c>
      <c r="BV145" s="119">
        <f>SUM(Tableau1[[#This Row],[Achats confiserie]:[Achats boisson]])</f>
        <v>0</v>
      </c>
      <c r="BW145" s="58"/>
      <c r="BX145" s="69"/>
      <c r="BY145" s="58"/>
      <c r="BZ145" s="56">
        <f t="shared" si="99"/>
        <v>0</v>
      </c>
      <c r="CA145" s="66"/>
      <c r="CB145" s="66"/>
      <c r="CC145" s="56">
        <f t="shared" si="100"/>
        <v>0</v>
      </c>
      <c r="CD145" s="55"/>
      <c r="CE145" s="65"/>
      <c r="CF145" s="55"/>
      <c r="CG145" s="55"/>
      <c r="CH145" s="67">
        <f t="shared" si="101"/>
        <v>0</v>
      </c>
      <c r="CI145" s="68">
        <f t="shared" si="78"/>
        <v>0</v>
      </c>
      <c r="CJ145" s="55"/>
      <c r="CK145" s="55"/>
      <c r="CL145" s="55"/>
      <c r="CM145" s="55"/>
      <c r="CN145" s="55"/>
      <c r="CO145" s="68">
        <f t="shared" si="102"/>
        <v>0</v>
      </c>
      <c r="CP145" s="75">
        <f>SUM(Tableau1[[#This Row],[Fourniture eau]:[Energie (non précisé)]])</f>
        <v>0</v>
      </c>
      <c r="CQ145" s="55"/>
      <c r="CR145" s="55"/>
      <c r="CS145" s="55"/>
      <c r="CT145" s="55"/>
      <c r="CU145" s="55"/>
      <c r="CV145" s="55">
        <v>0</v>
      </c>
      <c r="CW145" s="55"/>
      <c r="CX145" s="68">
        <f>SUM(Tableau1[[#This Row],[Sous-traitance]:[Autres ou non précisé 12]])</f>
        <v>0</v>
      </c>
      <c r="CY145" s="65"/>
      <c r="CZ145" s="65"/>
      <c r="DA145" s="65"/>
      <c r="DB145" s="65"/>
      <c r="DC145" s="55"/>
      <c r="DD145" s="68">
        <f t="shared" si="83"/>
        <v>0</v>
      </c>
      <c r="DE145" s="55"/>
      <c r="DF145" s="65"/>
      <c r="DG145" s="65"/>
      <c r="DH145" s="65"/>
      <c r="DI145" s="68">
        <f>SUM(Tableau1[[#This Row],[Entretien et réparation matériel de projection]:[Autres ou non précisé 14]])</f>
        <v>0</v>
      </c>
      <c r="DJ145" s="58"/>
      <c r="DK145" s="58"/>
      <c r="DL145" s="69"/>
      <c r="DM145" s="68">
        <f t="shared" si="103"/>
        <v>0</v>
      </c>
      <c r="DN145" s="58"/>
      <c r="DO145" s="58"/>
      <c r="DP145" s="68">
        <f t="shared" si="104"/>
        <v>0</v>
      </c>
      <c r="DQ145" s="65"/>
      <c r="DR145" s="65"/>
      <c r="DS145" s="68">
        <f t="shared" si="105"/>
        <v>0</v>
      </c>
      <c r="DT145" s="65"/>
      <c r="DU145" s="65"/>
      <c r="DV145" s="65"/>
      <c r="DW145" s="68">
        <f>SUM(Tableau1[[#This Row],[Comission et courtage sur achats]:[Autres ou honoraires
 non précisé ]])</f>
        <v>0</v>
      </c>
      <c r="DX145" s="57"/>
      <c r="DY145" s="57"/>
      <c r="DZ145" s="65"/>
      <c r="EA145" s="65"/>
      <c r="EB145" s="65"/>
      <c r="EC145" s="68">
        <f t="shared" si="106"/>
        <v>0</v>
      </c>
      <c r="ED145" s="69"/>
      <c r="EE145" s="69"/>
      <c r="EF145" s="69"/>
      <c r="EG145" s="69"/>
      <c r="EH145" s="69"/>
      <c r="EI145" s="84">
        <f>SUM(Tableau1[[#This Row],[Transports sur films]:[autres ]])</f>
        <v>0</v>
      </c>
      <c r="EJ145" s="132">
        <v>0</v>
      </c>
      <c r="EK145" s="132"/>
      <c r="EL145" s="68">
        <f t="shared" si="107"/>
        <v>0</v>
      </c>
      <c r="EM145" s="65"/>
      <c r="EN145" s="65">
        <v>0</v>
      </c>
      <c r="EO145" s="65"/>
      <c r="EP145" s="65"/>
      <c r="EQ145" s="65"/>
      <c r="ER145" s="65"/>
      <c r="ES145" s="65"/>
      <c r="ET145" s="68">
        <f t="shared" si="108"/>
        <v>0</v>
      </c>
      <c r="EU145" s="65"/>
      <c r="EV145" s="65"/>
      <c r="EW145" s="65"/>
      <c r="EX145" s="65"/>
      <c r="EY145" s="65"/>
      <c r="EZ145" s="68">
        <f t="shared" si="85"/>
        <v>0</v>
      </c>
      <c r="FA145" s="65"/>
      <c r="FB145" s="65"/>
      <c r="FC145" s="70">
        <f t="shared" si="84"/>
        <v>0</v>
      </c>
      <c r="FD145" s="65"/>
      <c r="FE145" s="71">
        <f t="shared" si="109"/>
        <v>0</v>
      </c>
      <c r="FF145" s="72">
        <f t="shared" si="110"/>
        <v>0</v>
      </c>
      <c r="FG145" s="65"/>
      <c r="FH145" s="65"/>
      <c r="FI145" s="65"/>
      <c r="FJ145" s="56">
        <f t="shared" si="111"/>
        <v>0</v>
      </c>
      <c r="FK145" s="65"/>
      <c r="FL145" s="65"/>
      <c r="FM145" s="65"/>
      <c r="FN145" s="65"/>
      <c r="FO145" s="67">
        <f t="shared" si="112"/>
        <v>0</v>
      </c>
      <c r="FP145" s="57"/>
      <c r="FQ145" s="73"/>
      <c r="FR145" s="73"/>
      <c r="FS145" s="71">
        <f t="shared" si="113"/>
        <v>0</v>
      </c>
      <c r="FT145" s="91"/>
      <c r="FU145" s="91"/>
      <c r="FV145" s="67">
        <f>SUM(Tableau1[[#This Row],[Droits d''auteurs SACEM + cotisations SACEM]:[Autres ou non préciés]])</f>
        <v>0</v>
      </c>
      <c r="FW145" s="75">
        <f t="shared" si="114"/>
        <v>0</v>
      </c>
      <c r="FX145" s="74">
        <v>0</v>
      </c>
      <c r="FY145" s="74"/>
      <c r="FZ145" s="74"/>
      <c r="GA145" s="74"/>
      <c r="GB145" s="71">
        <f t="shared" si="115"/>
        <v>0</v>
      </c>
      <c r="GC145" s="92"/>
      <c r="GD145" s="92"/>
      <c r="GE145" s="67">
        <f t="shared" si="116"/>
        <v>0</v>
      </c>
      <c r="GF145" s="66"/>
      <c r="GG145" s="66"/>
      <c r="GH145" s="66"/>
      <c r="GI145" s="66"/>
      <c r="GJ145" s="77"/>
    </row>
    <row r="146" spans="1:192" ht="18.600000000000001" customHeight="1" x14ac:dyDescent="0.25">
      <c r="A146" s="89"/>
      <c r="B146" s="17"/>
      <c r="C146" s="50"/>
      <c r="D146" s="140"/>
      <c r="E146" s="51"/>
      <c r="F146" s="139">
        <f t="shared" si="81"/>
        <v>1</v>
      </c>
      <c r="G146" s="49"/>
      <c r="H146" s="50"/>
      <c r="I146" s="122"/>
      <c r="J146" s="49"/>
      <c r="K146" s="50"/>
      <c r="L146" s="50"/>
      <c r="M146" s="90"/>
      <c r="N146" s="50"/>
      <c r="O146" s="50"/>
      <c r="P146" s="90"/>
      <c r="Q146" s="52">
        <f t="shared" si="86"/>
        <v>0</v>
      </c>
      <c r="R146" s="52">
        <f t="shared" si="87"/>
        <v>0</v>
      </c>
      <c r="S146" s="53">
        <f t="shared" si="88"/>
        <v>0</v>
      </c>
      <c r="T146" s="54">
        <f t="shared" si="89"/>
        <v>0</v>
      </c>
      <c r="U146" s="115">
        <f>SUM(Tableau1[[#This Row],[Vente confiserie]:[Vente boisson]])</f>
        <v>0</v>
      </c>
      <c r="V146" s="55"/>
      <c r="W146" s="55"/>
      <c r="X146" s="135">
        <f>SUM(Tableau1[[#This Row],[Vente lunette]:[Location lunette]])</f>
        <v>0</v>
      </c>
      <c r="Y146" s="55"/>
      <c r="Z146" s="55"/>
      <c r="AA146" s="55"/>
      <c r="AB146" s="55"/>
      <c r="AC146" s="56">
        <f t="shared" si="79"/>
        <v>0</v>
      </c>
      <c r="AD146" s="57"/>
      <c r="AE146" s="57"/>
      <c r="AF146" s="57"/>
      <c r="AG146" s="57"/>
      <c r="AH146" s="57"/>
      <c r="AI146" s="57"/>
      <c r="AJ146" s="118">
        <f>(Tableau1[[#This Row],[Recette guichet ]]*1.1275177)-Tableau1[[#This Row],[Recette guichet ]]</f>
        <v>0</v>
      </c>
      <c r="AK146" s="57"/>
      <c r="AL146" s="56">
        <f t="shared" si="80"/>
        <v>0</v>
      </c>
      <c r="AM146" s="58"/>
      <c r="AN146" s="58"/>
      <c r="AO146" s="58"/>
      <c r="AP146" s="115">
        <f t="shared" si="90"/>
        <v>0</v>
      </c>
      <c r="AQ146" s="69"/>
      <c r="AR146" s="69"/>
      <c r="AS146" s="69"/>
      <c r="AT146" s="69"/>
      <c r="AU146" s="59">
        <f t="shared" si="91"/>
        <v>0</v>
      </c>
      <c r="AV146" s="60">
        <f t="shared" si="92"/>
        <v>0</v>
      </c>
      <c r="AW146" s="58"/>
      <c r="AX146" s="58"/>
      <c r="AY146" s="58"/>
      <c r="AZ146" s="60">
        <f t="shared" si="82"/>
        <v>0</v>
      </c>
      <c r="BA146" s="58"/>
      <c r="BB146" s="58"/>
      <c r="BC146" s="58"/>
      <c r="BD146" s="60">
        <f>SUM(Tableau1[[#This Row],[ticket/carte/abonnement périmé]:[Autres ou non précisé 5]])</f>
        <v>0</v>
      </c>
      <c r="BE146" s="58"/>
      <c r="BF146" s="58"/>
      <c r="BG146" s="58"/>
      <c r="BH146" s="61">
        <f t="shared" si="93"/>
        <v>0</v>
      </c>
      <c r="BI146" s="120"/>
      <c r="BJ146" s="120"/>
      <c r="BK146" s="62">
        <f t="shared" si="94"/>
        <v>0</v>
      </c>
      <c r="BL146" s="120"/>
      <c r="BM146" s="120"/>
      <c r="BN146" s="120"/>
      <c r="BO146" s="120"/>
      <c r="BP146" s="120"/>
      <c r="BQ146" s="63"/>
      <c r="BR146" s="52">
        <f t="shared" si="95"/>
        <v>0</v>
      </c>
      <c r="BS146" s="52">
        <f t="shared" si="96"/>
        <v>0</v>
      </c>
      <c r="BT146" s="61">
        <f t="shared" si="97"/>
        <v>0</v>
      </c>
      <c r="BU146" s="64">
        <f t="shared" si="98"/>
        <v>0</v>
      </c>
      <c r="BV146" s="119">
        <f>SUM(Tableau1[[#This Row],[Achats confiserie]:[Achats boisson]])</f>
        <v>0</v>
      </c>
      <c r="BW146" s="58"/>
      <c r="BX146" s="69"/>
      <c r="BY146" s="58"/>
      <c r="BZ146" s="56">
        <f t="shared" si="99"/>
        <v>0</v>
      </c>
      <c r="CA146" s="66"/>
      <c r="CB146" s="66"/>
      <c r="CC146" s="56">
        <f t="shared" si="100"/>
        <v>0</v>
      </c>
      <c r="CD146" s="55"/>
      <c r="CE146" s="65"/>
      <c r="CF146" s="55"/>
      <c r="CG146" s="55"/>
      <c r="CH146" s="67">
        <f t="shared" si="101"/>
        <v>0</v>
      </c>
      <c r="CI146" s="68">
        <f t="shared" si="78"/>
        <v>0</v>
      </c>
      <c r="CJ146" s="55"/>
      <c r="CK146" s="55"/>
      <c r="CL146" s="55"/>
      <c r="CM146" s="55"/>
      <c r="CN146" s="55"/>
      <c r="CO146" s="68">
        <f t="shared" si="102"/>
        <v>0</v>
      </c>
      <c r="CP146" s="75">
        <f>SUM(Tableau1[[#This Row],[Fourniture eau]:[Energie (non précisé)]])</f>
        <v>0</v>
      </c>
      <c r="CQ146" s="55"/>
      <c r="CR146" s="55"/>
      <c r="CS146" s="55"/>
      <c r="CT146" s="55"/>
      <c r="CU146" s="55"/>
      <c r="CV146" s="55">
        <v>0</v>
      </c>
      <c r="CW146" s="55"/>
      <c r="CX146" s="68">
        <f>SUM(Tableau1[[#This Row],[Sous-traitance]:[Autres ou non précisé 12]])</f>
        <v>0</v>
      </c>
      <c r="CY146" s="65"/>
      <c r="CZ146" s="65"/>
      <c r="DA146" s="65"/>
      <c r="DB146" s="65"/>
      <c r="DC146" s="55"/>
      <c r="DD146" s="68">
        <f t="shared" si="83"/>
        <v>0</v>
      </c>
      <c r="DE146" s="55"/>
      <c r="DF146" s="65"/>
      <c r="DG146" s="65"/>
      <c r="DH146" s="65"/>
      <c r="DI146" s="68">
        <f>SUM(Tableau1[[#This Row],[Entretien et réparation matériel de projection]:[Autres ou non précisé 14]])</f>
        <v>0</v>
      </c>
      <c r="DJ146" s="58"/>
      <c r="DK146" s="58"/>
      <c r="DL146" s="69"/>
      <c r="DM146" s="68">
        <f t="shared" si="103"/>
        <v>0</v>
      </c>
      <c r="DN146" s="58"/>
      <c r="DO146" s="58"/>
      <c r="DP146" s="68">
        <f t="shared" si="104"/>
        <v>0</v>
      </c>
      <c r="DQ146" s="65"/>
      <c r="DR146" s="65"/>
      <c r="DS146" s="68">
        <f t="shared" si="105"/>
        <v>0</v>
      </c>
      <c r="DT146" s="65"/>
      <c r="DU146" s="65"/>
      <c r="DV146" s="65"/>
      <c r="DW146" s="68">
        <f>SUM(Tableau1[[#This Row],[Comission et courtage sur achats]:[Autres ou honoraires
 non précisé ]])</f>
        <v>0</v>
      </c>
      <c r="DX146" s="57"/>
      <c r="DY146" s="57"/>
      <c r="DZ146" s="65"/>
      <c r="EA146" s="65"/>
      <c r="EB146" s="65"/>
      <c r="EC146" s="68">
        <f t="shared" si="106"/>
        <v>0</v>
      </c>
      <c r="ED146" s="69"/>
      <c r="EE146" s="69"/>
      <c r="EF146" s="69"/>
      <c r="EG146" s="69"/>
      <c r="EH146" s="69"/>
      <c r="EI146" s="84">
        <f>SUM(Tableau1[[#This Row],[Transports sur films]:[autres ]])</f>
        <v>0</v>
      </c>
      <c r="EJ146" s="132">
        <v>0</v>
      </c>
      <c r="EK146" s="132"/>
      <c r="EL146" s="68">
        <f t="shared" si="107"/>
        <v>0</v>
      </c>
      <c r="EM146" s="65"/>
      <c r="EN146" s="65">
        <v>0</v>
      </c>
      <c r="EO146" s="65"/>
      <c r="EP146" s="65"/>
      <c r="EQ146" s="65"/>
      <c r="ER146" s="65"/>
      <c r="ES146" s="65"/>
      <c r="ET146" s="68">
        <f t="shared" si="108"/>
        <v>0</v>
      </c>
      <c r="EU146" s="65"/>
      <c r="EV146" s="65"/>
      <c r="EW146" s="65"/>
      <c r="EX146" s="65"/>
      <c r="EY146" s="65"/>
      <c r="EZ146" s="68">
        <f t="shared" si="85"/>
        <v>0</v>
      </c>
      <c r="FA146" s="65"/>
      <c r="FB146" s="65"/>
      <c r="FC146" s="70">
        <f t="shared" si="84"/>
        <v>0</v>
      </c>
      <c r="FD146" s="65"/>
      <c r="FE146" s="71">
        <f t="shared" si="109"/>
        <v>0</v>
      </c>
      <c r="FF146" s="72">
        <f t="shared" si="110"/>
        <v>0</v>
      </c>
      <c r="FG146" s="65"/>
      <c r="FH146" s="65"/>
      <c r="FI146" s="65"/>
      <c r="FJ146" s="56">
        <f t="shared" si="111"/>
        <v>0</v>
      </c>
      <c r="FK146" s="65"/>
      <c r="FL146" s="65"/>
      <c r="FM146" s="65"/>
      <c r="FN146" s="65"/>
      <c r="FO146" s="67">
        <f t="shared" si="112"/>
        <v>0</v>
      </c>
      <c r="FP146" s="57"/>
      <c r="FQ146" s="73"/>
      <c r="FR146" s="73"/>
      <c r="FS146" s="71">
        <f t="shared" si="113"/>
        <v>0</v>
      </c>
      <c r="FT146" s="91"/>
      <c r="FU146" s="91"/>
      <c r="FV146" s="67">
        <f>SUM(Tableau1[[#This Row],[Droits d''auteurs SACEM + cotisations SACEM]:[Autres ou non préciés]])</f>
        <v>0</v>
      </c>
      <c r="FW146" s="75">
        <f t="shared" si="114"/>
        <v>0</v>
      </c>
      <c r="FX146" s="74">
        <v>0</v>
      </c>
      <c r="FY146" s="74"/>
      <c r="FZ146" s="74"/>
      <c r="GA146" s="74"/>
      <c r="GB146" s="71">
        <f t="shared" si="115"/>
        <v>0</v>
      </c>
      <c r="GC146" s="92"/>
      <c r="GD146" s="92"/>
      <c r="GE146" s="67">
        <f t="shared" si="116"/>
        <v>0</v>
      </c>
      <c r="GF146" s="66"/>
      <c r="GG146" s="66"/>
      <c r="GH146" s="66"/>
      <c r="GI146" s="66"/>
      <c r="GJ146" s="77"/>
    </row>
    <row r="147" spans="1:192" ht="18.600000000000001" customHeight="1" x14ac:dyDescent="0.25">
      <c r="A147" s="89"/>
      <c r="B147" s="17"/>
      <c r="C147" s="50"/>
      <c r="D147" s="140"/>
      <c r="E147" s="51"/>
      <c r="F147" s="139">
        <f t="shared" si="81"/>
        <v>1</v>
      </c>
      <c r="G147" s="49"/>
      <c r="H147" s="50"/>
      <c r="I147" s="122"/>
      <c r="J147" s="49"/>
      <c r="K147" s="50"/>
      <c r="L147" s="50"/>
      <c r="M147" s="90"/>
      <c r="N147" s="50"/>
      <c r="O147" s="50"/>
      <c r="P147" s="90"/>
      <c r="Q147" s="52">
        <f t="shared" si="86"/>
        <v>0</v>
      </c>
      <c r="R147" s="52">
        <f t="shared" si="87"/>
        <v>0</v>
      </c>
      <c r="S147" s="53">
        <f t="shared" si="88"/>
        <v>0</v>
      </c>
      <c r="T147" s="54">
        <f t="shared" si="89"/>
        <v>0</v>
      </c>
      <c r="U147" s="115">
        <f>SUM(Tableau1[[#This Row],[Vente confiserie]:[Vente boisson]])</f>
        <v>0</v>
      </c>
      <c r="V147" s="55"/>
      <c r="W147" s="55"/>
      <c r="X147" s="135">
        <f>SUM(Tableau1[[#This Row],[Vente lunette]:[Location lunette]])</f>
        <v>0</v>
      </c>
      <c r="Y147" s="55"/>
      <c r="Z147" s="55"/>
      <c r="AA147" s="55"/>
      <c r="AB147" s="55"/>
      <c r="AC147" s="56">
        <f t="shared" si="79"/>
        <v>0</v>
      </c>
      <c r="AD147" s="57"/>
      <c r="AE147" s="57"/>
      <c r="AF147" s="57"/>
      <c r="AG147" s="57"/>
      <c r="AH147" s="57"/>
      <c r="AI147" s="57"/>
      <c r="AJ147" s="118">
        <f>(Tableau1[[#This Row],[Recette guichet ]]*1.1275177)-Tableau1[[#This Row],[Recette guichet ]]</f>
        <v>0</v>
      </c>
      <c r="AK147" s="57"/>
      <c r="AL147" s="56">
        <f t="shared" si="80"/>
        <v>0</v>
      </c>
      <c r="AM147" s="58"/>
      <c r="AN147" s="58"/>
      <c r="AO147" s="58"/>
      <c r="AP147" s="115">
        <f t="shared" si="90"/>
        <v>0</v>
      </c>
      <c r="AQ147" s="69"/>
      <c r="AR147" s="69"/>
      <c r="AS147" s="69"/>
      <c r="AT147" s="69"/>
      <c r="AU147" s="59">
        <f t="shared" si="91"/>
        <v>0</v>
      </c>
      <c r="AV147" s="60">
        <f t="shared" si="92"/>
        <v>0</v>
      </c>
      <c r="AW147" s="58"/>
      <c r="AX147" s="58"/>
      <c r="AY147" s="58"/>
      <c r="AZ147" s="60">
        <f t="shared" si="82"/>
        <v>0</v>
      </c>
      <c r="BA147" s="58"/>
      <c r="BB147" s="58"/>
      <c r="BC147" s="58"/>
      <c r="BD147" s="60">
        <f>SUM(Tableau1[[#This Row],[ticket/carte/abonnement périmé]:[Autres ou non précisé 5]])</f>
        <v>0</v>
      </c>
      <c r="BE147" s="58"/>
      <c r="BF147" s="58"/>
      <c r="BG147" s="58"/>
      <c r="BH147" s="61">
        <f t="shared" si="93"/>
        <v>0</v>
      </c>
      <c r="BI147" s="120"/>
      <c r="BJ147" s="120"/>
      <c r="BK147" s="62">
        <f t="shared" si="94"/>
        <v>0</v>
      </c>
      <c r="BL147" s="120"/>
      <c r="BM147" s="120"/>
      <c r="BN147" s="120"/>
      <c r="BO147" s="120"/>
      <c r="BP147" s="120"/>
      <c r="BQ147" s="63"/>
      <c r="BR147" s="52">
        <f t="shared" si="95"/>
        <v>0</v>
      </c>
      <c r="BS147" s="52">
        <f t="shared" si="96"/>
        <v>0</v>
      </c>
      <c r="BT147" s="61">
        <f t="shared" si="97"/>
        <v>0</v>
      </c>
      <c r="BU147" s="64">
        <f t="shared" si="98"/>
        <v>0</v>
      </c>
      <c r="BV147" s="119">
        <f>SUM(Tableau1[[#This Row],[Achats confiserie]:[Achats boisson]])</f>
        <v>0</v>
      </c>
      <c r="BW147" s="58"/>
      <c r="BX147" s="69"/>
      <c r="BY147" s="58"/>
      <c r="BZ147" s="56">
        <f t="shared" si="99"/>
        <v>0</v>
      </c>
      <c r="CA147" s="66"/>
      <c r="CB147" s="66"/>
      <c r="CC147" s="56">
        <f t="shared" si="100"/>
        <v>0</v>
      </c>
      <c r="CD147" s="55"/>
      <c r="CE147" s="65"/>
      <c r="CF147" s="55"/>
      <c r="CG147" s="55"/>
      <c r="CH147" s="67">
        <f t="shared" si="101"/>
        <v>0</v>
      </c>
      <c r="CI147" s="68">
        <f t="shared" ref="CI147:CI210" si="117">SUM(CJ147:CN147)</f>
        <v>0</v>
      </c>
      <c r="CJ147" s="55"/>
      <c r="CK147" s="55"/>
      <c r="CL147" s="55"/>
      <c r="CM147" s="55"/>
      <c r="CN147" s="55"/>
      <c r="CO147" s="68">
        <f t="shared" si="102"/>
        <v>0</v>
      </c>
      <c r="CP147" s="75">
        <f>SUM(Tableau1[[#This Row],[Fourniture eau]:[Energie (non précisé)]])</f>
        <v>0</v>
      </c>
      <c r="CQ147" s="55"/>
      <c r="CR147" s="55"/>
      <c r="CS147" s="55"/>
      <c r="CT147" s="55"/>
      <c r="CU147" s="55"/>
      <c r="CV147" s="55">
        <v>0</v>
      </c>
      <c r="CW147" s="55"/>
      <c r="CX147" s="68">
        <f>SUM(Tableau1[[#This Row],[Sous-traitance]:[Autres ou non précisé 12]])</f>
        <v>0</v>
      </c>
      <c r="CY147" s="65"/>
      <c r="CZ147" s="65"/>
      <c r="DA147" s="65"/>
      <c r="DB147" s="65"/>
      <c r="DC147" s="55"/>
      <c r="DD147" s="68">
        <f t="shared" si="83"/>
        <v>0</v>
      </c>
      <c r="DE147" s="55"/>
      <c r="DF147" s="65"/>
      <c r="DG147" s="65"/>
      <c r="DH147" s="65"/>
      <c r="DI147" s="68">
        <f>SUM(Tableau1[[#This Row],[Entretien et réparation matériel de projection]:[Autres ou non précisé 14]])</f>
        <v>0</v>
      </c>
      <c r="DJ147" s="58"/>
      <c r="DK147" s="58"/>
      <c r="DL147" s="69"/>
      <c r="DM147" s="68">
        <f t="shared" si="103"/>
        <v>0</v>
      </c>
      <c r="DN147" s="58"/>
      <c r="DO147" s="58"/>
      <c r="DP147" s="68">
        <f t="shared" si="104"/>
        <v>0</v>
      </c>
      <c r="DQ147" s="65"/>
      <c r="DR147" s="65"/>
      <c r="DS147" s="68">
        <f t="shared" si="105"/>
        <v>0</v>
      </c>
      <c r="DT147" s="65"/>
      <c r="DU147" s="65"/>
      <c r="DV147" s="65"/>
      <c r="DW147" s="68">
        <f>SUM(Tableau1[[#This Row],[Comission et courtage sur achats]:[Autres ou honoraires
 non précisé ]])</f>
        <v>0</v>
      </c>
      <c r="DX147" s="57"/>
      <c r="DY147" s="57"/>
      <c r="DZ147" s="65"/>
      <c r="EA147" s="65"/>
      <c r="EB147" s="65"/>
      <c r="EC147" s="68">
        <f t="shared" si="106"/>
        <v>0</v>
      </c>
      <c r="ED147" s="69"/>
      <c r="EE147" s="69"/>
      <c r="EF147" s="69"/>
      <c r="EG147" s="69"/>
      <c r="EH147" s="69"/>
      <c r="EI147" s="84">
        <f>SUM(Tableau1[[#This Row],[Transports sur films]:[autres ]])</f>
        <v>0</v>
      </c>
      <c r="EJ147" s="132">
        <v>0</v>
      </c>
      <c r="EK147" s="132"/>
      <c r="EL147" s="68">
        <f t="shared" si="107"/>
        <v>0</v>
      </c>
      <c r="EM147" s="65"/>
      <c r="EN147" s="65">
        <v>0</v>
      </c>
      <c r="EO147" s="65"/>
      <c r="EP147" s="65"/>
      <c r="EQ147" s="65"/>
      <c r="ER147" s="65"/>
      <c r="ES147" s="65"/>
      <c r="ET147" s="68">
        <f t="shared" si="108"/>
        <v>0</v>
      </c>
      <c r="EU147" s="65"/>
      <c r="EV147" s="65"/>
      <c r="EW147" s="65"/>
      <c r="EX147" s="65"/>
      <c r="EY147" s="65"/>
      <c r="EZ147" s="68">
        <f t="shared" si="85"/>
        <v>0</v>
      </c>
      <c r="FA147" s="65"/>
      <c r="FB147" s="65"/>
      <c r="FC147" s="70">
        <f t="shared" si="84"/>
        <v>0</v>
      </c>
      <c r="FD147" s="65"/>
      <c r="FE147" s="71">
        <f t="shared" si="109"/>
        <v>0</v>
      </c>
      <c r="FF147" s="72">
        <f t="shared" si="110"/>
        <v>0</v>
      </c>
      <c r="FG147" s="65"/>
      <c r="FH147" s="65"/>
      <c r="FI147" s="65"/>
      <c r="FJ147" s="56">
        <f t="shared" si="111"/>
        <v>0</v>
      </c>
      <c r="FK147" s="65"/>
      <c r="FL147" s="65"/>
      <c r="FM147" s="65"/>
      <c r="FN147" s="65"/>
      <c r="FO147" s="67">
        <f t="shared" si="112"/>
        <v>0</v>
      </c>
      <c r="FP147" s="57"/>
      <c r="FQ147" s="73"/>
      <c r="FR147" s="73"/>
      <c r="FS147" s="71">
        <f t="shared" si="113"/>
        <v>0</v>
      </c>
      <c r="FT147" s="91"/>
      <c r="FU147" s="91"/>
      <c r="FV147" s="67">
        <f>SUM(Tableau1[[#This Row],[Droits d''auteurs SACEM + cotisations SACEM]:[Autres ou non préciés]])</f>
        <v>0</v>
      </c>
      <c r="FW147" s="75">
        <f t="shared" si="114"/>
        <v>0</v>
      </c>
      <c r="FX147" s="74">
        <v>0</v>
      </c>
      <c r="FY147" s="74"/>
      <c r="FZ147" s="74"/>
      <c r="GA147" s="74"/>
      <c r="GB147" s="71">
        <f t="shared" si="115"/>
        <v>0</v>
      </c>
      <c r="GC147" s="92"/>
      <c r="GD147" s="92"/>
      <c r="GE147" s="67">
        <f t="shared" si="116"/>
        <v>0</v>
      </c>
      <c r="GF147" s="66"/>
      <c r="GG147" s="66"/>
      <c r="GH147" s="66"/>
      <c r="GI147" s="66"/>
      <c r="GJ147" s="77"/>
    </row>
    <row r="148" spans="1:192" ht="18.600000000000001" customHeight="1" x14ac:dyDescent="0.25">
      <c r="A148" s="89"/>
      <c r="B148" s="17"/>
      <c r="C148" s="50"/>
      <c r="D148" s="140"/>
      <c r="E148" s="51"/>
      <c r="F148" s="139">
        <f t="shared" si="81"/>
        <v>1</v>
      </c>
      <c r="G148" s="49"/>
      <c r="H148" s="50"/>
      <c r="I148" s="122"/>
      <c r="J148" s="49"/>
      <c r="K148" s="50"/>
      <c r="L148" s="50"/>
      <c r="M148" s="90"/>
      <c r="N148" s="50"/>
      <c r="O148" s="50"/>
      <c r="P148" s="90"/>
      <c r="Q148" s="52">
        <f t="shared" si="86"/>
        <v>0</v>
      </c>
      <c r="R148" s="52">
        <f t="shared" si="87"/>
        <v>0</v>
      </c>
      <c r="S148" s="53">
        <f t="shared" si="88"/>
        <v>0</v>
      </c>
      <c r="T148" s="54">
        <f t="shared" si="89"/>
        <v>0</v>
      </c>
      <c r="U148" s="115">
        <f>SUM(Tableau1[[#This Row],[Vente confiserie]:[Vente boisson]])</f>
        <v>0</v>
      </c>
      <c r="V148" s="55"/>
      <c r="W148" s="55"/>
      <c r="X148" s="135">
        <f>SUM(Tableau1[[#This Row],[Vente lunette]:[Location lunette]])</f>
        <v>0</v>
      </c>
      <c r="Y148" s="55"/>
      <c r="Z148" s="55"/>
      <c r="AA148" s="55"/>
      <c r="AB148" s="55"/>
      <c r="AC148" s="56">
        <f t="shared" si="79"/>
        <v>0</v>
      </c>
      <c r="AD148" s="57"/>
      <c r="AE148" s="57"/>
      <c r="AF148" s="57"/>
      <c r="AG148" s="57"/>
      <c r="AH148" s="57"/>
      <c r="AI148" s="57"/>
      <c r="AJ148" s="118">
        <f>(Tableau1[[#This Row],[Recette guichet ]]*1.1275177)-Tableau1[[#This Row],[Recette guichet ]]</f>
        <v>0</v>
      </c>
      <c r="AK148" s="57"/>
      <c r="AL148" s="56">
        <f t="shared" si="80"/>
        <v>0</v>
      </c>
      <c r="AM148" s="58"/>
      <c r="AN148" s="58"/>
      <c r="AO148" s="58"/>
      <c r="AP148" s="115">
        <f t="shared" si="90"/>
        <v>0</v>
      </c>
      <c r="AQ148" s="69"/>
      <c r="AR148" s="69"/>
      <c r="AS148" s="69"/>
      <c r="AT148" s="69"/>
      <c r="AU148" s="59">
        <f t="shared" si="91"/>
        <v>0</v>
      </c>
      <c r="AV148" s="60">
        <f t="shared" si="92"/>
        <v>0</v>
      </c>
      <c r="AW148" s="58"/>
      <c r="AX148" s="58"/>
      <c r="AY148" s="58"/>
      <c r="AZ148" s="60">
        <f t="shared" si="82"/>
        <v>0</v>
      </c>
      <c r="BA148" s="58"/>
      <c r="BB148" s="58"/>
      <c r="BC148" s="58"/>
      <c r="BD148" s="60">
        <f>SUM(Tableau1[[#This Row],[ticket/carte/abonnement périmé]:[Autres ou non précisé 5]])</f>
        <v>0</v>
      </c>
      <c r="BE148" s="58"/>
      <c r="BF148" s="58"/>
      <c r="BG148" s="58"/>
      <c r="BH148" s="61">
        <f t="shared" si="93"/>
        <v>0</v>
      </c>
      <c r="BI148" s="120"/>
      <c r="BJ148" s="120"/>
      <c r="BK148" s="62">
        <f t="shared" si="94"/>
        <v>0</v>
      </c>
      <c r="BL148" s="120"/>
      <c r="BM148" s="120"/>
      <c r="BN148" s="120"/>
      <c r="BO148" s="120"/>
      <c r="BP148" s="120"/>
      <c r="BQ148" s="63"/>
      <c r="BR148" s="52">
        <f t="shared" si="95"/>
        <v>0</v>
      </c>
      <c r="BS148" s="52">
        <f t="shared" si="96"/>
        <v>0</v>
      </c>
      <c r="BT148" s="61">
        <f t="shared" si="97"/>
        <v>0</v>
      </c>
      <c r="BU148" s="64">
        <f t="shared" si="98"/>
        <v>0</v>
      </c>
      <c r="BV148" s="119">
        <f>SUM(Tableau1[[#This Row],[Achats confiserie]:[Achats boisson]])</f>
        <v>0</v>
      </c>
      <c r="BW148" s="58"/>
      <c r="BX148" s="69"/>
      <c r="BY148" s="58"/>
      <c r="BZ148" s="56">
        <f t="shared" si="99"/>
        <v>0</v>
      </c>
      <c r="CA148" s="66"/>
      <c r="CB148" s="66"/>
      <c r="CC148" s="56">
        <f t="shared" si="100"/>
        <v>0</v>
      </c>
      <c r="CD148" s="55"/>
      <c r="CE148" s="65"/>
      <c r="CF148" s="55"/>
      <c r="CG148" s="55"/>
      <c r="CH148" s="67">
        <f t="shared" si="101"/>
        <v>0</v>
      </c>
      <c r="CI148" s="68">
        <f t="shared" si="117"/>
        <v>0</v>
      </c>
      <c r="CJ148" s="55"/>
      <c r="CK148" s="55"/>
      <c r="CL148" s="55"/>
      <c r="CM148" s="55"/>
      <c r="CN148" s="55"/>
      <c r="CO148" s="68">
        <f t="shared" si="102"/>
        <v>0</v>
      </c>
      <c r="CP148" s="75">
        <f>SUM(Tableau1[[#This Row],[Fourniture eau]:[Energie (non précisé)]])</f>
        <v>0</v>
      </c>
      <c r="CQ148" s="55"/>
      <c r="CR148" s="55"/>
      <c r="CS148" s="55"/>
      <c r="CT148" s="55"/>
      <c r="CU148" s="55"/>
      <c r="CV148" s="55">
        <v>0</v>
      </c>
      <c r="CW148" s="55"/>
      <c r="CX148" s="68">
        <f>SUM(Tableau1[[#This Row],[Sous-traitance]:[Autres ou non précisé 12]])</f>
        <v>0</v>
      </c>
      <c r="CY148" s="65"/>
      <c r="CZ148" s="65"/>
      <c r="DA148" s="65"/>
      <c r="DB148" s="65"/>
      <c r="DC148" s="55"/>
      <c r="DD148" s="68">
        <f t="shared" si="83"/>
        <v>0</v>
      </c>
      <c r="DE148" s="55"/>
      <c r="DF148" s="65"/>
      <c r="DG148" s="65"/>
      <c r="DH148" s="65"/>
      <c r="DI148" s="68">
        <f>SUM(Tableau1[[#This Row],[Entretien et réparation matériel de projection]:[Autres ou non précisé 14]])</f>
        <v>0</v>
      </c>
      <c r="DJ148" s="58"/>
      <c r="DK148" s="58"/>
      <c r="DL148" s="69"/>
      <c r="DM148" s="68">
        <f t="shared" si="103"/>
        <v>0</v>
      </c>
      <c r="DN148" s="58"/>
      <c r="DO148" s="58"/>
      <c r="DP148" s="68">
        <f t="shared" si="104"/>
        <v>0</v>
      </c>
      <c r="DQ148" s="65"/>
      <c r="DR148" s="65"/>
      <c r="DS148" s="68">
        <f t="shared" si="105"/>
        <v>0</v>
      </c>
      <c r="DT148" s="65"/>
      <c r="DU148" s="65"/>
      <c r="DV148" s="65"/>
      <c r="DW148" s="68">
        <f>SUM(Tableau1[[#This Row],[Comission et courtage sur achats]:[Autres ou honoraires
 non précisé ]])</f>
        <v>0</v>
      </c>
      <c r="DX148" s="57"/>
      <c r="DY148" s="57"/>
      <c r="DZ148" s="65"/>
      <c r="EA148" s="65"/>
      <c r="EB148" s="65"/>
      <c r="EC148" s="68">
        <f t="shared" si="106"/>
        <v>0</v>
      </c>
      <c r="ED148" s="69"/>
      <c r="EE148" s="69"/>
      <c r="EF148" s="69"/>
      <c r="EG148" s="69"/>
      <c r="EH148" s="69"/>
      <c r="EI148" s="84">
        <f>SUM(Tableau1[[#This Row],[Transports sur films]:[autres ]])</f>
        <v>0</v>
      </c>
      <c r="EJ148" s="132">
        <v>0</v>
      </c>
      <c r="EK148" s="132"/>
      <c r="EL148" s="68">
        <f t="shared" si="107"/>
        <v>0</v>
      </c>
      <c r="EM148" s="65"/>
      <c r="EN148" s="65">
        <v>0</v>
      </c>
      <c r="EO148" s="65"/>
      <c r="EP148" s="65"/>
      <c r="EQ148" s="65"/>
      <c r="ER148" s="65"/>
      <c r="ES148" s="65"/>
      <c r="ET148" s="68">
        <f t="shared" si="108"/>
        <v>0</v>
      </c>
      <c r="EU148" s="65"/>
      <c r="EV148" s="65"/>
      <c r="EW148" s="65"/>
      <c r="EX148" s="65"/>
      <c r="EY148" s="65"/>
      <c r="EZ148" s="68">
        <f t="shared" si="85"/>
        <v>0</v>
      </c>
      <c r="FA148" s="65"/>
      <c r="FB148" s="65"/>
      <c r="FC148" s="70">
        <f t="shared" si="84"/>
        <v>0</v>
      </c>
      <c r="FD148" s="65"/>
      <c r="FE148" s="71">
        <f t="shared" si="109"/>
        <v>0</v>
      </c>
      <c r="FF148" s="72">
        <f t="shared" si="110"/>
        <v>0</v>
      </c>
      <c r="FG148" s="65"/>
      <c r="FH148" s="65"/>
      <c r="FI148" s="65"/>
      <c r="FJ148" s="56">
        <f t="shared" si="111"/>
        <v>0</v>
      </c>
      <c r="FK148" s="65"/>
      <c r="FL148" s="65"/>
      <c r="FM148" s="65"/>
      <c r="FN148" s="65"/>
      <c r="FO148" s="67">
        <f t="shared" si="112"/>
        <v>0</v>
      </c>
      <c r="FP148" s="57"/>
      <c r="FQ148" s="73"/>
      <c r="FR148" s="73"/>
      <c r="FS148" s="71">
        <f t="shared" si="113"/>
        <v>0</v>
      </c>
      <c r="FT148" s="91"/>
      <c r="FU148" s="91"/>
      <c r="FV148" s="67">
        <f>SUM(Tableau1[[#This Row],[Droits d''auteurs SACEM + cotisations SACEM]:[Autres ou non préciés]])</f>
        <v>0</v>
      </c>
      <c r="FW148" s="75">
        <f t="shared" si="114"/>
        <v>0</v>
      </c>
      <c r="FX148" s="74">
        <v>0</v>
      </c>
      <c r="FY148" s="74"/>
      <c r="FZ148" s="74"/>
      <c r="GA148" s="74"/>
      <c r="GB148" s="71">
        <f t="shared" si="115"/>
        <v>0</v>
      </c>
      <c r="GC148" s="92"/>
      <c r="GD148" s="92"/>
      <c r="GE148" s="67">
        <f t="shared" si="116"/>
        <v>0</v>
      </c>
      <c r="GF148" s="66"/>
      <c r="GG148" s="66"/>
      <c r="GH148" s="66"/>
      <c r="GI148" s="66"/>
      <c r="GJ148" s="77"/>
    </row>
    <row r="149" spans="1:192" ht="18.600000000000001" customHeight="1" x14ac:dyDescent="0.25">
      <c r="A149" s="89"/>
      <c r="B149" s="17"/>
      <c r="C149" s="50"/>
      <c r="D149" s="140"/>
      <c r="E149" s="51"/>
      <c r="F149" s="139">
        <f t="shared" si="81"/>
        <v>1</v>
      </c>
      <c r="G149" s="49"/>
      <c r="H149" s="50"/>
      <c r="I149" s="122"/>
      <c r="J149" s="49"/>
      <c r="K149" s="50"/>
      <c r="L149" s="50"/>
      <c r="M149" s="90"/>
      <c r="N149" s="50"/>
      <c r="O149" s="50"/>
      <c r="P149" s="90"/>
      <c r="Q149" s="52">
        <f t="shared" si="86"/>
        <v>0</v>
      </c>
      <c r="R149" s="52">
        <f t="shared" si="87"/>
        <v>0</v>
      </c>
      <c r="S149" s="53">
        <f t="shared" si="88"/>
        <v>0</v>
      </c>
      <c r="T149" s="54">
        <f t="shared" si="89"/>
        <v>0</v>
      </c>
      <c r="U149" s="115">
        <f>SUM(Tableau1[[#This Row],[Vente confiserie]:[Vente boisson]])</f>
        <v>0</v>
      </c>
      <c r="V149" s="55"/>
      <c r="W149" s="55"/>
      <c r="X149" s="135">
        <f>SUM(Tableau1[[#This Row],[Vente lunette]:[Location lunette]])</f>
        <v>0</v>
      </c>
      <c r="Y149" s="55"/>
      <c r="Z149" s="55"/>
      <c r="AA149" s="55"/>
      <c r="AB149" s="55"/>
      <c r="AC149" s="56">
        <f t="shared" ref="AC149:AC212" si="118">SUM(AD149:AI149,AK149)</f>
        <v>0</v>
      </c>
      <c r="AD149" s="57"/>
      <c r="AE149" s="57"/>
      <c r="AF149" s="57"/>
      <c r="AG149" s="57"/>
      <c r="AH149" s="57"/>
      <c r="AI149" s="57"/>
      <c r="AJ149" s="118">
        <f>(Tableau1[[#This Row],[Recette guichet ]]*1.1275177)-Tableau1[[#This Row],[Recette guichet ]]</f>
        <v>0</v>
      </c>
      <c r="AK149" s="57"/>
      <c r="AL149" s="56">
        <f t="shared" si="80"/>
        <v>0</v>
      </c>
      <c r="AM149" s="58"/>
      <c r="AN149" s="58"/>
      <c r="AO149" s="58"/>
      <c r="AP149" s="115">
        <f t="shared" si="90"/>
        <v>0</v>
      </c>
      <c r="AQ149" s="69"/>
      <c r="AR149" s="69"/>
      <c r="AS149" s="69"/>
      <c r="AT149" s="69"/>
      <c r="AU149" s="59">
        <f t="shared" si="91"/>
        <v>0</v>
      </c>
      <c r="AV149" s="60">
        <f t="shared" si="92"/>
        <v>0</v>
      </c>
      <c r="AW149" s="58"/>
      <c r="AX149" s="58"/>
      <c r="AY149" s="58"/>
      <c r="AZ149" s="60">
        <f t="shared" si="82"/>
        <v>0</v>
      </c>
      <c r="BA149" s="58"/>
      <c r="BB149" s="58"/>
      <c r="BC149" s="58"/>
      <c r="BD149" s="60">
        <f>SUM(Tableau1[[#This Row],[ticket/carte/abonnement périmé]:[Autres ou non précisé 5]])</f>
        <v>0</v>
      </c>
      <c r="BE149" s="58"/>
      <c r="BF149" s="58"/>
      <c r="BG149" s="58"/>
      <c r="BH149" s="61">
        <f t="shared" si="93"/>
        <v>0</v>
      </c>
      <c r="BI149" s="120"/>
      <c r="BJ149" s="120"/>
      <c r="BK149" s="62">
        <f t="shared" si="94"/>
        <v>0</v>
      </c>
      <c r="BL149" s="120"/>
      <c r="BM149" s="120"/>
      <c r="BN149" s="120"/>
      <c r="BO149" s="120"/>
      <c r="BP149" s="120"/>
      <c r="BQ149" s="63"/>
      <c r="BR149" s="52">
        <f t="shared" si="95"/>
        <v>0</v>
      </c>
      <c r="BS149" s="52">
        <f t="shared" si="96"/>
        <v>0</v>
      </c>
      <c r="BT149" s="61">
        <f t="shared" si="97"/>
        <v>0</v>
      </c>
      <c r="BU149" s="64">
        <f t="shared" si="98"/>
        <v>0</v>
      </c>
      <c r="BV149" s="119">
        <f>SUM(Tableau1[[#This Row],[Achats confiserie]:[Achats boisson]])</f>
        <v>0</v>
      </c>
      <c r="BW149" s="58"/>
      <c r="BX149" s="69"/>
      <c r="BY149" s="58"/>
      <c r="BZ149" s="56">
        <f t="shared" si="99"/>
        <v>0</v>
      </c>
      <c r="CA149" s="66"/>
      <c r="CB149" s="66"/>
      <c r="CC149" s="56">
        <f t="shared" si="100"/>
        <v>0</v>
      </c>
      <c r="CD149" s="55"/>
      <c r="CE149" s="65"/>
      <c r="CF149" s="55"/>
      <c r="CG149" s="55"/>
      <c r="CH149" s="67">
        <f t="shared" si="101"/>
        <v>0</v>
      </c>
      <c r="CI149" s="68">
        <f t="shared" si="117"/>
        <v>0</v>
      </c>
      <c r="CJ149" s="55"/>
      <c r="CK149" s="55"/>
      <c r="CL149" s="55"/>
      <c r="CM149" s="55"/>
      <c r="CN149" s="55"/>
      <c r="CO149" s="68">
        <f t="shared" si="102"/>
        <v>0</v>
      </c>
      <c r="CP149" s="75">
        <f>SUM(Tableau1[[#This Row],[Fourniture eau]:[Energie (non précisé)]])</f>
        <v>0</v>
      </c>
      <c r="CQ149" s="55"/>
      <c r="CR149" s="55"/>
      <c r="CS149" s="55"/>
      <c r="CT149" s="55"/>
      <c r="CU149" s="55"/>
      <c r="CV149" s="55">
        <v>0</v>
      </c>
      <c r="CW149" s="55"/>
      <c r="CX149" s="68">
        <f>SUM(Tableau1[[#This Row],[Sous-traitance]:[Autres ou non précisé 12]])</f>
        <v>0</v>
      </c>
      <c r="CY149" s="65"/>
      <c r="CZ149" s="65"/>
      <c r="DA149" s="65"/>
      <c r="DB149" s="65"/>
      <c r="DC149" s="55"/>
      <c r="DD149" s="68">
        <f t="shared" si="83"/>
        <v>0</v>
      </c>
      <c r="DE149" s="55"/>
      <c r="DF149" s="65"/>
      <c r="DG149" s="65"/>
      <c r="DH149" s="65"/>
      <c r="DI149" s="68">
        <f>SUM(Tableau1[[#This Row],[Entretien et réparation matériel de projection]:[Autres ou non précisé 14]])</f>
        <v>0</v>
      </c>
      <c r="DJ149" s="58"/>
      <c r="DK149" s="58"/>
      <c r="DL149" s="69"/>
      <c r="DM149" s="68">
        <f t="shared" si="103"/>
        <v>0</v>
      </c>
      <c r="DN149" s="58"/>
      <c r="DO149" s="58"/>
      <c r="DP149" s="68">
        <f t="shared" si="104"/>
        <v>0</v>
      </c>
      <c r="DQ149" s="65"/>
      <c r="DR149" s="65"/>
      <c r="DS149" s="68">
        <f t="shared" si="105"/>
        <v>0</v>
      </c>
      <c r="DT149" s="65"/>
      <c r="DU149" s="65"/>
      <c r="DV149" s="65"/>
      <c r="DW149" s="68">
        <f>SUM(Tableau1[[#This Row],[Comission et courtage sur achats]:[Autres ou honoraires
 non précisé ]])</f>
        <v>0</v>
      </c>
      <c r="DX149" s="57"/>
      <c r="DY149" s="57"/>
      <c r="DZ149" s="65"/>
      <c r="EA149" s="65"/>
      <c r="EB149" s="65"/>
      <c r="EC149" s="68">
        <f t="shared" si="106"/>
        <v>0</v>
      </c>
      <c r="ED149" s="69"/>
      <c r="EE149" s="69"/>
      <c r="EF149" s="69"/>
      <c r="EG149" s="69"/>
      <c r="EH149" s="69"/>
      <c r="EI149" s="84">
        <f>SUM(Tableau1[[#This Row],[Transports sur films]:[autres ]])</f>
        <v>0</v>
      </c>
      <c r="EJ149" s="132">
        <v>0</v>
      </c>
      <c r="EK149" s="132"/>
      <c r="EL149" s="68">
        <f t="shared" si="107"/>
        <v>0</v>
      </c>
      <c r="EM149" s="65"/>
      <c r="EN149" s="65">
        <v>0</v>
      </c>
      <c r="EO149" s="65"/>
      <c r="EP149" s="65"/>
      <c r="EQ149" s="65"/>
      <c r="ER149" s="65"/>
      <c r="ES149" s="65"/>
      <c r="ET149" s="68">
        <f t="shared" si="108"/>
        <v>0</v>
      </c>
      <c r="EU149" s="65"/>
      <c r="EV149" s="65"/>
      <c r="EW149" s="65"/>
      <c r="EX149" s="65"/>
      <c r="EY149" s="65"/>
      <c r="EZ149" s="68">
        <f t="shared" si="85"/>
        <v>0</v>
      </c>
      <c r="FA149" s="65"/>
      <c r="FB149" s="65"/>
      <c r="FC149" s="70">
        <f t="shared" si="84"/>
        <v>0</v>
      </c>
      <c r="FD149" s="65"/>
      <c r="FE149" s="71">
        <f t="shared" si="109"/>
        <v>0</v>
      </c>
      <c r="FF149" s="72">
        <f t="shared" si="110"/>
        <v>0</v>
      </c>
      <c r="FG149" s="65"/>
      <c r="FH149" s="65"/>
      <c r="FI149" s="65"/>
      <c r="FJ149" s="56">
        <f t="shared" si="111"/>
        <v>0</v>
      </c>
      <c r="FK149" s="65"/>
      <c r="FL149" s="65"/>
      <c r="FM149" s="65"/>
      <c r="FN149" s="65"/>
      <c r="FO149" s="67">
        <f t="shared" si="112"/>
        <v>0</v>
      </c>
      <c r="FP149" s="57"/>
      <c r="FQ149" s="73"/>
      <c r="FR149" s="73"/>
      <c r="FS149" s="71">
        <f t="shared" si="113"/>
        <v>0</v>
      </c>
      <c r="FT149" s="91"/>
      <c r="FU149" s="91"/>
      <c r="FV149" s="67">
        <f>SUM(Tableau1[[#This Row],[Droits d''auteurs SACEM + cotisations SACEM]:[Autres ou non préciés]])</f>
        <v>0</v>
      </c>
      <c r="FW149" s="75">
        <f t="shared" si="114"/>
        <v>0</v>
      </c>
      <c r="FX149" s="74">
        <v>0</v>
      </c>
      <c r="FY149" s="74"/>
      <c r="FZ149" s="74"/>
      <c r="GA149" s="74"/>
      <c r="GB149" s="71">
        <f t="shared" si="115"/>
        <v>0</v>
      </c>
      <c r="GC149" s="92"/>
      <c r="GD149" s="92"/>
      <c r="GE149" s="67">
        <f t="shared" si="116"/>
        <v>0</v>
      </c>
      <c r="GF149" s="66"/>
      <c r="GG149" s="66"/>
      <c r="GH149" s="66"/>
      <c r="GI149" s="66"/>
      <c r="GJ149" s="77"/>
    </row>
    <row r="150" spans="1:192" ht="18.600000000000001" customHeight="1" x14ac:dyDescent="0.25">
      <c r="A150" s="89"/>
      <c r="B150" s="17"/>
      <c r="C150" s="50"/>
      <c r="D150" s="140"/>
      <c r="E150" s="51"/>
      <c r="F150" s="139">
        <f t="shared" si="81"/>
        <v>1</v>
      </c>
      <c r="G150" s="49"/>
      <c r="H150" s="50"/>
      <c r="I150" s="122"/>
      <c r="J150" s="49"/>
      <c r="K150" s="50"/>
      <c r="L150" s="50"/>
      <c r="M150" s="90"/>
      <c r="N150" s="50"/>
      <c r="O150" s="50"/>
      <c r="P150" s="90"/>
      <c r="Q150" s="52">
        <f t="shared" si="86"/>
        <v>0</v>
      </c>
      <c r="R150" s="52">
        <f t="shared" si="87"/>
        <v>0</v>
      </c>
      <c r="S150" s="53">
        <f t="shared" si="88"/>
        <v>0</v>
      </c>
      <c r="T150" s="54">
        <f t="shared" si="89"/>
        <v>0</v>
      </c>
      <c r="U150" s="115">
        <f>SUM(Tableau1[[#This Row],[Vente confiserie]:[Vente boisson]])</f>
        <v>0</v>
      </c>
      <c r="V150" s="55"/>
      <c r="W150" s="55"/>
      <c r="X150" s="135">
        <f>SUM(Tableau1[[#This Row],[Vente lunette]:[Location lunette]])</f>
        <v>0</v>
      </c>
      <c r="Y150" s="55"/>
      <c r="Z150" s="55"/>
      <c r="AA150" s="55"/>
      <c r="AB150" s="55"/>
      <c r="AC150" s="56">
        <f t="shared" si="118"/>
        <v>0</v>
      </c>
      <c r="AD150" s="57"/>
      <c r="AE150" s="57"/>
      <c r="AF150" s="57"/>
      <c r="AG150" s="57"/>
      <c r="AH150" s="57"/>
      <c r="AI150" s="57"/>
      <c r="AJ150" s="118">
        <f>(Tableau1[[#This Row],[Recette guichet ]]*1.1275177)-Tableau1[[#This Row],[Recette guichet ]]</f>
        <v>0</v>
      </c>
      <c r="AK150" s="57"/>
      <c r="AL150" s="56">
        <f t="shared" si="80"/>
        <v>0</v>
      </c>
      <c r="AM150" s="58"/>
      <c r="AN150" s="58"/>
      <c r="AO150" s="58"/>
      <c r="AP150" s="115">
        <f t="shared" si="90"/>
        <v>0</v>
      </c>
      <c r="AQ150" s="69"/>
      <c r="AR150" s="69"/>
      <c r="AS150" s="69"/>
      <c r="AT150" s="69"/>
      <c r="AU150" s="59">
        <f t="shared" si="91"/>
        <v>0</v>
      </c>
      <c r="AV150" s="60">
        <f t="shared" si="92"/>
        <v>0</v>
      </c>
      <c r="AW150" s="58"/>
      <c r="AX150" s="58"/>
      <c r="AY150" s="58"/>
      <c r="AZ150" s="60">
        <f t="shared" si="82"/>
        <v>0</v>
      </c>
      <c r="BA150" s="58"/>
      <c r="BB150" s="58"/>
      <c r="BC150" s="58"/>
      <c r="BD150" s="60">
        <f>SUM(Tableau1[[#This Row],[ticket/carte/abonnement périmé]:[Autres ou non précisé 5]])</f>
        <v>0</v>
      </c>
      <c r="BE150" s="58"/>
      <c r="BF150" s="58"/>
      <c r="BG150" s="58"/>
      <c r="BH150" s="61">
        <f t="shared" si="93"/>
        <v>0</v>
      </c>
      <c r="BI150" s="120"/>
      <c r="BJ150" s="120"/>
      <c r="BK150" s="62">
        <f t="shared" si="94"/>
        <v>0</v>
      </c>
      <c r="BL150" s="120"/>
      <c r="BM150" s="120"/>
      <c r="BN150" s="120"/>
      <c r="BO150" s="120"/>
      <c r="BP150" s="120"/>
      <c r="BQ150" s="63"/>
      <c r="BR150" s="52">
        <f t="shared" si="95"/>
        <v>0</v>
      </c>
      <c r="BS150" s="52">
        <f t="shared" si="96"/>
        <v>0</v>
      </c>
      <c r="BT150" s="61">
        <f t="shared" si="97"/>
        <v>0</v>
      </c>
      <c r="BU150" s="64">
        <f t="shared" si="98"/>
        <v>0</v>
      </c>
      <c r="BV150" s="119">
        <f>SUM(Tableau1[[#This Row],[Achats confiserie]:[Achats boisson]])</f>
        <v>0</v>
      </c>
      <c r="BW150" s="58"/>
      <c r="BX150" s="69"/>
      <c r="BY150" s="58"/>
      <c r="BZ150" s="56">
        <f t="shared" si="99"/>
        <v>0</v>
      </c>
      <c r="CA150" s="66"/>
      <c r="CB150" s="66"/>
      <c r="CC150" s="56">
        <f t="shared" si="100"/>
        <v>0</v>
      </c>
      <c r="CD150" s="55"/>
      <c r="CE150" s="65"/>
      <c r="CF150" s="55"/>
      <c r="CG150" s="55"/>
      <c r="CH150" s="67">
        <f t="shared" si="101"/>
        <v>0</v>
      </c>
      <c r="CI150" s="68">
        <f t="shared" si="117"/>
        <v>0</v>
      </c>
      <c r="CJ150" s="55"/>
      <c r="CK150" s="55"/>
      <c r="CL150" s="55"/>
      <c r="CM150" s="55"/>
      <c r="CN150" s="55"/>
      <c r="CO150" s="68">
        <f t="shared" si="102"/>
        <v>0</v>
      </c>
      <c r="CP150" s="75">
        <f>SUM(Tableau1[[#This Row],[Fourniture eau]:[Energie (non précisé)]])</f>
        <v>0</v>
      </c>
      <c r="CQ150" s="55"/>
      <c r="CR150" s="55"/>
      <c r="CS150" s="55"/>
      <c r="CT150" s="55"/>
      <c r="CU150" s="55"/>
      <c r="CV150" s="55">
        <v>0</v>
      </c>
      <c r="CW150" s="55"/>
      <c r="CX150" s="68">
        <f>SUM(Tableau1[[#This Row],[Sous-traitance]:[Autres ou non précisé 12]])</f>
        <v>0</v>
      </c>
      <c r="CY150" s="65"/>
      <c r="CZ150" s="65"/>
      <c r="DA150" s="65"/>
      <c r="DB150" s="65"/>
      <c r="DC150" s="55"/>
      <c r="DD150" s="68">
        <f t="shared" si="83"/>
        <v>0</v>
      </c>
      <c r="DE150" s="55"/>
      <c r="DF150" s="65"/>
      <c r="DG150" s="65"/>
      <c r="DH150" s="65"/>
      <c r="DI150" s="68">
        <f>SUM(Tableau1[[#This Row],[Entretien et réparation matériel de projection]:[Autres ou non précisé 14]])</f>
        <v>0</v>
      </c>
      <c r="DJ150" s="58"/>
      <c r="DK150" s="58"/>
      <c r="DL150" s="69"/>
      <c r="DM150" s="68">
        <f t="shared" si="103"/>
        <v>0</v>
      </c>
      <c r="DN150" s="58"/>
      <c r="DO150" s="58"/>
      <c r="DP150" s="68">
        <f t="shared" si="104"/>
        <v>0</v>
      </c>
      <c r="DQ150" s="65"/>
      <c r="DR150" s="65"/>
      <c r="DS150" s="68">
        <f t="shared" si="105"/>
        <v>0</v>
      </c>
      <c r="DT150" s="65"/>
      <c r="DU150" s="65"/>
      <c r="DV150" s="65"/>
      <c r="DW150" s="68">
        <f>SUM(Tableau1[[#This Row],[Comission et courtage sur achats]:[Autres ou honoraires
 non précisé ]])</f>
        <v>0</v>
      </c>
      <c r="DX150" s="57"/>
      <c r="DY150" s="57"/>
      <c r="DZ150" s="65"/>
      <c r="EA150" s="65"/>
      <c r="EB150" s="65"/>
      <c r="EC150" s="68">
        <f t="shared" si="106"/>
        <v>0</v>
      </c>
      <c r="ED150" s="69"/>
      <c r="EE150" s="69"/>
      <c r="EF150" s="69"/>
      <c r="EG150" s="69"/>
      <c r="EH150" s="69"/>
      <c r="EI150" s="84">
        <f>SUM(Tableau1[[#This Row],[Transports sur films]:[autres ]])</f>
        <v>0</v>
      </c>
      <c r="EJ150" s="132">
        <v>0</v>
      </c>
      <c r="EK150" s="132"/>
      <c r="EL150" s="68">
        <f t="shared" si="107"/>
        <v>0</v>
      </c>
      <c r="EM150" s="65"/>
      <c r="EN150" s="65">
        <v>0</v>
      </c>
      <c r="EO150" s="65"/>
      <c r="EP150" s="65"/>
      <c r="EQ150" s="65"/>
      <c r="ER150" s="65"/>
      <c r="ES150" s="65"/>
      <c r="ET150" s="68">
        <f t="shared" si="108"/>
        <v>0</v>
      </c>
      <c r="EU150" s="65"/>
      <c r="EV150" s="65"/>
      <c r="EW150" s="65"/>
      <c r="EX150" s="65"/>
      <c r="EY150" s="65"/>
      <c r="EZ150" s="68">
        <f t="shared" si="85"/>
        <v>0</v>
      </c>
      <c r="FA150" s="65"/>
      <c r="FB150" s="65"/>
      <c r="FC150" s="70">
        <f t="shared" si="84"/>
        <v>0</v>
      </c>
      <c r="FD150" s="65"/>
      <c r="FE150" s="71">
        <f t="shared" si="109"/>
        <v>0</v>
      </c>
      <c r="FF150" s="72">
        <f t="shared" si="110"/>
        <v>0</v>
      </c>
      <c r="FG150" s="65"/>
      <c r="FH150" s="65"/>
      <c r="FI150" s="65"/>
      <c r="FJ150" s="56">
        <f t="shared" si="111"/>
        <v>0</v>
      </c>
      <c r="FK150" s="65"/>
      <c r="FL150" s="65"/>
      <c r="FM150" s="65"/>
      <c r="FN150" s="65"/>
      <c r="FO150" s="67">
        <f t="shared" si="112"/>
        <v>0</v>
      </c>
      <c r="FP150" s="57"/>
      <c r="FQ150" s="73"/>
      <c r="FR150" s="73"/>
      <c r="FS150" s="71">
        <f t="shared" si="113"/>
        <v>0</v>
      </c>
      <c r="FT150" s="91"/>
      <c r="FU150" s="91"/>
      <c r="FV150" s="67">
        <f>SUM(Tableau1[[#This Row],[Droits d''auteurs SACEM + cotisations SACEM]:[Autres ou non préciés]])</f>
        <v>0</v>
      </c>
      <c r="FW150" s="75">
        <f t="shared" si="114"/>
        <v>0</v>
      </c>
      <c r="FX150" s="74">
        <v>0</v>
      </c>
      <c r="FY150" s="74"/>
      <c r="FZ150" s="74"/>
      <c r="GA150" s="74"/>
      <c r="GB150" s="71">
        <f t="shared" si="115"/>
        <v>0</v>
      </c>
      <c r="GC150" s="92"/>
      <c r="GD150" s="92"/>
      <c r="GE150" s="67">
        <f t="shared" si="116"/>
        <v>0</v>
      </c>
      <c r="GF150" s="66"/>
      <c r="GG150" s="66"/>
      <c r="GH150" s="66"/>
      <c r="GI150" s="66"/>
      <c r="GJ150" s="77"/>
    </row>
    <row r="151" spans="1:192" ht="18.600000000000001" customHeight="1" x14ac:dyDescent="0.25">
      <c r="A151" s="89"/>
      <c r="B151" s="17"/>
      <c r="C151" s="50"/>
      <c r="D151" s="140"/>
      <c r="E151" s="51"/>
      <c r="F151" s="139">
        <f t="shared" si="81"/>
        <v>1</v>
      </c>
      <c r="G151" s="49"/>
      <c r="H151" s="50"/>
      <c r="I151" s="122"/>
      <c r="J151" s="49"/>
      <c r="K151" s="50"/>
      <c r="L151" s="50"/>
      <c r="M151" s="90"/>
      <c r="N151" s="50"/>
      <c r="O151" s="50"/>
      <c r="P151" s="90"/>
      <c r="Q151" s="52">
        <f t="shared" si="86"/>
        <v>0</v>
      </c>
      <c r="R151" s="52">
        <f t="shared" si="87"/>
        <v>0</v>
      </c>
      <c r="S151" s="53">
        <f t="shared" si="88"/>
        <v>0</v>
      </c>
      <c r="T151" s="54">
        <f t="shared" si="89"/>
        <v>0</v>
      </c>
      <c r="U151" s="115">
        <f>SUM(Tableau1[[#This Row],[Vente confiserie]:[Vente boisson]])</f>
        <v>0</v>
      </c>
      <c r="V151" s="55"/>
      <c r="W151" s="55"/>
      <c r="X151" s="135">
        <f>SUM(Tableau1[[#This Row],[Vente lunette]:[Location lunette]])</f>
        <v>0</v>
      </c>
      <c r="Y151" s="55"/>
      <c r="Z151" s="55"/>
      <c r="AA151" s="55"/>
      <c r="AB151" s="55"/>
      <c r="AC151" s="56">
        <f t="shared" si="118"/>
        <v>0</v>
      </c>
      <c r="AD151" s="57"/>
      <c r="AE151" s="57"/>
      <c r="AF151" s="57"/>
      <c r="AG151" s="57"/>
      <c r="AH151" s="57"/>
      <c r="AI151" s="57"/>
      <c r="AJ151" s="118">
        <f>(Tableau1[[#This Row],[Recette guichet ]]*1.1275177)-Tableau1[[#This Row],[Recette guichet ]]</f>
        <v>0</v>
      </c>
      <c r="AK151" s="57"/>
      <c r="AL151" s="56">
        <f t="shared" ref="AL151:AL214" si="119">SUM(AM151:AO151,AQ151:AT151)</f>
        <v>0</v>
      </c>
      <c r="AM151" s="58"/>
      <c r="AN151" s="58"/>
      <c r="AO151" s="58"/>
      <c r="AP151" s="115">
        <f t="shared" si="90"/>
        <v>0</v>
      </c>
      <c r="AQ151" s="69"/>
      <c r="AR151" s="69"/>
      <c r="AS151" s="69"/>
      <c r="AT151" s="69"/>
      <c r="AU151" s="59">
        <f t="shared" si="91"/>
        <v>0</v>
      </c>
      <c r="AV151" s="60">
        <f t="shared" si="92"/>
        <v>0</v>
      </c>
      <c r="AW151" s="58"/>
      <c r="AX151" s="58"/>
      <c r="AY151" s="58"/>
      <c r="AZ151" s="60">
        <f t="shared" si="82"/>
        <v>0</v>
      </c>
      <c r="BA151" s="58"/>
      <c r="BB151" s="58"/>
      <c r="BC151" s="58"/>
      <c r="BD151" s="60">
        <f>SUM(Tableau1[[#This Row],[ticket/carte/abonnement périmé]:[Autres ou non précisé 5]])</f>
        <v>0</v>
      </c>
      <c r="BE151" s="58"/>
      <c r="BF151" s="58"/>
      <c r="BG151" s="58"/>
      <c r="BH151" s="61">
        <f t="shared" si="93"/>
        <v>0</v>
      </c>
      <c r="BI151" s="120"/>
      <c r="BJ151" s="120"/>
      <c r="BK151" s="62">
        <f t="shared" si="94"/>
        <v>0</v>
      </c>
      <c r="BL151" s="120"/>
      <c r="BM151" s="120"/>
      <c r="BN151" s="120"/>
      <c r="BO151" s="120"/>
      <c r="BP151" s="120"/>
      <c r="BQ151" s="63"/>
      <c r="BR151" s="52">
        <f t="shared" si="95"/>
        <v>0</v>
      </c>
      <c r="BS151" s="52">
        <f t="shared" si="96"/>
        <v>0</v>
      </c>
      <c r="BT151" s="61">
        <f t="shared" si="97"/>
        <v>0</v>
      </c>
      <c r="BU151" s="64">
        <f t="shared" si="98"/>
        <v>0</v>
      </c>
      <c r="BV151" s="119">
        <f>SUM(Tableau1[[#This Row],[Achats confiserie]:[Achats boisson]])</f>
        <v>0</v>
      </c>
      <c r="BW151" s="58"/>
      <c r="BX151" s="69"/>
      <c r="BY151" s="58"/>
      <c r="BZ151" s="56">
        <f t="shared" si="99"/>
        <v>0</v>
      </c>
      <c r="CA151" s="66"/>
      <c r="CB151" s="66"/>
      <c r="CC151" s="56">
        <f t="shared" si="100"/>
        <v>0</v>
      </c>
      <c r="CD151" s="55"/>
      <c r="CE151" s="65"/>
      <c r="CF151" s="55"/>
      <c r="CG151" s="55"/>
      <c r="CH151" s="67">
        <f t="shared" si="101"/>
        <v>0</v>
      </c>
      <c r="CI151" s="68">
        <f t="shared" si="117"/>
        <v>0</v>
      </c>
      <c r="CJ151" s="55"/>
      <c r="CK151" s="55"/>
      <c r="CL151" s="55"/>
      <c r="CM151" s="55"/>
      <c r="CN151" s="55"/>
      <c r="CO151" s="68">
        <f t="shared" si="102"/>
        <v>0</v>
      </c>
      <c r="CP151" s="75">
        <f>SUM(Tableau1[[#This Row],[Fourniture eau]:[Energie (non précisé)]])</f>
        <v>0</v>
      </c>
      <c r="CQ151" s="55"/>
      <c r="CR151" s="55"/>
      <c r="CS151" s="55"/>
      <c r="CT151" s="55"/>
      <c r="CU151" s="55"/>
      <c r="CV151" s="55">
        <v>0</v>
      </c>
      <c r="CW151" s="55"/>
      <c r="CX151" s="68">
        <f>SUM(Tableau1[[#This Row],[Sous-traitance]:[Autres ou non précisé 12]])</f>
        <v>0</v>
      </c>
      <c r="CY151" s="65"/>
      <c r="CZ151" s="65"/>
      <c r="DA151" s="65"/>
      <c r="DB151" s="65"/>
      <c r="DC151" s="55"/>
      <c r="DD151" s="68">
        <f t="shared" si="83"/>
        <v>0</v>
      </c>
      <c r="DE151" s="55"/>
      <c r="DF151" s="65"/>
      <c r="DG151" s="65"/>
      <c r="DH151" s="65"/>
      <c r="DI151" s="68">
        <f>SUM(Tableau1[[#This Row],[Entretien et réparation matériel de projection]:[Autres ou non précisé 14]])</f>
        <v>0</v>
      </c>
      <c r="DJ151" s="58"/>
      <c r="DK151" s="58"/>
      <c r="DL151" s="69"/>
      <c r="DM151" s="68">
        <f t="shared" si="103"/>
        <v>0</v>
      </c>
      <c r="DN151" s="58"/>
      <c r="DO151" s="58"/>
      <c r="DP151" s="68">
        <f t="shared" si="104"/>
        <v>0</v>
      </c>
      <c r="DQ151" s="65"/>
      <c r="DR151" s="65"/>
      <c r="DS151" s="68">
        <f t="shared" si="105"/>
        <v>0</v>
      </c>
      <c r="DT151" s="65"/>
      <c r="DU151" s="65"/>
      <c r="DV151" s="65"/>
      <c r="DW151" s="68">
        <f>SUM(Tableau1[[#This Row],[Comission et courtage sur achats]:[Autres ou honoraires
 non précisé ]])</f>
        <v>0</v>
      </c>
      <c r="DX151" s="57"/>
      <c r="DY151" s="57"/>
      <c r="DZ151" s="65"/>
      <c r="EA151" s="65"/>
      <c r="EB151" s="65"/>
      <c r="EC151" s="68">
        <f t="shared" si="106"/>
        <v>0</v>
      </c>
      <c r="ED151" s="69"/>
      <c r="EE151" s="69"/>
      <c r="EF151" s="69"/>
      <c r="EG151" s="69"/>
      <c r="EH151" s="69"/>
      <c r="EI151" s="84">
        <f>SUM(Tableau1[[#This Row],[Transports sur films]:[autres ]])</f>
        <v>0</v>
      </c>
      <c r="EJ151" s="132">
        <v>0</v>
      </c>
      <c r="EK151" s="132"/>
      <c r="EL151" s="68">
        <f t="shared" si="107"/>
        <v>0</v>
      </c>
      <c r="EM151" s="65"/>
      <c r="EN151" s="65">
        <v>0</v>
      </c>
      <c r="EO151" s="65"/>
      <c r="EP151" s="65"/>
      <c r="EQ151" s="65"/>
      <c r="ER151" s="65"/>
      <c r="ES151" s="65"/>
      <c r="ET151" s="68">
        <f t="shared" si="108"/>
        <v>0</v>
      </c>
      <c r="EU151" s="65"/>
      <c r="EV151" s="65"/>
      <c r="EW151" s="65"/>
      <c r="EX151" s="65"/>
      <c r="EY151" s="65"/>
      <c r="EZ151" s="68">
        <f t="shared" si="85"/>
        <v>0</v>
      </c>
      <c r="FA151" s="65"/>
      <c r="FB151" s="65"/>
      <c r="FC151" s="70">
        <f t="shared" si="84"/>
        <v>0</v>
      </c>
      <c r="FD151" s="65"/>
      <c r="FE151" s="71">
        <f t="shared" si="109"/>
        <v>0</v>
      </c>
      <c r="FF151" s="72">
        <f t="shared" si="110"/>
        <v>0</v>
      </c>
      <c r="FG151" s="65"/>
      <c r="FH151" s="65"/>
      <c r="FI151" s="65"/>
      <c r="FJ151" s="56">
        <f t="shared" si="111"/>
        <v>0</v>
      </c>
      <c r="FK151" s="65"/>
      <c r="FL151" s="65"/>
      <c r="FM151" s="65"/>
      <c r="FN151" s="65"/>
      <c r="FO151" s="67">
        <f t="shared" si="112"/>
        <v>0</v>
      </c>
      <c r="FP151" s="57"/>
      <c r="FQ151" s="73"/>
      <c r="FR151" s="73"/>
      <c r="FS151" s="71">
        <f t="shared" si="113"/>
        <v>0</v>
      </c>
      <c r="FT151" s="91"/>
      <c r="FU151" s="91"/>
      <c r="FV151" s="67">
        <f>SUM(Tableau1[[#This Row],[Droits d''auteurs SACEM + cotisations SACEM]:[Autres ou non préciés]])</f>
        <v>0</v>
      </c>
      <c r="FW151" s="75">
        <f t="shared" si="114"/>
        <v>0</v>
      </c>
      <c r="FX151" s="74">
        <v>0</v>
      </c>
      <c r="FY151" s="74"/>
      <c r="FZ151" s="74"/>
      <c r="GA151" s="74"/>
      <c r="GB151" s="71">
        <f t="shared" si="115"/>
        <v>0</v>
      </c>
      <c r="GC151" s="92"/>
      <c r="GD151" s="92"/>
      <c r="GE151" s="67">
        <f t="shared" si="116"/>
        <v>0</v>
      </c>
      <c r="GF151" s="66"/>
      <c r="GG151" s="66"/>
      <c r="GH151" s="66"/>
      <c r="GI151" s="66"/>
      <c r="GJ151" s="77"/>
    </row>
    <row r="152" spans="1:192" ht="18.600000000000001" customHeight="1" x14ac:dyDescent="0.25">
      <c r="A152" s="89"/>
      <c r="B152" s="17"/>
      <c r="C152" s="50"/>
      <c r="D152" s="140"/>
      <c r="E152" s="51"/>
      <c r="F152" s="139">
        <f t="shared" si="81"/>
        <v>1</v>
      </c>
      <c r="G152" s="49"/>
      <c r="H152" s="50"/>
      <c r="I152" s="122"/>
      <c r="J152" s="49"/>
      <c r="K152" s="50"/>
      <c r="L152" s="50"/>
      <c r="M152" s="90"/>
      <c r="N152" s="50"/>
      <c r="O152" s="50"/>
      <c r="P152" s="90"/>
      <c r="Q152" s="52">
        <f t="shared" si="86"/>
        <v>0</v>
      </c>
      <c r="R152" s="52">
        <f t="shared" si="87"/>
        <v>0</v>
      </c>
      <c r="S152" s="53">
        <f t="shared" si="88"/>
        <v>0</v>
      </c>
      <c r="T152" s="54">
        <f t="shared" si="89"/>
        <v>0</v>
      </c>
      <c r="U152" s="115">
        <f>SUM(Tableau1[[#This Row],[Vente confiserie]:[Vente boisson]])</f>
        <v>0</v>
      </c>
      <c r="V152" s="55"/>
      <c r="W152" s="55"/>
      <c r="X152" s="135">
        <f>SUM(Tableau1[[#This Row],[Vente lunette]:[Location lunette]])</f>
        <v>0</v>
      </c>
      <c r="Y152" s="55"/>
      <c r="Z152" s="55"/>
      <c r="AA152" s="55"/>
      <c r="AB152" s="55"/>
      <c r="AC152" s="56">
        <f t="shared" si="118"/>
        <v>0</v>
      </c>
      <c r="AD152" s="57"/>
      <c r="AE152" s="57"/>
      <c r="AF152" s="57"/>
      <c r="AG152" s="57"/>
      <c r="AH152" s="57"/>
      <c r="AI152" s="57"/>
      <c r="AJ152" s="118">
        <f>(Tableau1[[#This Row],[Recette guichet ]]*1.1275177)-Tableau1[[#This Row],[Recette guichet ]]</f>
        <v>0</v>
      </c>
      <c r="AK152" s="57"/>
      <c r="AL152" s="56">
        <f t="shared" si="119"/>
        <v>0</v>
      </c>
      <c r="AM152" s="58"/>
      <c r="AN152" s="58"/>
      <c r="AO152" s="58"/>
      <c r="AP152" s="115">
        <f t="shared" si="90"/>
        <v>0</v>
      </c>
      <c r="AQ152" s="69"/>
      <c r="AR152" s="69"/>
      <c r="AS152" s="69"/>
      <c r="AT152" s="69"/>
      <c r="AU152" s="59">
        <f t="shared" si="91"/>
        <v>0</v>
      </c>
      <c r="AV152" s="60">
        <f t="shared" si="92"/>
        <v>0</v>
      </c>
      <c r="AW152" s="58"/>
      <c r="AX152" s="58"/>
      <c r="AY152" s="58"/>
      <c r="AZ152" s="60">
        <f t="shared" si="82"/>
        <v>0</v>
      </c>
      <c r="BA152" s="58"/>
      <c r="BB152" s="58"/>
      <c r="BC152" s="58"/>
      <c r="BD152" s="60">
        <f>SUM(Tableau1[[#This Row],[ticket/carte/abonnement périmé]:[Autres ou non précisé 5]])</f>
        <v>0</v>
      </c>
      <c r="BE152" s="58"/>
      <c r="BF152" s="58"/>
      <c r="BG152" s="58"/>
      <c r="BH152" s="61">
        <f t="shared" si="93"/>
        <v>0</v>
      </c>
      <c r="BI152" s="120"/>
      <c r="BJ152" s="120"/>
      <c r="BK152" s="62">
        <f t="shared" si="94"/>
        <v>0</v>
      </c>
      <c r="BL152" s="120"/>
      <c r="BM152" s="120"/>
      <c r="BN152" s="120"/>
      <c r="BO152" s="120"/>
      <c r="BP152" s="120"/>
      <c r="BQ152" s="63"/>
      <c r="BR152" s="52">
        <f t="shared" si="95"/>
        <v>0</v>
      </c>
      <c r="BS152" s="52">
        <f t="shared" si="96"/>
        <v>0</v>
      </c>
      <c r="BT152" s="61">
        <f t="shared" si="97"/>
        <v>0</v>
      </c>
      <c r="BU152" s="64">
        <f t="shared" si="98"/>
        <v>0</v>
      </c>
      <c r="BV152" s="119">
        <f>SUM(Tableau1[[#This Row],[Achats confiserie]:[Achats boisson]])</f>
        <v>0</v>
      </c>
      <c r="BW152" s="58"/>
      <c r="BX152" s="69"/>
      <c r="BY152" s="58"/>
      <c r="BZ152" s="56">
        <f t="shared" si="99"/>
        <v>0</v>
      </c>
      <c r="CA152" s="66"/>
      <c r="CB152" s="66"/>
      <c r="CC152" s="56">
        <f t="shared" si="100"/>
        <v>0</v>
      </c>
      <c r="CD152" s="55"/>
      <c r="CE152" s="65"/>
      <c r="CF152" s="55"/>
      <c r="CG152" s="55"/>
      <c r="CH152" s="67">
        <f t="shared" si="101"/>
        <v>0</v>
      </c>
      <c r="CI152" s="68">
        <f t="shared" si="117"/>
        <v>0</v>
      </c>
      <c r="CJ152" s="55"/>
      <c r="CK152" s="55"/>
      <c r="CL152" s="55"/>
      <c r="CM152" s="55"/>
      <c r="CN152" s="55"/>
      <c r="CO152" s="68">
        <f t="shared" si="102"/>
        <v>0</v>
      </c>
      <c r="CP152" s="75">
        <f>SUM(Tableau1[[#This Row],[Fourniture eau]:[Energie (non précisé)]])</f>
        <v>0</v>
      </c>
      <c r="CQ152" s="55"/>
      <c r="CR152" s="55"/>
      <c r="CS152" s="55"/>
      <c r="CT152" s="55"/>
      <c r="CU152" s="55"/>
      <c r="CV152" s="55">
        <v>0</v>
      </c>
      <c r="CW152" s="55"/>
      <c r="CX152" s="68">
        <f>SUM(Tableau1[[#This Row],[Sous-traitance]:[Autres ou non précisé 12]])</f>
        <v>0</v>
      </c>
      <c r="CY152" s="65"/>
      <c r="CZ152" s="65"/>
      <c r="DA152" s="65"/>
      <c r="DB152" s="65"/>
      <c r="DC152" s="55"/>
      <c r="DD152" s="68">
        <f t="shared" si="83"/>
        <v>0</v>
      </c>
      <c r="DE152" s="55"/>
      <c r="DF152" s="65"/>
      <c r="DG152" s="65"/>
      <c r="DH152" s="65"/>
      <c r="DI152" s="68">
        <f>SUM(Tableau1[[#This Row],[Entretien et réparation matériel de projection]:[Autres ou non précisé 14]])</f>
        <v>0</v>
      </c>
      <c r="DJ152" s="58"/>
      <c r="DK152" s="58"/>
      <c r="DL152" s="69"/>
      <c r="DM152" s="68">
        <f t="shared" si="103"/>
        <v>0</v>
      </c>
      <c r="DN152" s="58"/>
      <c r="DO152" s="58"/>
      <c r="DP152" s="68">
        <f t="shared" si="104"/>
        <v>0</v>
      </c>
      <c r="DQ152" s="65"/>
      <c r="DR152" s="65"/>
      <c r="DS152" s="68">
        <f t="shared" si="105"/>
        <v>0</v>
      </c>
      <c r="DT152" s="65"/>
      <c r="DU152" s="65"/>
      <c r="DV152" s="65"/>
      <c r="DW152" s="68">
        <f>SUM(Tableau1[[#This Row],[Comission et courtage sur achats]:[Autres ou honoraires
 non précisé ]])</f>
        <v>0</v>
      </c>
      <c r="DX152" s="57"/>
      <c r="DY152" s="57"/>
      <c r="DZ152" s="65"/>
      <c r="EA152" s="65"/>
      <c r="EB152" s="65"/>
      <c r="EC152" s="68">
        <f t="shared" si="106"/>
        <v>0</v>
      </c>
      <c r="ED152" s="69"/>
      <c r="EE152" s="69"/>
      <c r="EF152" s="69"/>
      <c r="EG152" s="69"/>
      <c r="EH152" s="69"/>
      <c r="EI152" s="84">
        <f>SUM(Tableau1[[#This Row],[Transports sur films]:[autres ]])</f>
        <v>0</v>
      </c>
      <c r="EJ152" s="132">
        <v>0</v>
      </c>
      <c r="EK152" s="132"/>
      <c r="EL152" s="68">
        <f t="shared" si="107"/>
        <v>0</v>
      </c>
      <c r="EM152" s="65"/>
      <c r="EN152" s="65">
        <v>0</v>
      </c>
      <c r="EO152" s="65"/>
      <c r="EP152" s="65"/>
      <c r="EQ152" s="65"/>
      <c r="ER152" s="65"/>
      <c r="ES152" s="65"/>
      <c r="ET152" s="68">
        <f t="shared" si="108"/>
        <v>0</v>
      </c>
      <c r="EU152" s="65"/>
      <c r="EV152" s="65"/>
      <c r="EW152" s="65"/>
      <c r="EX152" s="65"/>
      <c r="EY152" s="65"/>
      <c r="EZ152" s="68">
        <f t="shared" si="85"/>
        <v>0</v>
      </c>
      <c r="FA152" s="65"/>
      <c r="FB152" s="65"/>
      <c r="FC152" s="70">
        <f t="shared" si="84"/>
        <v>0</v>
      </c>
      <c r="FD152" s="65"/>
      <c r="FE152" s="71">
        <f t="shared" si="109"/>
        <v>0</v>
      </c>
      <c r="FF152" s="72">
        <f t="shared" si="110"/>
        <v>0</v>
      </c>
      <c r="FG152" s="65"/>
      <c r="FH152" s="65"/>
      <c r="FI152" s="65"/>
      <c r="FJ152" s="56">
        <f t="shared" si="111"/>
        <v>0</v>
      </c>
      <c r="FK152" s="65"/>
      <c r="FL152" s="65"/>
      <c r="FM152" s="65"/>
      <c r="FN152" s="65"/>
      <c r="FO152" s="67">
        <f t="shared" si="112"/>
        <v>0</v>
      </c>
      <c r="FP152" s="57"/>
      <c r="FQ152" s="73"/>
      <c r="FR152" s="73"/>
      <c r="FS152" s="71">
        <f t="shared" si="113"/>
        <v>0</v>
      </c>
      <c r="FT152" s="91"/>
      <c r="FU152" s="91"/>
      <c r="FV152" s="67">
        <f>SUM(Tableau1[[#This Row],[Droits d''auteurs SACEM + cotisations SACEM]:[Autres ou non préciés]])</f>
        <v>0</v>
      </c>
      <c r="FW152" s="75">
        <f t="shared" si="114"/>
        <v>0</v>
      </c>
      <c r="FX152" s="74">
        <v>0</v>
      </c>
      <c r="FY152" s="74"/>
      <c r="FZ152" s="74"/>
      <c r="GA152" s="74"/>
      <c r="GB152" s="71">
        <f t="shared" si="115"/>
        <v>0</v>
      </c>
      <c r="GC152" s="92"/>
      <c r="GD152" s="92"/>
      <c r="GE152" s="67">
        <f t="shared" si="116"/>
        <v>0</v>
      </c>
      <c r="GF152" s="66"/>
      <c r="GG152" s="66"/>
      <c r="GH152" s="66"/>
      <c r="GI152" s="66"/>
      <c r="GJ152" s="77"/>
    </row>
    <row r="153" spans="1:192" ht="18.600000000000001" customHeight="1" x14ac:dyDescent="0.25">
      <c r="A153" s="89"/>
      <c r="B153" s="17"/>
      <c r="C153" s="50"/>
      <c r="D153" s="140"/>
      <c r="E153" s="51"/>
      <c r="F153" s="139">
        <f t="shared" si="81"/>
        <v>1</v>
      </c>
      <c r="G153" s="49"/>
      <c r="H153" s="50"/>
      <c r="I153" s="122"/>
      <c r="J153" s="49"/>
      <c r="K153" s="50"/>
      <c r="L153" s="50"/>
      <c r="M153" s="90"/>
      <c r="N153" s="50"/>
      <c r="O153" s="50"/>
      <c r="P153" s="90"/>
      <c r="Q153" s="52">
        <f t="shared" si="86"/>
        <v>0</v>
      </c>
      <c r="R153" s="52">
        <f t="shared" si="87"/>
        <v>0</v>
      </c>
      <c r="S153" s="53">
        <f t="shared" si="88"/>
        <v>0</v>
      </c>
      <c r="T153" s="54">
        <f t="shared" si="89"/>
        <v>0</v>
      </c>
      <c r="U153" s="115">
        <f>SUM(Tableau1[[#This Row],[Vente confiserie]:[Vente boisson]])</f>
        <v>0</v>
      </c>
      <c r="V153" s="55"/>
      <c r="W153" s="55"/>
      <c r="X153" s="135">
        <f>SUM(Tableau1[[#This Row],[Vente lunette]:[Location lunette]])</f>
        <v>0</v>
      </c>
      <c r="Y153" s="55"/>
      <c r="Z153" s="55"/>
      <c r="AA153" s="55"/>
      <c r="AB153" s="55"/>
      <c r="AC153" s="56">
        <f t="shared" si="118"/>
        <v>0</v>
      </c>
      <c r="AD153" s="57"/>
      <c r="AE153" s="57"/>
      <c r="AF153" s="57"/>
      <c r="AG153" s="57"/>
      <c r="AH153" s="57"/>
      <c r="AI153" s="57"/>
      <c r="AJ153" s="118">
        <f>(Tableau1[[#This Row],[Recette guichet ]]*1.1275177)-Tableau1[[#This Row],[Recette guichet ]]</f>
        <v>0</v>
      </c>
      <c r="AK153" s="57"/>
      <c r="AL153" s="56">
        <f t="shared" si="119"/>
        <v>0</v>
      </c>
      <c r="AM153" s="58"/>
      <c r="AN153" s="58"/>
      <c r="AO153" s="58"/>
      <c r="AP153" s="115">
        <f t="shared" si="90"/>
        <v>0</v>
      </c>
      <c r="AQ153" s="69"/>
      <c r="AR153" s="69"/>
      <c r="AS153" s="69"/>
      <c r="AT153" s="69"/>
      <c r="AU153" s="59">
        <f t="shared" si="91"/>
        <v>0</v>
      </c>
      <c r="AV153" s="60">
        <f t="shared" si="92"/>
        <v>0</v>
      </c>
      <c r="AW153" s="58"/>
      <c r="AX153" s="58"/>
      <c r="AY153" s="58"/>
      <c r="AZ153" s="60">
        <f t="shared" si="82"/>
        <v>0</v>
      </c>
      <c r="BA153" s="58"/>
      <c r="BB153" s="58"/>
      <c r="BC153" s="58"/>
      <c r="BD153" s="60">
        <f>SUM(Tableau1[[#This Row],[ticket/carte/abonnement périmé]:[Autres ou non précisé 5]])</f>
        <v>0</v>
      </c>
      <c r="BE153" s="58"/>
      <c r="BF153" s="58"/>
      <c r="BG153" s="58"/>
      <c r="BH153" s="61">
        <f t="shared" si="93"/>
        <v>0</v>
      </c>
      <c r="BI153" s="120"/>
      <c r="BJ153" s="120"/>
      <c r="BK153" s="62">
        <f t="shared" si="94"/>
        <v>0</v>
      </c>
      <c r="BL153" s="120"/>
      <c r="BM153" s="120"/>
      <c r="BN153" s="120"/>
      <c r="BO153" s="120"/>
      <c r="BP153" s="120"/>
      <c r="BQ153" s="63"/>
      <c r="BR153" s="52">
        <f t="shared" si="95"/>
        <v>0</v>
      </c>
      <c r="BS153" s="52">
        <f t="shared" si="96"/>
        <v>0</v>
      </c>
      <c r="BT153" s="61">
        <f t="shared" si="97"/>
        <v>0</v>
      </c>
      <c r="BU153" s="64">
        <f t="shared" si="98"/>
        <v>0</v>
      </c>
      <c r="BV153" s="119">
        <f>SUM(Tableau1[[#This Row],[Achats confiserie]:[Achats boisson]])</f>
        <v>0</v>
      </c>
      <c r="BW153" s="58"/>
      <c r="BX153" s="69"/>
      <c r="BY153" s="58"/>
      <c r="BZ153" s="56">
        <f t="shared" si="99"/>
        <v>0</v>
      </c>
      <c r="CA153" s="66"/>
      <c r="CB153" s="66"/>
      <c r="CC153" s="56">
        <f t="shared" si="100"/>
        <v>0</v>
      </c>
      <c r="CD153" s="55"/>
      <c r="CE153" s="65"/>
      <c r="CF153" s="55"/>
      <c r="CG153" s="55"/>
      <c r="CH153" s="67">
        <f t="shared" si="101"/>
        <v>0</v>
      </c>
      <c r="CI153" s="68">
        <f t="shared" si="117"/>
        <v>0</v>
      </c>
      <c r="CJ153" s="55"/>
      <c r="CK153" s="55"/>
      <c r="CL153" s="55"/>
      <c r="CM153" s="55"/>
      <c r="CN153" s="55"/>
      <c r="CO153" s="68">
        <f t="shared" si="102"/>
        <v>0</v>
      </c>
      <c r="CP153" s="75">
        <f>SUM(Tableau1[[#This Row],[Fourniture eau]:[Energie (non précisé)]])</f>
        <v>0</v>
      </c>
      <c r="CQ153" s="55"/>
      <c r="CR153" s="55"/>
      <c r="CS153" s="55"/>
      <c r="CT153" s="55"/>
      <c r="CU153" s="55"/>
      <c r="CV153" s="55">
        <v>0</v>
      </c>
      <c r="CW153" s="55"/>
      <c r="CX153" s="68">
        <f>SUM(Tableau1[[#This Row],[Sous-traitance]:[Autres ou non précisé 12]])</f>
        <v>0</v>
      </c>
      <c r="CY153" s="65"/>
      <c r="CZ153" s="65"/>
      <c r="DA153" s="65"/>
      <c r="DB153" s="65"/>
      <c r="DC153" s="55"/>
      <c r="DD153" s="68">
        <f t="shared" si="83"/>
        <v>0</v>
      </c>
      <c r="DE153" s="55"/>
      <c r="DF153" s="65"/>
      <c r="DG153" s="65"/>
      <c r="DH153" s="65"/>
      <c r="DI153" s="68">
        <f>SUM(Tableau1[[#This Row],[Entretien et réparation matériel de projection]:[Autres ou non précisé 14]])</f>
        <v>0</v>
      </c>
      <c r="DJ153" s="58"/>
      <c r="DK153" s="58"/>
      <c r="DL153" s="69"/>
      <c r="DM153" s="68">
        <f t="shared" si="103"/>
        <v>0</v>
      </c>
      <c r="DN153" s="58"/>
      <c r="DO153" s="58"/>
      <c r="DP153" s="68">
        <f t="shared" si="104"/>
        <v>0</v>
      </c>
      <c r="DQ153" s="65"/>
      <c r="DR153" s="65"/>
      <c r="DS153" s="68">
        <f t="shared" si="105"/>
        <v>0</v>
      </c>
      <c r="DT153" s="65"/>
      <c r="DU153" s="65"/>
      <c r="DV153" s="65"/>
      <c r="DW153" s="68">
        <f>SUM(Tableau1[[#This Row],[Comission et courtage sur achats]:[Autres ou honoraires
 non précisé ]])</f>
        <v>0</v>
      </c>
      <c r="DX153" s="57"/>
      <c r="DY153" s="57"/>
      <c r="DZ153" s="65"/>
      <c r="EA153" s="65"/>
      <c r="EB153" s="65"/>
      <c r="EC153" s="68">
        <f t="shared" si="106"/>
        <v>0</v>
      </c>
      <c r="ED153" s="69"/>
      <c r="EE153" s="69"/>
      <c r="EF153" s="69"/>
      <c r="EG153" s="69"/>
      <c r="EH153" s="69"/>
      <c r="EI153" s="84">
        <f>SUM(Tableau1[[#This Row],[Transports sur films]:[autres ]])</f>
        <v>0</v>
      </c>
      <c r="EJ153" s="132">
        <v>0</v>
      </c>
      <c r="EK153" s="132"/>
      <c r="EL153" s="68">
        <f t="shared" si="107"/>
        <v>0</v>
      </c>
      <c r="EM153" s="65"/>
      <c r="EN153" s="65">
        <v>0</v>
      </c>
      <c r="EO153" s="65"/>
      <c r="EP153" s="65"/>
      <c r="EQ153" s="65"/>
      <c r="ER153" s="65"/>
      <c r="ES153" s="65"/>
      <c r="ET153" s="68">
        <f t="shared" si="108"/>
        <v>0</v>
      </c>
      <c r="EU153" s="65"/>
      <c r="EV153" s="65"/>
      <c r="EW153" s="65"/>
      <c r="EX153" s="65"/>
      <c r="EY153" s="65"/>
      <c r="EZ153" s="68">
        <f t="shared" si="85"/>
        <v>0</v>
      </c>
      <c r="FA153" s="65"/>
      <c r="FB153" s="65"/>
      <c r="FC153" s="70">
        <f t="shared" si="84"/>
        <v>0</v>
      </c>
      <c r="FD153" s="65"/>
      <c r="FE153" s="71">
        <f t="shared" si="109"/>
        <v>0</v>
      </c>
      <c r="FF153" s="72">
        <f t="shared" si="110"/>
        <v>0</v>
      </c>
      <c r="FG153" s="65"/>
      <c r="FH153" s="65"/>
      <c r="FI153" s="65"/>
      <c r="FJ153" s="56">
        <f t="shared" si="111"/>
        <v>0</v>
      </c>
      <c r="FK153" s="65"/>
      <c r="FL153" s="65"/>
      <c r="FM153" s="65"/>
      <c r="FN153" s="65"/>
      <c r="FO153" s="67">
        <f t="shared" si="112"/>
        <v>0</v>
      </c>
      <c r="FP153" s="57"/>
      <c r="FQ153" s="73"/>
      <c r="FR153" s="73"/>
      <c r="FS153" s="71">
        <f t="shared" si="113"/>
        <v>0</v>
      </c>
      <c r="FT153" s="91"/>
      <c r="FU153" s="91"/>
      <c r="FV153" s="67">
        <f>SUM(Tableau1[[#This Row],[Droits d''auteurs SACEM + cotisations SACEM]:[Autres ou non préciés]])</f>
        <v>0</v>
      </c>
      <c r="FW153" s="75">
        <f t="shared" si="114"/>
        <v>0</v>
      </c>
      <c r="FX153" s="74">
        <v>0</v>
      </c>
      <c r="FY153" s="74"/>
      <c r="FZ153" s="74"/>
      <c r="GA153" s="74"/>
      <c r="GB153" s="71">
        <f t="shared" si="115"/>
        <v>0</v>
      </c>
      <c r="GC153" s="92"/>
      <c r="GD153" s="92"/>
      <c r="GE153" s="67">
        <f t="shared" si="116"/>
        <v>0</v>
      </c>
      <c r="GF153" s="66"/>
      <c r="GG153" s="66"/>
      <c r="GH153" s="66"/>
      <c r="GI153" s="66"/>
      <c r="GJ153" s="77"/>
    </row>
    <row r="154" spans="1:192" ht="18.600000000000001" customHeight="1" x14ac:dyDescent="0.25">
      <c r="A154" s="89"/>
      <c r="B154" s="17"/>
      <c r="C154" s="50"/>
      <c r="D154" s="140"/>
      <c r="E154" s="51"/>
      <c r="F154" s="139">
        <f t="shared" si="81"/>
        <v>1</v>
      </c>
      <c r="G154" s="49"/>
      <c r="H154" s="50"/>
      <c r="I154" s="122"/>
      <c r="J154" s="49"/>
      <c r="K154" s="50"/>
      <c r="L154" s="50"/>
      <c r="M154" s="90"/>
      <c r="N154" s="50"/>
      <c r="O154" s="50"/>
      <c r="P154" s="90"/>
      <c r="Q154" s="52">
        <f t="shared" si="86"/>
        <v>0</v>
      </c>
      <c r="R154" s="52">
        <f t="shared" si="87"/>
        <v>0</v>
      </c>
      <c r="S154" s="53">
        <f t="shared" si="88"/>
        <v>0</v>
      </c>
      <c r="T154" s="54">
        <f t="shared" si="89"/>
        <v>0</v>
      </c>
      <c r="U154" s="115">
        <f>SUM(Tableau1[[#This Row],[Vente confiserie]:[Vente boisson]])</f>
        <v>0</v>
      </c>
      <c r="V154" s="55"/>
      <c r="W154" s="55"/>
      <c r="X154" s="135">
        <f>SUM(Tableau1[[#This Row],[Vente lunette]:[Location lunette]])</f>
        <v>0</v>
      </c>
      <c r="Y154" s="55"/>
      <c r="Z154" s="55"/>
      <c r="AA154" s="55"/>
      <c r="AB154" s="55"/>
      <c r="AC154" s="56">
        <f t="shared" si="118"/>
        <v>0</v>
      </c>
      <c r="AD154" s="57"/>
      <c r="AE154" s="57"/>
      <c r="AF154" s="57"/>
      <c r="AG154" s="57"/>
      <c r="AH154" s="57"/>
      <c r="AI154" s="57"/>
      <c r="AJ154" s="118">
        <f>(Tableau1[[#This Row],[Recette guichet ]]*1.1275177)-Tableau1[[#This Row],[Recette guichet ]]</f>
        <v>0</v>
      </c>
      <c r="AK154" s="57"/>
      <c r="AL154" s="56">
        <f t="shared" si="119"/>
        <v>0</v>
      </c>
      <c r="AM154" s="58"/>
      <c r="AN154" s="58"/>
      <c r="AO154" s="58"/>
      <c r="AP154" s="115">
        <f t="shared" si="90"/>
        <v>0</v>
      </c>
      <c r="AQ154" s="69"/>
      <c r="AR154" s="69"/>
      <c r="AS154" s="69"/>
      <c r="AT154" s="69"/>
      <c r="AU154" s="59">
        <f t="shared" si="91"/>
        <v>0</v>
      </c>
      <c r="AV154" s="60">
        <f t="shared" si="92"/>
        <v>0</v>
      </c>
      <c r="AW154" s="58"/>
      <c r="AX154" s="58"/>
      <c r="AY154" s="58"/>
      <c r="AZ154" s="60">
        <f t="shared" si="82"/>
        <v>0</v>
      </c>
      <c r="BA154" s="58"/>
      <c r="BB154" s="58"/>
      <c r="BC154" s="58"/>
      <c r="BD154" s="60">
        <f>SUM(Tableau1[[#This Row],[ticket/carte/abonnement périmé]:[Autres ou non précisé 5]])</f>
        <v>0</v>
      </c>
      <c r="BE154" s="58"/>
      <c r="BF154" s="58"/>
      <c r="BG154" s="58"/>
      <c r="BH154" s="61">
        <f t="shared" si="93"/>
        <v>0</v>
      </c>
      <c r="BI154" s="120"/>
      <c r="BJ154" s="120"/>
      <c r="BK154" s="62">
        <f t="shared" si="94"/>
        <v>0</v>
      </c>
      <c r="BL154" s="120"/>
      <c r="BM154" s="120"/>
      <c r="BN154" s="120"/>
      <c r="BO154" s="120"/>
      <c r="BP154" s="120"/>
      <c r="BQ154" s="63"/>
      <c r="BR154" s="52">
        <f t="shared" si="95"/>
        <v>0</v>
      </c>
      <c r="BS154" s="52">
        <f t="shared" si="96"/>
        <v>0</v>
      </c>
      <c r="BT154" s="61">
        <f t="shared" si="97"/>
        <v>0</v>
      </c>
      <c r="BU154" s="64">
        <f t="shared" si="98"/>
        <v>0</v>
      </c>
      <c r="BV154" s="119">
        <f>SUM(Tableau1[[#This Row],[Achats confiserie]:[Achats boisson]])</f>
        <v>0</v>
      </c>
      <c r="BW154" s="58"/>
      <c r="BX154" s="69"/>
      <c r="BY154" s="58"/>
      <c r="BZ154" s="56">
        <f t="shared" si="99"/>
        <v>0</v>
      </c>
      <c r="CA154" s="66"/>
      <c r="CB154" s="66"/>
      <c r="CC154" s="56">
        <f t="shared" si="100"/>
        <v>0</v>
      </c>
      <c r="CD154" s="55"/>
      <c r="CE154" s="65"/>
      <c r="CF154" s="55"/>
      <c r="CG154" s="55"/>
      <c r="CH154" s="67">
        <f t="shared" si="101"/>
        <v>0</v>
      </c>
      <c r="CI154" s="68">
        <f t="shared" si="117"/>
        <v>0</v>
      </c>
      <c r="CJ154" s="55"/>
      <c r="CK154" s="55"/>
      <c r="CL154" s="55"/>
      <c r="CM154" s="55"/>
      <c r="CN154" s="55"/>
      <c r="CO154" s="68">
        <f t="shared" si="102"/>
        <v>0</v>
      </c>
      <c r="CP154" s="75">
        <f>SUM(Tableau1[[#This Row],[Fourniture eau]:[Energie (non précisé)]])</f>
        <v>0</v>
      </c>
      <c r="CQ154" s="55"/>
      <c r="CR154" s="55"/>
      <c r="CS154" s="55"/>
      <c r="CT154" s="55"/>
      <c r="CU154" s="55"/>
      <c r="CV154" s="55">
        <v>0</v>
      </c>
      <c r="CW154" s="55"/>
      <c r="CX154" s="68">
        <f>SUM(Tableau1[[#This Row],[Sous-traitance]:[Autres ou non précisé 12]])</f>
        <v>0</v>
      </c>
      <c r="CY154" s="65"/>
      <c r="CZ154" s="65"/>
      <c r="DA154" s="65"/>
      <c r="DB154" s="65"/>
      <c r="DC154" s="55"/>
      <c r="DD154" s="68">
        <f t="shared" si="83"/>
        <v>0</v>
      </c>
      <c r="DE154" s="55"/>
      <c r="DF154" s="65"/>
      <c r="DG154" s="65"/>
      <c r="DH154" s="65"/>
      <c r="DI154" s="68">
        <f>SUM(Tableau1[[#This Row],[Entretien et réparation matériel de projection]:[Autres ou non précisé 14]])</f>
        <v>0</v>
      </c>
      <c r="DJ154" s="58"/>
      <c r="DK154" s="58"/>
      <c r="DL154" s="69"/>
      <c r="DM154" s="68">
        <f t="shared" si="103"/>
        <v>0</v>
      </c>
      <c r="DN154" s="58"/>
      <c r="DO154" s="58"/>
      <c r="DP154" s="68">
        <f t="shared" si="104"/>
        <v>0</v>
      </c>
      <c r="DQ154" s="65"/>
      <c r="DR154" s="65"/>
      <c r="DS154" s="68">
        <f t="shared" si="105"/>
        <v>0</v>
      </c>
      <c r="DT154" s="65"/>
      <c r="DU154" s="65"/>
      <c r="DV154" s="65"/>
      <c r="DW154" s="68">
        <f>SUM(Tableau1[[#This Row],[Comission et courtage sur achats]:[Autres ou honoraires
 non précisé ]])</f>
        <v>0</v>
      </c>
      <c r="DX154" s="57"/>
      <c r="DY154" s="57"/>
      <c r="DZ154" s="65"/>
      <c r="EA154" s="65"/>
      <c r="EB154" s="65"/>
      <c r="EC154" s="68">
        <f t="shared" si="106"/>
        <v>0</v>
      </c>
      <c r="ED154" s="69"/>
      <c r="EE154" s="69"/>
      <c r="EF154" s="69"/>
      <c r="EG154" s="69"/>
      <c r="EH154" s="69"/>
      <c r="EI154" s="84">
        <f>SUM(Tableau1[[#This Row],[Transports sur films]:[autres ]])</f>
        <v>0</v>
      </c>
      <c r="EJ154" s="132">
        <v>0</v>
      </c>
      <c r="EK154" s="132"/>
      <c r="EL154" s="68">
        <f t="shared" si="107"/>
        <v>0</v>
      </c>
      <c r="EM154" s="65"/>
      <c r="EN154" s="65">
        <v>0</v>
      </c>
      <c r="EO154" s="65"/>
      <c r="EP154" s="65"/>
      <c r="EQ154" s="65"/>
      <c r="ER154" s="65"/>
      <c r="ES154" s="65"/>
      <c r="ET154" s="68">
        <f t="shared" si="108"/>
        <v>0</v>
      </c>
      <c r="EU154" s="65"/>
      <c r="EV154" s="65"/>
      <c r="EW154" s="65"/>
      <c r="EX154" s="65"/>
      <c r="EY154" s="65"/>
      <c r="EZ154" s="68">
        <f t="shared" si="85"/>
        <v>0</v>
      </c>
      <c r="FA154" s="65"/>
      <c r="FB154" s="65"/>
      <c r="FC154" s="70">
        <f t="shared" si="84"/>
        <v>0</v>
      </c>
      <c r="FD154" s="65"/>
      <c r="FE154" s="71">
        <f t="shared" si="109"/>
        <v>0</v>
      </c>
      <c r="FF154" s="72">
        <f t="shared" si="110"/>
        <v>0</v>
      </c>
      <c r="FG154" s="65"/>
      <c r="FH154" s="65"/>
      <c r="FI154" s="65"/>
      <c r="FJ154" s="56">
        <f t="shared" si="111"/>
        <v>0</v>
      </c>
      <c r="FK154" s="65"/>
      <c r="FL154" s="65"/>
      <c r="FM154" s="65"/>
      <c r="FN154" s="65"/>
      <c r="FO154" s="67">
        <f t="shared" si="112"/>
        <v>0</v>
      </c>
      <c r="FP154" s="57"/>
      <c r="FQ154" s="73"/>
      <c r="FR154" s="73"/>
      <c r="FS154" s="71">
        <f t="shared" si="113"/>
        <v>0</v>
      </c>
      <c r="FT154" s="91"/>
      <c r="FU154" s="91"/>
      <c r="FV154" s="67">
        <f>SUM(Tableau1[[#This Row],[Droits d''auteurs SACEM + cotisations SACEM]:[Autres ou non préciés]])</f>
        <v>0</v>
      </c>
      <c r="FW154" s="75">
        <f t="shared" si="114"/>
        <v>0</v>
      </c>
      <c r="FX154" s="74">
        <v>0</v>
      </c>
      <c r="FY154" s="74"/>
      <c r="FZ154" s="74"/>
      <c r="GA154" s="74"/>
      <c r="GB154" s="71">
        <f t="shared" si="115"/>
        <v>0</v>
      </c>
      <c r="GC154" s="92"/>
      <c r="GD154" s="92"/>
      <c r="GE154" s="67">
        <f t="shared" si="116"/>
        <v>0</v>
      </c>
      <c r="GF154" s="66"/>
      <c r="GG154" s="66"/>
      <c r="GH154" s="66"/>
      <c r="GI154" s="66"/>
      <c r="GJ154" s="77"/>
    </row>
    <row r="155" spans="1:192" ht="18.600000000000001" customHeight="1" x14ac:dyDescent="0.25">
      <c r="A155" s="89"/>
      <c r="B155" s="17"/>
      <c r="C155" s="50"/>
      <c r="D155" s="140"/>
      <c r="E155" s="51"/>
      <c r="F155" s="139">
        <f t="shared" si="81"/>
        <v>1</v>
      </c>
      <c r="G155" s="49"/>
      <c r="H155" s="50"/>
      <c r="I155" s="122"/>
      <c r="J155" s="49"/>
      <c r="K155" s="50"/>
      <c r="L155" s="50"/>
      <c r="M155" s="90"/>
      <c r="N155" s="50"/>
      <c r="O155" s="50"/>
      <c r="P155" s="90"/>
      <c r="Q155" s="52">
        <f t="shared" si="86"/>
        <v>0</v>
      </c>
      <c r="R155" s="52">
        <f t="shared" si="87"/>
        <v>0</v>
      </c>
      <c r="S155" s="53">
        <f t="shared" si="88"/>
        <v>0</v>
      </c>
      <c r="T155" s="54">
        <f t="shared" si="89"/>
        <v>0</v>
      </c>
      <c r="U155" s="115">
        <f>SUM(Tableau1[[#This Row],[Vente confiserie]:[Vente boisson]])</f>
        <v>0</v>
      </c>
      <c r="V155" s="55"/>
      <c r="W155" s="55"/>
      <c r="X155" s="135">
        <f>SUM(Tableau1[[#This Row],[Vente lunette]:[Location lunette]])</f>
        <v>0</v>
      </c>
      <c r="Y155" s="55"/>
      <c r="Z155" s="55"/>
      <c r="AA155" s="55"/>
      <c r="AB155" s="55"/>
      <c r="AC155" s="56">
        <f t="shared" si="118"/>
        <v>0</v>
      </c>
      <c r="AD155" s="57"/>
      <c r="AE155" s="57"/>
      <c r="AF155" s="57"/>
      <c r="AG155" s="57"/>
      <c r="AH155" s="57"/>
      <c r="AI155" s="57"/>
      <c r="AJ155" s="118">
        <f>(Tableau1[[#This Row],[Recette guichet ]]*1.1275177)-Tableau1[[#This Row],[Recette guichet ]]</f>
        <v>0</v>
      </c>
      <c r="AK155" s="57"/>
      <c r="AL155" s="56">
        <f t="shared" si="119"/>
        <v>0</v>
      </c>
      <c r="AM155" s="58"/>
      <c r="AN155" s="58"/>
      <c r="AO155" s="58"/>
      <c r="AP155" s="115">
        <f t="shared" si="90"/>
        <v>0</v>
      </c>
      <c r="AQ155" s="69"/>
      <c r="AR155" s="69"/>
      <c r="AS155" s="69"/>
      <c r="AT155" s="69"/>
      <c r="AU155" s="59">
        <f t="shared" si="91"/>
        <v>0</v>
      </c>
      <c r="AV155" s="60">
        <f t="shared" si="92"/>
        <v>0</v>
      </c>
      <c r="AW155" s="58"/>
      <c r="AX155" s="58"/>
      <c r="AY155" s="58"/>
      <c r="AZ155" s="60">
        <f t="shared" si="82"/>
        <v>0</v>
      </c>
      <c r="BA155" s="58"/>
      <c r="BB155" s="58"/>
      <c r="BC155" s="58"/>
      <c r="BD155" s="60">
        <f>SUM(Tableau1[[#This Row],[ticket/carte/abonnement périmé]:[Autres ou non précisé 5]])</f>
        <v>0</v>
      </c>
      <c r="BE155" s="58"/>
      <c r="BF155" s="58"/>
      <c r="BG155" s="58"/>
      <c r="BH155" s="61">
        <f t="shared" si="93"/>
        <v>0</v>
      </c>
      <c r="BI155" s="120"/>
      <c r="BJ155" s="120"/>
      <c r="BK155" s="62">
        <f t="shared" si="94"/>
        <v>0</v>
      </c>
      <c r="BL155" s="120"/>
      <c r="BM155" s="120"/>
      <c r="BN155" s="120"/>
      <c r="BO155" s="120"/>
      <c r="BP155" s="120"/>
      <c r="BQ155" s="63"/>
      <c r="BR155" s="52">
        <f t="shared" si="95"/>
        <v>0</v>
      </c>
      <c r="BS155" s="52">
        <f t="shared" si="96"/>
        <v>0</v>
      </c>
      <c r="BT155" s="61">
        <f t="shared" si="97"/>
        <v>0</v>
      </c>
      <c r="BU155" s="64">
        <f t="shared" si="98"/>
        <v>0</v>
      </c>
      <c r="BV155" s="119">
        <f>SUM(Tableau1[[#This Row],[Achats confiserie]:[Achats boisson]])</f>
        <v>0</v>
      </c>
      <c r="BW155" s="58"/>
      <c r="BX155" s="69"/>
      <c r="BY155" s="58"/>
      <c r="BZ155" s="56">
        <f t="shared" si="99"/>
        <v>0</v>
      </c>
      <c r="CA155" s="66"/>
      <c r="CB155" s="66"/>
      <c r="CC155" s="56">
        <f t="shared" si="100"/>
        <v>0</v>
      </c>
      <c r="CD155" s="55"/>
      <c r="CE155" s="65"/>
      <c r="CF155" s="55"/>
      <c r="CG155" s="55"/>
      <c r="CH155" s="67">
        <f t="shared" si="101"/>
        <v>0</v>
      </c>
      <c r="CI155" s="68">
        <f t="shared" si="117"/>
        <v>0</v>
      </c>
      <c r="CJ155" s="55"/>
      <c r="CK155" s="55"/>
      <c r="CL155" s="55"/>
      <c r="CM155" s="55"/>
      <c r="CN155" s="55"/>
      <c r="CO155" s="68">
        <f t="shared" si="102"/>
        <v>0</v>
      </c>
      <c r="CP155" s="75">
        <f>SUM(Tableau1[[#This Row],[Fourniture eau]:[Energie (non précisé)]])</f>
        <v>0</v>
      </c>
      <c r="CQ155" s="55"/>
      <c r="CR155" s="55"/>
      <c r="CS155" s="55"/>
      <c r="CT155" s="55"/>
      <c r="CU155" s="55"/>
      <c r="CV155" s="55">
        <v>0</v>
      </c>
      <c r="CW155" s="55"/>
      <c r="CX155" s="68">
        <f>SUM(Tableau1[[#This Row],[Sous-traitance]:[Autres ou non précisé 12]])</f>
        <v>0</v>
      </c>
      <c r="CY155" s="65"/>
      <c r="CZ155" s="65"/>
      <c r="DA155" s="65"/>
      <c r="DB155" s="65"/>
      <c r="DC155" s="55"/>
      <c r="DD155" s="68">
        <f t="shared" si="83"/>
        <v>0</v>
      </c>
      <c r="DE155" s="55"/>
      <c r="DF155" s="65"/>
      <c r="DG155" s="65"/>
      <c r="DH155" s="65"/>
      <c r="DI155" s="68">
        <f>SUM(Tableau1[[#This Row],[Entretien et réparation matériel de projection]:[Autres ou non précisé 14]])</f>
        <v>0</v>
      </c>
      <c r="DJ155" s="58"/>
      <c r="DK155" s="58"/>
      <c r="DL155" s="69"/>
      <c r="DM155" s="68">
        <f t="shared" si="103"/>
        <v>0</v>
      </c>
      <c r="DN155" s="58"/>
      <c r="DO155" s="58"/>
      <c r="DP155" s="68">
        <f t="shared" si="104"/>
        <v>0</v>
      </c>
      <c r="DQ155" s="65"/>
      <c r="DR155" s="65"/>
      <c r="DS155" s="68">
        <f t="shared" si="105"/>
        <v>0</v>
      </c>
      <c r="DT155" s="65"/>
      <c r="DU155" s="65"/>
      <c r="DV155" s="65"/>
      <c r="DW155" s="68">
        <f>SUM(Tableau1[[#This Row],[Comission et courtage sur achats]:[Autres ou honoraires
 non précisé ]])</f>
        <v>0</v>
      </c>
      <c r="DX155" s="57"/>
      <c r="DY155" s="57"/>
      <c r="DZ155" s="65"/>
      <c r="EA155" s="65"/>
      <c r="EB155" s="65"/>
      <c r="EC155" s="68">
        <f t="shared" si="106"/>
        <v>0</v>
      </c>
      <c r="ED155" s="69"/>
      <c r="EE155" s="69"/>
      <c r="EF155" s="69"/>
      <c r="EG155" s="69"/>
      <c r="EH155" s="69"/>
      <c r="EI155" s="84">
        <f>SUM(Tableau1[[#This Row],[Transports sur films]:[autres ]])</f>
        <v>0</v>
      </c>
      <c r="EJ155" s="132">
        <v>0</v>
      </c>
      <c r="EK155" s="132"/>
      <c r="EL155" s="68">
        <f t="shared" si="107"/>
        <v>0</v>
      </c>
      <c r="EM155" s="65"/>
      <c r="EN155" s="65">
        <v>0</v>
      </c>
      <c r="EO155" s="65"/>
      <c r="EP155" s="65"/>
      <c r="EQ155" s="65"/>
      <c r="ER155" s="65"/>
      <c r="ES155" s="65"/>
      <c r="ET155" s="68">
        <f t="shared" si="108"/>
        <v>0</v>
      </c>
      <c r="EU155" s="65"/>
      <c r="EV155" s="65"/>
      <c r="EW155" s="65"/>
      <c r="EX155" s="65"/>
      <c r="EY155" s="65"/>
      <c r="EZ155" s="68">
        <f t="shared" si="85"/>
        <v>0</v>
      </c>
      <c r="FA155" s="65"/>
      <c r="FB155" s="65"/>
      <c r="FC155" s="70">
        <f t="shared" si="84"/>
        <v>0</v>
      </c>
      <c r="FD155" s="65"/>
      <c r="FE155" s="71">
        <f t="shared" si="109"/>
        <v>0</v>
      </c>
      <c r="FF155" s="72">
        <f t="shared" si="110"/>
        <v>0</v>
      </c>
      <c r="FG155" s="65"/>
      <c r="FH155" s="65"/>
      <c r="FI155" s="65"/>
      <c r="FJ155" s="56">
        <f t="shared" si="111"/>
        <v>0</v>
      </c>
      <c r="FK155" s="65"/>
      <c r="FL155" s="65"/>
      <c r="FM155" s="65"/>
      <c r="FN155" s="65"/>
      <c r="FO155" s="67">
        <f t="shared" si="112"/>
        <v>0</v>
      </c>
      <c r="FP155" s="57"/>
      <c r="FQ155" s="73"/>
      <c r="FR155" s="73"/>
      <c r="FS155" s="71">
        <f t="shared" si="113"/>
        <v>0</v>
      </c>
      <c r="FT155" s="91"/>
      <c r="FU155" s="91"/>
      <c r="FV155" s="67">
        <f>SUM(Tableau1[[#This Row],[Droits d''auteurs SACEM + cotisations SACEM]:[Autres ou non préciés]])</f>
        <v>0</v>
      </c>
      <c r="FW155" s="75">
        <f t="shared" si="114"/>
        <v>0</v>
      </c>
      <c r="FX155" s="74">
        <v>0</v>
      </c>
      <c r="FY155" s="74"/>
      <c r="FZ155" s="74"/>
      <c r="GA155" s="74"/>
      <c r="GB155" s="71">
        <f t="shared" si="115"/>
        <v>0</v>
      </c>
      <c r="GC155" s="92"/>
      <c r="GD155" s="92"/>
      <c r="GE155" s="67">
        <f t="shared" si="116"/>
        <v>0</v>
      </c>
      <c r="GF155" s="66"/>
      <c r="GG155" s="66"/>
      <c r="GH155" s="66"/>
      <c r="GI155" s="66"/>
      <c r="GJ155" s="77"/>
    </row>
    <row r="156" spans="1:192" ht="18.600000000000001" customHeight="1" x14ac:dyDescent="0.25">
      <c r="A156" s="89"/>
      <c r="B156" s="17"/>
      <c r="C156" s="50"/>
      <c r="D156" s="140"/>
      <c r="E156" s="51"/>
      <c r="F156" s="139">
        <f t="shared" si="81"/>
        <v>1</v>
      </c>
      <c r="G156" s="49"/>
      <c r="H156" s="50"/>
      <c r="I156" s="122"/>
      <c r="J156" s="49"/>
      <c r="K156" s="50"/>
      <c r="L156" s="50"/>
      <c r="M156" s="90"/>
      <c r="N156" s="50"/>
      <c r="O156" s="50"/>
      <c r="P156" s="90"/>
      <c r="Q156" s="52">
        <f t="shared" si="86"/>
        <v>0</v>
      </c>
      <c r="R156" s="52">
        <f t="shared" si="87"/>
        <v>0</v>
      </c>
      <c r="S156" s="53">
        <f t="shared" si="88"/>
        <v>0</v>
      </c>
      <c r="T156" s="54">
        <f t="shared" si="89"/>
        <v>0</v>
      </c>
      <c r="U156" s="115">
        <f>SUM(Tableau1[[#This Row],[Vente confiserie]:[Vente boisson]])</f>
        <v>0</v>
      </c>
      <c r="V156" s="55"/>
      <c r="W156" s="55"/>
      <c r="X156" s="135">
        <f>SUM(Tableau1[[#This Row],[Vente lunette]:[Location lunette]])</f>
        <v>0</v>
      </c>
      <c r="Y156" s="55"/>
      <c r="Z156" s="55"/>
      <c r="AA156" s="55"/>
      <c r="AB156" s="55"/>
      <c r="AC156" s="56">
        <f t="shared" si="118"/>
        <v>0</v>
      </c>
      <c r="AD156" s="57"/>
      <c r="AE156" s="57"/>
      <c r="AF156" s="57"/>
      <c r="AG156" s="57"/>
      <c r="AH156" s="57"/>
      <c r="AI156" s="57"/>
      <c r="AJ156" s="118">
        <f>(Tableau1[[#This Row],[Recette guichet ]]*1.1275177)-Tableau1[[#This Row],[Recette guichet ]]</f>
        <v>0</v>
      </c>
      <c r="AK156" s="57"/>
      <c r="AL156" s="56">
        <f t="shared" si="119"/>
        <v>0</v>
      </c>
      <c r="AM156" s="58"/>
      <c r="AN156" s="58"/>
      <c r="AO156" s="58"/>
      <c r="AP156" s="115">
        <f t="shared" si="90"/>
        <v>0</v>
      </c>
      <c r="AQ156" s="69"/>
      <c r="AR156" s="69"/>
      <c r="AS156" s="69"/>
      <c r="AT156" s="69"/>
      <c r="AU156" s="59">
        <f t="shared" si="91"/>
        <v>0</v>
      </c>
      <c r="AV156" s="60">
        <f t="shared" si="92"/>
        <v>0</v>
      </c>
      <c r="AW156" s="58"/>
      <c r="AX156" s="58"/>
      <c r="AY156" s="58"/>
      <c r="AZ156" s="60">
        <f t="shared" si="82"/>
        <v>0</v>
      </c>
      <c r="BA156" s="58"/>
      <c r="BB156" s="58"/>
      <c r="BC156" s="58"/>
      <c r="BD156" s="60">
        <f>SUM(Tableau1[[#This Row],[ticket/carte/abonnement périmé]:[Autres ou non précisé 5]])</f>
        <v>0</v>
      </c>
      <c r="BE156" s="58"/>
      <c r="BF156" s="58"/>
      <c r="BG156" s="58"/>
      <c r="BH156" s="61">
        <f t="shared" si="93"/>
        <v>0</v>
      </c>
      <c r="BI156" s="120"/>
      <c r="BJ156" s="120"/>
      <c r="BK156" s="62">
        <f t="shared" si="94"/>
        <v>0</v>
      </c>
      <c r="BL156" s="120"/>
      <c r="BM156" s="120"/>
      <c r="BN156" s="120"/>
      <c r="BO156" s="120"/>
      <c r="BP156" s="120"/>
      <c r="BQ156" s="63"/>
      <c r="BR156" s="52">
        <f t="shared" si="95"/>
        <v>0</v>
      </c>
      <c r="BS156" s="52">
        <f t="shared" si="96"/>
        <v>0</v>
      </c>
      <c r="BT156" s="61">
        <f t="shared" si="97"/>
        <v>0</v>
      </c>
      <c r="BU156" s="64">
        <f t="shared" si="98"/>
        <v>0</v>
      </c>
      <c r="BV156" s="119">
        <f>SUM(Tableau1[[#This Row],[Achats confiserie]:[Achats boisson]])</f>
        <v>0</v>
      </c>
      <c r="BW156" s="58"/>
      <c r="BX156" s="69"/>
      <c r="BY156" s="58"/>
      <c r="BZ156" s="56">
        <f t="shared" si="99"/>
        <v>0</v>
      </c>
      <c r="CA156" s="66"/>
      <c r="CB156" s="66"/>
      <c r="CC156" s="56">
        <f t="shared" si="100"/>
        <v>0</v>
      </c>
      <c r="CD156" s="55"/>
      <c r="CE156" s="65"/>
      <c r="CF156" s="55"/>
      <c r="CG156" s="55"/>
      <c r="CH156" s="67">
        <f t="shared" si="101"/>
        <v>0</v>
      </c>
      <c r="CI156" s="68">
        <f t="shared" si="117"/>
        <v>0</v>
      </c>
      <c r="CJ156" s="55"/>
      <c r="CK156" s="55"/>
      <c r="CL156" s="55"/>
      <c r="CM156" s="55"/>
      <c r="CN156" s="55"/>
      <c r="CO156" s="68">
        <f t="shared" si="102"/>
        <v>0</v>
      </c>
      <c r="CP156" s="75">
        <f>SUM(Tableau1[[#This Row],[Fourniture eau]:[Energie (non précisé)]])</f>
        <v>0</v>
      </c>
      <c r="CQ156" s="55"/>
      <c r="CR156" s="55"/>
      <c r="CS156" s="55"/>
      <c r="CT156" s="55"/>
      <c r="CU156" s="55"/>
      <c r="CV156" s="55">
        <v>0</v>
      </c>
      <c r="CW156" s="55"/>
      <c r="CX156" s="68">
        <f>SUM(Tableau1[[#This Row],[Sous-traitance]:[Autres ou non précisé 12]])</f>
        <v>0</v>
      </c>
      <c r="CY156" s="65"/>
      <c r="CZ156" s="65"/>
      <c r="DA156" s="65"/>
      <c r="DB156" s="65"/>
      <c r="DC156" s="55"/>
      <c r="DD156" s="68">
        <f t="shared" si="83"/>
        <v>0</v>
      </c>
      <c r="DE156" s="55"/>
      <c r="DF156" s="65"/>
      <c r="DG156" s="65"/>
      <c r="DH156" s="65"/>
      <c r="DI156" s="68">
        <f>SUM(Tableau1[[#This Row],[Entretien et réparation matériel de projection]:[Autres ou non précisé 14]])</f>
        <v>0</v>
      </c>
      <c r="DJ156" s="58"/>
      <c r="DK156" s="58"/>
      <c r="DL156" s="69"/>
      <c r="DM156" s="68">
        <f t="shared" si="103"/>
        <v>0</v>
      </c>
      <c r="DN156" s="58"/>
      <c r="DO156" s="58"/>
      <c r="DP156" s="68">
        <f t="shared" si="104"/>
        <v>0</v>
      </c>
      <c r="DQ156" s="65"/>
      <c r="DR156" s="65"/>
      <c r="DS156" s="68">
        <f t="shared" si="105"/>
        <v>0</v>
      </c>
      <c r="DT156" s="65"/>
      <c r="DU156" s="65"/>
      <c r="DV156" s="65"/>
      <c r="DW156" s="68">
        <f>SUM(Tableau1[[#This Row],[Comission et courtage sur achats]:[Autres ou honoraires
 non précisé ]])</f>
        <v>0</v>
      </c>
      <c r="DX156" s="57"/>
      <c r="DY156" s="57"/>
      <c r="DZ156" s="65"/>
      <c r="EA156" s="65"/>
      <c r="EB156" s="65"/>
      <c r="EC156" s="68">
        <f t="shared" si="106"/>
        <v>0</v>
      </c>
      <c r="ED156" s="69"/>
      <c r="EE156" s="69"/>
      <c r="EF156" s="69"/>
      <c r="EG156" s="69"/>
      <c r="EH156" s="69"/>
      <c r="EI156" s="84">
        <f>SUM(Tableau1[[#This Row],[Transports sur films]:[autres ]])</f>
        <v>0</v>
      </c>
      <c r="EJ156" s="132">
        <v>0</v>
      </c>
      <c r="EK156" s="132"/>
      <c r="EL156" s="68">
        <f t="shared" si="107"/>
        <v>0</v>
      </c>
      <c r="EM156" s="65"/>
      <c r="EN156" s="65">
        <v>0</v>
      </c>
      <c r="EO156" s="65"/>
      <c r="EP156" s="65"/>
      <c r="EQ156" s="65"/>
      <c r="ER156" s="65"/>
      <c r="ES156" s="65"/>
      <c r="ET156" s="68">
        <f t="shared" si="108"/>
        <v>0</v>
      </c>
      <c r="EU156" s="65"/>
      <c r="EV156" s="65"/>
      <c r="EW156" s="65"/>
      <c r="EX156" s="65"/>
      <c r="EY156" s="65"/>
      <c r="EZ156" s="68">
        <f t="shared" si="85"/>
        <v>0</v>
      </c>
      <c r="FA156" s="65"/>
      <c r="FB156" s="65"/>
      <c r="FC156" s="70">
        <f t="shared" si="84"/>
        <v>0</v>
      </c>
      <c r="FD156" s="65"/>
      <c r="FE156" s="71">
        <f t="shared" si="109"/>
        <v>0</v>
      </c>
      <c r="FF156" s="72">
        <f t="shared" si="110"/>
        <v>0</v>
      </c>
      <c r="FG156" s="65"/>
      <c r="FH156" s="65"/>
      <c r="FI156" s="65"/>
      <c r="FJ156" s="56">
        <f t="shared" si="111"/>
        <v>0</v>
      </c>
      <c r="FK156" s="65"/>
      <c r="FL156" s="65"/>
      <c r="FM156" s="65"/>
      <c r="FN156" s="65"/>
      <c r="FO156" s="67">
        <f t="shared" si="112"/>
        <v>0</v>
      </c>
      <c r="FP156" s="57"/>
      <c r="FQ156" s="73"/>
      <c r="FR156" s="73"/>
      <c r="FS156" s="71">
        <f t="shared" si="113"/>
        <v>0</v>
      </c>
      <c r="FT156" s="91"/>
      <c r="FU156" s="91"/>
      <c r="FV156" s="67">
        <f>SUM(Tableau1[[#This Row],[Droits d''auteurs SACEM + cotisations SACEM]:[Autres ou non préciés]])</f>
        <v>0</v>
      </c>
      <c r="FW156" s="75">
        <f t="shared" si="114"/>
        <v>0</v>
      </c>
      <c r="FX156" s="74">
        <v>0</v>
      </c>
      <c r="FY156" s="74"/>
      <c r="FZ156" s="74"/>
      <c r="GA156" s="74"/>
      <c r="GB156" s="71">
        <f t="shared" si="115"/>
        <v>0</v>
      </c>
      <c r="GC156" s="92"/>
      <c r="GD156" s="92"/>
      <c r="GE156" s="67">
        <f t="shared" si="116"/>
        <v>0</v>
      </c>
      <c r="GF156" s="66"/>
      <c r="GG156" s="66"/>
      <c r="GH156" s="66"/>
      <c r="GI156" s="66"/>
      <c r="GJ156" s="77"/>
    </row>
    <row r="157" spans="1:192" ht="18.600000000000001" customHeight="1" x14ac:dyDescent="0.25">
      <c r="A157" s="89"/>
      <c r="B157" s="17"/>
      <c r="C157" s="50"/>
      <c r="D157" s="140"/>
      <c r="E157" s="51"/>
      <c r="F157" s="139">
        <f t="shared" si="81"/>
        <v>1</v>
      </c>
      <c r="G157" s="49"/>
      <c r="H157" s="50"/>
      <c r="I157" s="122"/>
      <c r="J157" s="49"/>
      <c r="K157" s="50"/>
      <c r="L157" s="50"/>
      <c r="M157" s="90"/>
      <c r="N157" s="50"/>
      <c r="O157" s="50"/>
      <c r="P157" s="90"/>
      <c r="Q157" s="52">
        <f t="shared" si="86"/>
        <v>0</v>
      </c>
      <c r="R157" s="52">
        <f t="shared" si="87"/>
        <v>0</v>
      </c>
      <c r="S157" s="53">
        <f t="shared" si="88"/>
        <v>0</v>
      </c>
      <c r="T157" s="54">
        <f t="shared" si="89"/>
        <v>0</v>
      </c>
      <c r="U157" s="115">
        <f>SUM(Tableau1[[#This Row],[Vente confiserie]:[Vente boisson]])</f>
        <v>0</v>
      </c>
      <c r="V157" s="55"/>
      <c r="W157" s="55"/>
      <c r="X157" s="135">
        <f>SUM(Tableau1[[#This Row],[Vente lunette]:[Location lunette]])</f>
        <v>0</v>
      </c>
      <c r="Y157" s="55"/>
      <c r="Z157" s="55"/>
      <c r="AA157" s="55"/>
      <c r="AB157" s="55"/>
      <c r="AC157" s="56">
        <f t="shared" si="118"/>
        <v>0</v>
      </c>
      <c r="AD157" s="57"/>
      <c r="AE157" s="57"/>
      <c r="AF157" s="57"/>
      <c r="AG157" s="57"/>
      <c r="AH157" s="57"/>
      <c r="AI157" s="57"/>
      <c r="AJ157" s="118">
        <f>(Tableau1[[#This Row],[Recette guichet ]]*1.1275177)-Tableau1[[#This Row],[Recette guichet ]]</f>
        <v>0</v>
      </c>
      <c r="AK157" s="57"/>
      <c r="AL157" s="56">
        <f t="shared" si="119"/>
        <v>0</v>
      </c>
      <c r="AM157" s="58"/>
      <c r="AN157" s="58"/>
      <c r="AO157" s="58"/>
      <c r="AP157" s="115">
        <f t="shared" si="90"/>
        <v>0</v>
      </c>
      <c r="AQ157" s="69"/>
      <c r="AR157" s="69"/>
      <c r="AS157" s="69"/>
      <c r="AT157" s="69"/>
      <c r="AU157" s="59">
        <f t="shared" si="91"/>
        <v>0</v>
      </c>
      <c r="AV157" s="60">
        <f t="shared" si="92"/>
        <v>0</v>
      </c>
      <c r="AW157" s="58"/>
      <c r="AX157" s="58"/>
      <c r="AY157" s="58"/>
      <c r="AZ157" s="60">
        <f t="shared" si="82"/>
        <v>0</v>
      </c>
      <c r="BA157" s="58"/>
      <c r="BB157" s="58"/>
      <c r="BC157" s="58"/>
      <c r="BD157" s="60">
        <f>SUM(Tableau1[[#This Row],[ticket/carte/abonnement périmé]:[Autres ou non précisé 5]])</f>
        <v>0</v>
      </c>
      <c r="BE157" s="58"/>
      <c r="BF157" s="58"/>
      <c r="BG157" s="58"/>
      <c r="BH157" s="61">
        <f t="shared" si="93"/>
        <v>0</v>
      </c>
      <c r="BI157" s="120"/>
      <c r="BJ157" s="120"/>
      <c r="BK157" s="62">
        <f t="shared" si="94"/>
        <v>0</v>
      </c>
      <c r="BL157" s="120"/>
      <c r="BM157" s="120"/>
      <c r="BN157" s="120"/>
      <c r="BO157" s="120"/>
      <c r="BP157" s="120"/>
      <c r="BQ157" s="63"/>
      <c r="BR157" s="52">
        <f t="shared" si="95"/>
        <v>0</v>
      </c>
      <c r="BS157" s="52">
        <f t="shared" si="96"/>
        <v>0</v>
      </c>
      <c r="BT157" s="61">
        <f t="shared" si="97"/>
        <v>0</v>
      </c>
      <c r="BU157" s="64">
        <f t="shared" si="98"/>
        <v>0</v>
      </c>
      <c r="BV157" s="119">
        <f>SUM(Tableau1[[#This Row],[Achats confiserie]:[Achats boisson]])</f>
        <v>0</v>
      </c>
      <c r="BW157" s="58"/>
      <c r="BX157" s="69"/>
      <c r="BY157" s="58"/>
      <c r="BZ157" s="56">
        <f t="shared" si="99"/>
        <v>0</v>
      </c>
      <c r="CA157" s="66"/>
      <c r="CB157" s="66"/>
      <c r="CC157" s="56">
        <f t="shared" si="100"/>
        <v>0</v>
      </c>
      <c r="CD157" s="55"/>
      <c r="CE157" s="65"/>
      <c r="CF157" s="55"/>
      <c r="CG157" s="55"/>
      <c r="CH157" s="67">
        <f t="shared" si="101"/>
        <v>0</v>
      </c>
      <c r="CI157" s="68">
        <f t="shared" si="117"/>
        <v>0</v>
      </c>
      <c r="CJ157" s="55"/>
      <c r="CK157" s="55"/>
      <c r="CL157" s="55"/>
      <c r="CM157" s="55"/>
      <c r="CN157" s="55"/>
      <c r="CO157" s="68">
        <f t="shared" si="102"/>
        <v>0</v>
      </c>
      <c r="CP157" s="75">
        <f>SUM(Tableau1[[#This Row],[Fourniture eau]:[Energie (non précisé)]])</f>
        <v>0</v>
      </c>
      <c r="CQ157" s="55"/>
      <c r="CR157" s="55"/>
      <c r="CS157" s="55"/>
      <c r="CT157" s="55"/>
      <c r="CU157" s="55"/>
      <c r="CV157" s="55">
        <v>0</v>
      </c>
      <c r="CW157" s="55"/>
      <c r="CX157" s="68">
        <f>SUM(Tableau1[[#This Row],[Sous-traitance]:[Autres ou non précisé 12]])</f>
        <v>0</v>
      </c>
      <c r="CY157" s="65"/>
      <c r="CZ157" s="65"/>
      <c r="DA157" s="65"/>
      <c r="DB157" s="65"/>
      <c r="DC157" s="55"/>
      <c r="DD157" s="68">
        <f t="shared" si="83"/>
        <v>0</v>
      </c>
      <c r="DE157" s="55"/>
      <c r="DF157" s="65"/>
      <c r="DG157" s="65"/>
      <c r="DH157" s="65"/>
      <c r="DI157" s="68">
        <f>SUM(Tableau1[[#This Row],[Entretien et réparation matériel de projection]:[Autres ou non précisé 14]])</f>
        <v>0</v>
      </c>
      <c r="DJ157" s="58"/>
      <c r="DK157" s="58"/>
      <c r="DL157" s="69"/>
      <c r="DM157" s="68">
        <f t="shared" si="103"/>
        <v>0</v>
      </c>
      <c r="DN157" s="58"/>
      <c r="DO157" s="58"/>
      <c r="DP157" s="68">
        <f t="shared" si="104"/>
        <v>0</v>
      </c>
      <c r="DQ157" s="65"/>
      <c r="DR157" s="65"/>
      <c r="DS157" s="68">
        <f t="shared" si="105"/>
        <v>0</v>
      </c>
      <c r="DT157" s="65"/>
      <c r="DU157" s="65"/>
      <c r="DV157" s="65"/>
      <c r="DW157" s="68">
        <f>SUM(Tableau1[[#This Row],[Comission et courtage sur achats]:[Autres ou honoraires
 non précisé ]])</f>
        <v>0</v>
      </c>
      <c r="DX157" s="57"/>
      <c r="DY157" s="57"/>
      <c r="DZ157" s="65"/>
      <c r="EA157" s="65"/>
      <c r="EB157" s="65"/>
      <c r="EC157" s="68">
        <f t="shared" si="106"/>
        <v>0</v>
      </c>
      <c r="ED157" s="69"/>
      <c r="EE157" s="69"/>
      <c r="EF157" s="69"/>
      <c r="EG157" s="69"/>
      <c r="EH157" s="69"/>
      <c r="EI157" s="84">
        <f>SUM(Tableau1[[#This Row],[Transports sur films]:[autres ]])</f>
        <v>0</v>
      </c>
      <c r="EJ157" s="132">
        <v>0</v>
      </c>
      <c r="EK157" s="132"/>
      <c r="EL157" s="68">
        <f t="shared" si="107"/>
        <v>0</v>
      </c>
      <c r="EM157" s="65"/>
      <c r="EN157" s="65">
        <v>0</v>
      </c>
      <c r="EO157" s="65"/>
      <c r="EP157" s="65"/>
      <c r="EQ157" s="65"/>
      <c r="ER157" s="65"/>
      <c r="ES157" s="65"/>
      <c r="ET157" s="68">
        <f t="shared" si="108"/>
        <v>0</v>
      </c>
      <c r="EU157" s="65"/>
      <c r="EV157" s="65"/>
      <c r="EW157" s="65"/>
      <c r="EX157" s="65"/>
      <c r="EY157" s="65"/>
      <c r="EZ157" s="68">
        <f t="shared" si="85"/>
        <v>0</v>
      </c>
      <c r="FA157" s="65"/>
      <c r="FB157" s="65"/>
      <c r="FC157" s="70">
        <f t="shared" si="84"/>
        <v>0</v>
      </c>
      <c r="FD157" s="65"/>
      <c r="FE157" s="71">
        <f t="shared" si="109"/>
        <v>0</v>
      </c>
      <c r="FF157" s="72">
        <f t="shared" si="110"/>
        <v>0</v>
      </c>
      <c r="FG157" s="65"/>
      <c r="FH157" s="65"/>
      <c r="FI157" s="65"/>
      <c r="FJ157" s="56">
        <f t="shared" si="111"/>
        <v>0</v>
      </c>
      <c r="FK157" s="65"/>
      <c r="FL157" s="65"/>
      <c r="FM157" s="65"/>
      <c r="FN157" s="65"/>
      <c r="FO157" s="67">
        <f t="shared" si="112"/>
        <v>0</v>
      </c>
      <c r="FP157" s="57"/>
      <c r="FQ157" s="73"/>
      <c r="FR157" s="73"/>
      <c r="FS157" s="71">
        <f t="shared" si="113"/>
        <v>0</v>
      </c>
      <c r="FT157" s="91"/>
      <c r="FU157" s="91"/>
      <c r="FV157" s="67">
        <f>SUM(Tableau1[[#This Row],[Droits d''auteurs SACEM + cotisations SACEM]:[Autres ou non préciés]])</f>
        <v>0</v>
      </c>
      <c r="FW157" s="75">
        <f t="shared" si="114"/>
        <v>0</v>
      </c>
      <c r="FX157" s="74">
        <v>0</v>
      </c>
      <c r="FY157" s="74"/>
      <c r="FZ157" s="74"/>
      <c r="GA157" s="74"/>
      <c r="GB157" s="71">
        <f t="shared" si="115"/>
        <v>0</v>
      </c>
      <c r="GC157" s="92"/>
      <c r="GD157" s="92"/>
      <c r="GE157" s="67">
        <f t="shared" si="116"/>
        <v>0</v>
      </c>
      <c r="GF157" s="66"/>
      <c r="GG157" s="66"/>
      <c r="GH157" s="66"/>
      <c r="GI157" s="66"/>
      <c r="GJ157" s="77"/>
    </row>
    <row r="158" spans="1:192" ht="18.600000000000001" customHeight="1" x14ac:dyDescent="0.25">
      <c r="A158" s="89"/>
      <c r="B158" s="17"/>
      <c r="C158" s="50"/>
      <c r="D158" s="140"/>
      <c r="E158" s="51"/>
      <c r="F158" s="139">
        <f t="shared" si="81"/>
        <v>1</v>
      </c>
      <c r="G158" s="49"/>
      <c r="H158" s="50"/>
      <c r="I158" s="122"/>
      <c r="J158" s="49"/>
      <c r="K158" s="50"/>
      <c r="L158" s="50"/>
      <c r="M158" s="90"/>
      <c r="N158" s="50"/>
      <c r="O158" s="50"/>
      <c r="P158" s="90"/>
      <c r="Q158" s="52">
        <f t="shared" si="86"/>
        <v>0</v>
      </c>
      <c r="R158" s="52">
        <f t="shared" si="87"/>
        <v>0</v>
      </c>
      <c r="S158" s="53">
        <f t="shared" si="88"/>
        <v>0</v>
      </c>
      <c r="T158" s="54">
        <f t="shared" si="89"/>
        <v>0</v>
      </c>
      <c r="U158" s="115">
        <f>SUM(Tableau1[[#This Row],[Vente confiserie]:[Vente boisson]])</f>
        <v>0</v>
      </c>
      <c r="V158" s="55"/>
      <c r="W158" s="55"/>
      <c r="X158" s="135">
        <f>SUM(Tableau1[[#This Row],[Vente lunette]:[Location lunette]])</f>
        <v>0</v>
      </c>
      <c r="Y158" s="55"/>
      <c r="Z158" s="55"/>
      <c r="AA158" s="55"/>
      <c r="AB158" s="55"/>
      <c r="AC158" s="56">
        <f t="shared" si="118"/>
        <v>0</v>
      </c>
      <c r="AD158" s="57"/>
      <c r="AE158" s="57"/>
      <c r="AF158" s="57"/>
      <c r="AG158" s="57"/>
      <c r="AH158" s="57"/>
      <c r="AI158" s="57"/>
      <c r="AJ158" s="118">
        <f>(Tableau1[[#This Row],[Recette guichet ]]*1.1275177)-Tableau1[[#This Row],[Recette guichet ]]</f>
        <v>0</v>
      </c>
      <c r="AK158" s="57"/>
      <c r="AL158" s="56">
        <f t="shared" si="119"/>
        <v>0</v>
      </c>
      <c r="AM158" s="58"/>
      <c r="AN158" s="58"/>
      <c r="AO158" s="58"/>
      <c r="AP158" s="115">
        <f t="shared" si="90"/>
        <v>0</v>
      </c>
      <c r="AQ158" s="69"/>
      <c r="AR158" s="69"/>
      <c r="AS158" s="69"/>
      <c r="AT158" s="69"/>
      <c r="AU158" s="59">
        <f t="shared" si="91"/>
        <v>0</v>
      </c>
      <c r="AV158" s="60">
        <f t="shared" si="92"/>
        <v>0</v>
      </c>
      <c r="AW158" s="58"/>
      <c r="AX158" s="58"/>
      <c r="AY158" s="58"/>
      <c r="AZ158" s="60">
        <f t="shared" si="82"/>
        <v>0</v>
      </c>
      <c r="BA158" s="58"/>
      <c r="BB158" s="58"/>
      <c r="BC158" s="58"/>
      <c r="BD158" s="60">
        <f>SUM(Tableau1[[#This Row],[ticket/carte/abonnement périmé]:[Autres ou non précisé 5]])</f>
        <v>0</v>
      </c>
      <c r="BE158" s="58"/>
      <c r="BF158" s="58"/>
      <c r="BG158" s="58"/>
      <c r="BH158" s="61">
        <f t="shared" si="93"/>
        <v>0</v>
      </c>
      <c r="BI158" s="120"/>
      <c r="BJ158" s="120"/>
      <c r="BK158" s="62">
        <f t="shared" si="94"/>
        <v>0</v>
      </c>
      <c r="BL158" s="120"/>
      <c r="BM158" s="120"/>
      <c r="BN158" s="120"/>
      <c r="BO158" s="120"/>
      <c r="BP158" s="120"/>
      <c r="BQ158" s="63"/>
      <c r="BR158" s="52">
        <f t="shared" si="95"/>
        <v>0</v>
      </c>
      <c r="BS158" s="52">
        <f t="shared" si="96"/>
        <v>0</v>
      </c>
      <c r="BT158" s="61">
        <f t="shared" si="97"/>
        <v>0</v>
      </c>
      <c r="BU158" s="64">
        <f t="shared" si="98"/>
        <v>0</v>
      </c>
      <c r="BV158" s="119">
        <f>SUM(Tableau1[[#This Row],[Achats confiserie]:[Achats boisson]])</f>
        <v>0</v>
      </c>
      <c r="BW158" s="58"/>
      <c r="BX158" s="69"/>
      <c r="BY158" s="58"/>
      <c r="BZ158" s="56">
        <f t="shared" si="99"/>
        <v>0</v>
      </c>
      <c r="CA158" s="66"/>
      <c r="CB158" s="66"/>
      <c r="CC158" s="56">
        <f t="shared" si="100"/>
        <v>0</v>
      </c>
      <c r="CD158" s="55"/>
      <c r="CE158" s="65"/>
      <c r="CF158" s="55"/>
      <c r="CG158" s="55"/>
      <c r="CH158" s="67">
        <f t="shared" si="101"/>
        <v>0</v>
      </c>
      <c r="CI158" s="68">
        <f t="shared" si="117"/>
        <v>0</v>
      </c>
      <c r="CJ158" s="55"/>
      <c r="CK158" s="55"/>
      <c r="CL158" s="55"/>
      <c r="CM158" s="55"/>
      <c r="CN158" s="55"/>
      <c r="CO158" s="68">
        <f t="shared" si="102"/>
        <v>0</v>
      </c>
      <c r="CP158" s="75">
        <f>SUM(Tableau1[[#This Row],[Fourniture eau]:[Energie (non précisé)]])</f>
        <v>0</v>
      </c>
      <c r="CQ158" s="55"/>
      <c r="CR158" s="55"/>
      <c r="CS158" s="55"/>
      <c r="CT158" s="55"/>
      <c r="CU158" s="55"/>
      <c r="CV158" s="55">
        <v>0</v>
      </c>
      <c r="CW158" s="55"/>
      <c r="CX158" s="68">
        <f>SUM(Tableau1[[#This Row],[Sous-traitance]:[Autres ou non précisé 12]])</f>
        <v>0</v>
      </c>
      <c r="CY158" s="65"/>
      <c r="CZ158" s="65"/>
      <c r="DA158" s="65"/>
      <c r="DB158" s="65"/>
      <c r="DC158" s="55"/>
      <c r="DD158" s="68">
        <f t="shared" si="83"/>
        <v>0</v>
      </c>
      <c r="DE158" s="55"/>
      <c r="DF158" s="65"/>
      <c r="DG158" s="65"/>
      <c r="DH158" s="65"/>
      <c r="DI158" s="68">
        <f>SUM(Tableau1[[#This Row],[Entretien et réparation matériel de projection]:[Autres ou non précisé 14]])</f>
        <v>0</v>
      </c>
      <c r="DJ158" s="58"/>
      <c r="DK158" s="58"/>
      <c r="DL158" s="69"/>
      <c r="DM158" s="68">
        <f t="shared" si="103"/>
        <v>0</v>
      </c>
      <c r="DN158" s="58"/>
      <c r="DO158" s="58"/>
      <c r="DP158" s="68">
        <f t="shared" si="104"/>
        <v>0</v>
      </c>
      <c r="DQ158" s="65"/>
      <c r="DR158" s="65"/>
      <c r="DS158" s="68">
        <f t="shared" si="105"/>
        <v>0</v>
      </c>
      <c r="DT158" s="65"/>
      <c r="DU158" s="65"/>
      <c r="DV158" s="65"/>
      <c r="DW158" s="68">
        <f>SUM(Tableau1[[#This Row],[Comission et courtage sur achats]:[Autres ou honoraires
 non précisé ]])</f>
        <v>0</v>
      </c>
      <c r="DX158" s="57"/>
      <c r="DY158" s="57"/>
      <c r="DZ158" s="65"/>
      <c r="EA158" s="65"/>
      <c r="EB158" s="65"/>
      <c r="EC158" s="68">
        <f t="shared" si="106"/>
        <v>0</v>
      </c>
      <c r="ED158" s="69"/>
      <c r="EE158" s="69"/>
      <c r="EF158" s="69"/>
      <c r="EG158" s="69"/>
      <c r="EH158" s="69"/>
      <c r="EI158" s="84">
        <f>SUM(Tableau1[[#This Row],[Transports sur films]:[autres ]])</f>
        <v>0</v>
      </c>
      <c r="EJ158" s="132">
        <v>0</v>
      </c>
      <c r="EK158" s="132"/>
      <c r="EL158" s="68">
        <f t="shared" si="107"/>
        <v>0</v>
      </c>
      <c r="EM158" s="65"/>
      <c r="EN158" s="65">
        <v>0</v>
      </c>
      <c r="EO158" s="65"/>
      <c r="EP158" s="65"/>
      <c r="EQ158" s="65"/>
      <c r="ER158" s="65"/>
      <c r="ES158" s="65"/>
      <c r="ET158" s="68">
        <f t="shared" si="108"/>
        <v>0</v>
      </c>
      <c r="EU158" s="65"/>
      <c r="EV158" s="65"/>
      <c r="EW158" s="65"/>
      <c r="EX158" s="65"/>
      <c r="EY158" s="65"/>
      <c r="EZ158" s="68">
        <f t="shared" si="85"/>
        <v>0</v>
      </c>
      <c r="FA158" s="65"/>
      <c r="FB158" s="65"/>
      <c r="FC158" s="70">
        <f t="shared" si="84"/>
        <v>0</v>
      </c>
      <c r="FD158" s="65"/>
      <c r="FE158" s="71">
        <f t="shared" si="109"/>
        <v>0</v>
      </c>
      <c r="FF158" s="72">
        <f t="shared" si="110"/>
        <v>0</v>
      </c>
      <c r="FG158" s="65"/>
      <c r="FH158" s="65"/>
      <c r="FI158" s="65"/>
      <c r="FJ158" s="56">
        <f t="shared" si="111"/>
        <v>0</v>
      </c>
      <c r="FK158" s="65"/>
      <c r="FL158" s="65"/>
      <c r="FM158" s="65"/>
      <c r="FN158" s="65"/>
      <c r="FO158" s="67">
        <f t="shared" si="112"/>
        <v>0</v>
      </c>
      <c r="FP158" s="57"/>
      <c r="FQ158" s="73"/>
      <c r="FR158" s="73"/>
      <c r="FS158" s="71">
        <f t="shared" si="113"/>
        <v>0</v>
      </c>
      <c r="FT158" s="91"/>
      <c r="FU158" s="91"/>
      <c r="FV158" s="67">
        <f>SUM(Tableau1[[#This Row],[Droits d''auteurs SACEM + cotisations SACEM]:[Autres ou non préciés]])</f>
        <v>0</v>
      </c>
      <c r="FW158" s="75">
        <f t="shared" si="114"/>
        <v>0</v>
      </c>
      <c r="FX158" s="74">
        <v>0</v>
      </c>
      <c r="FY158" s="74"/>
      <c r="FZ158" s="74"/>
      <c r="GA158" s="74"/>
      <c r="GB158" s="71">
        <f t="shared" si="115"/>
        <v>0</v>
      </c>
      <c r="GC158" s="92"/>
      <c r="GD158" s="92"/>
      <c r="GE158" s="67">
        <f t="shared" si="116"/>
        <v>0</v>
      </c>
      <c r="GF158" s="66"/>
      <c r="GG158" s="66"/>
      <c r="GH158" s="66"/>
      <c r="GI158" s="66"/>
      <c r="GJ158" s="77"/>
    </row>
    <row r="159" spans="1:192" ht="18.600000000000001" customHeight="1" x14ac:dyDescent="0.25">
      <c r="A159" s="89"/>
      <c r="B159" s="17"/>
      <c r="C159" s="50"/>
      <c r="D159" s="140"/>
      <c r="E159" s="51"/>
      <c r="F159" s="139">
        <f t="shared" si="81"/>
        <v>1</v>
      </c>
      <c r="G159" s="49"/>
      <c r="H159" s="50"/>
      <c r="I159" s="122"/>
      <c r="J159" s="49"/>
      <c r="K159" s="50"/>
      <c r="L159" s="50"/>
      <c r="M159" s="90"/>
      <c r="N159" s="50"/>
      <c r="O159" s="50"/>
      <c r="P159" s="90"/>
      <c r="Q159" s="52">
        <f t="shared" si="86"/>
        <v>0</v>
      </c>
      <c r="R159" s="52">
        <f t="shared" si="87"/>
        <v>0</v>
      </c>
      <c r="S159" s="53">
        <f t="shared" si="88"/>
        <v>0</v>
      </c>
      <c r="T159" s="54">
        <f t="shared" si="89"/>
        <v>0</v>
      </c>
      <c r="U159" s="115">
        <f>SUM(Tableau1[[#This Row],[Vente confiserie]:[Vente boisson]])</f>
        <v>0</v>
      </c>
      <c r="V159" s="55"/>
      <c r="W159" s="55"/>
      <c r="X159" s="135">
        <f>SUM(Tableau1[[#This Row],[Vente lunette]:[Location lunette]])</f>
        <v>0</v>
      </c>
      <c r="Y159" s="55"/>
      <c r="Z159" s="55"/>
      <c r="AA159" s="55"/>
      <c r="AB159" s="55"/>
      <c r="AC159" s="56">
        <f t="shared" si="118"/>
        <v>0</v>
      </c>
      <c r="AD159" s="57"/>
      <c r="AE159" s="57"/>
      <c r="AF159" s="57"/>
      <c r="AG159" s="57"/>
      <c r="AH159" s="57"/>
      <c r="AI159" s="57"/>
      <c r="AJ159" s="118">
        <f>(Tableau1[[#This Row],[Recette guichet ]]*1.1275177)-Tableau1[[#This Row],[Recette guichet ]]</f>
        <v>0</v>
      </c>
      <c r="AK159" s="57"/>
      <c r="AL159" s="56">
        <f t="shared" si="119"/>
        <v>0</v>
      </c>
      <c r="AM159" s="58"/>
      <c r="AN159" s="58"/>
      <c r="AO159" s="58"/>
      <c r="AP159" s="115">
        <f t="shared" si="90"/>
        <v>0</v>
      </c>
      <c r="AQ159" s="69"/>
      <c r="AR159" s="69"/>
      <c r="AS159" s="69"/>
      <c r="AT159" s="69"/>
      <c r="AU159" s="59">
        <f t="shared" si="91"/>
        <v>0</v>
      </c>
      <c r="AV159" s="60">
        <f t="shared" si="92"/>
        <v>0</v>
      </c>
      <c r="AW159" s="58"/>
      <c r="AX159" s="58"/>
      <c r="AY159" s="58"/>
      <c r="AZ159" s="60">
        <f t="shared" si="82"/>
        <v>0</v>
      </c>
      <c r="BA159" s="58"/>
      <c r="BB159" s="58"/>
      <c r="BC159" s="58"/>
      <c r="BD159" s="60">
        <f>SUM(Tableau1[[#This Row],[ticket/carte/abonnement périmé]:[Autres ou non précisé 5]])</f>
        <v>0</v>
      </c>
      <c r="BE159" s="58"/>
      <c r="BF159" s="58"/>
      <c r="BG159" s="58"/>
      <c r="BH159" s="61">
        <f t="shared" si="93"/>
        <v>0</v>
      </c>
      <c r="BI159" s="120"/>
      <c r="BJ159" s="120"/>
      <c r="BK159" s="62">
        <f t="shared" si="94"/>
        <v>0</v>
      </c>
      <c r="BL159" s="120"/>
      <c r="BM159" s="120"/>
      <c r="BN159" s="120"/>
      <c r="BO159" s="120"/>
      <c r="BP159" s="120"/>
      <c r="BQ159" s="63"/>
      <c r="BR159" s="52">
        <f t="shared" si="95"/>
        <v>0</v>
      </c>
      <c r="BS159" s="52">
        <f t="shared" si="96"/>
        <v>0</v>
      </c>
      <c r="BT159" s="61">
        <f t="shared" si="97"/>
        <v>0</v>
      </c>
      <c r="BU159" s="64">
        <f t="shared" si="98"/>
        <v>0</v>
      </c>
      <c r="BV159" s="119">
        <f>SUM(Tableau1[[#This Row],[Achats confiserie]:[Achats boisson]])</f>
        <v>0</v>
      </c>
      <c r="BW159" s="58"/>
      <c r="BX159" s="69"/>
      <c r="BY159" s="58"/>
      <c r="BZ159" s="56">
        <f t="shared" si="99"/>
        <v>0</v>
      </c>
      <c r="CA159" s="66"/>
      <c r="CB159" s="66"/>
      <c r="CC159" s="56">
        <f t="shared" si="100"/>
        <v>0</v>
      </c>
      <c r="CD159" s="55"/>
      <c r="CE159" s="65"/>
      <c r="CF159" s="55"/>
      <c r="CG159" s="55"/>
      <c r="CH159" s="67">
        <f t="shared" si="101"/>
        <v>0</v>
      </c>
      <c r="CI159" s="68">
        <f t="shared" si="117"/>
        <v>0</v>
      </c>
      <c r="CJ159" s="55"/>
      <c r="CK159" s="55"/>
      <c r="CL159" s="55"/>
      <c r="CM159" s="55"/>
      <c r="CN159" s="55"/>
      <c r="CO159" s="68">
        <f t="shared" si="102"/>
        <v>0</v>
      </c>
      <c r="CP159" s="75">
        <f>SUM(Tableau1[[#This Row],[Fourniture eau]:[Energie (non précisé)]])</f>
        <v>0</v>
      </c>
      <c r="CQ159" s="55"/>
      <c r="CR159" s="55"/>
      <c r="CS159" s="55"/>
      <c r="CT159" s="55"/>
      <c r="CU159" s="55"/>
      <c r="CV159" s="55">
        <v>0</v>
      </c>
      <c r="CW159" s="55"/>
      <c r="CX159" s="68">
        <f>SUM(Tableau1[[#This Row],[Sous-traitance]:[Autres ou non précisé 12]])</f>
        <v>0</v>
      </c>
      <c r="CY159" s="65"/>
      <c r="CZ159" s="65"/>
      <c r="DA159" s="65"/>
      <c r="DB159" s="65"/>
      <c r="DC159" s="55"/>
      <c r="DD159" s="68">
        <f t="shared" si="83"/>
        <v>0</v>
      </c>
      <c r="DE159" s="55"/>
      <c r="DF159" s="65"/>
      <c r="DG159" s="65"/>
      <c r="DH159" s="65"/>
      <c r="DI159" s="68">
        <f>SUM(Tableau1[[#This Row],[Entretien et réparation matériel de projection]:[Autres ou non précisé 14]])</f>
        <v>0</v>
      </c>
      <c r="DJ159" s="58"/>
      <c r="DK159" s="58"/>
      <c r="DL159" s="69"/>
      <c r="DM159" s="68">
        <f t="shared" si="103"/>
        <v>0</v>
      </c>
      <c r="DN159" s="58"/>
      <c r="DO159" s="58"/>
      <c r="DP159" s="68">
        <f t="shared" si="104"/>
        <v>0</v>
      </c>
      <c r="DQ159" s="65"/>
      <c r="DR159" s="65"/>
      <c r="DS159" s="68">
        <f t="shared" si="105"/>
        <v>0</v>
      </c>
      <c r="DT159" s="65"/>
      <c r="DU159" s="65"/>
      <c r="DV159" s="65"/>
      <c r="DW159" s="68">
        <f>SUM(Tableau1[[#This Row],[Comission et courtage sur achats]:[Autres ou honoraires
 non précisé ]])</f>
        <v>0</v>
      </c>
      <c r="DX159" s="57"/>
      <c r="DY159" s="57"/>
      <c r="DZ159" s="65"/>
      <c r="EA159" s="65"/>
      <c r="EB159" s="65"/>
      <c r="EC159" s="68">
        <f t="shared" si="106"/>
        <v>0</v>
      </c>
      <c r="ED159" s="69"/>
      <c r="EE159" s="69"/>
      <c r="EF159" s="69"/>
      <c r="EG159" s="69"/>
      <c r="EH159" s="69"/>
      <c r="EI159" s="84">
        <f>SUM(Tableau1[[#This Row],[Transports sur films]:[autres ]])</f>
        <v>0</v>
      </c>
      <c r="EJ159" s="132">
        <v>0</v>
      </c>
      <c r="EK159" s="132"/>
      <c r="EL159" s="68">
        <f t="shared" si="107"/>
        <v>0</v>
      </c>
      <c r="EM159" s="65"/>
      <c r="EN159" s="65">
        <v>0</v>
      </c>
      <c r="EO159" s="65"/>
      <c r="EP159" s="65"/>
      <c r="EQ159" s="65"/>
      <c r="ER159" s="65"/>
      <c r="ES159" s="65"/>
      <c r="ET159" s="68">
        <f t="shared" si="108"/>
        <v>0</v>
      </c>
      <c r="EU159" s="65"/>
      <c r="EV159" s="65"/>
      <c r="EW159" s="65"/>
      <c r="EX159" s="65"/>
      <c r="EY159" s="65"/>
      <c r="EZ159" s="68">
        <f t="shared" si="85"/>
        <v>0</v>
      </c>
      <c r="FA159" s="65"/>
      <c r="FB159" s="65"/>
      <c r="FC159" s="70">
        <f t="shared" si="84"/>
        <v>0</v>
      </c>
      <c r="FD159" s="65"/>
      <c r="FE159" s="71">
        <f t="shared" si="109"/>
        <v>0</v>
      </c>
      <c r="FF159" s="72">
        <f t="shared" si="110"/>
        <v>0</v>
      </c>
      <c r="FG159" s="65"/>
      <c r="FH159" s="65"/>
      <c r="FI159" s="65"/>
      <c r="FJ159" s="56">
        <f t="shared" si="111"/>
        <v>0</v>
      </c>
      <c r="FK159" s="65"/>
      <c r="FL159" s="65"/>
      <c r="FM159" s="65"/>
      <c r="FN159" s="65"/>
      <c r="FO159" s="67">
        <f t="shared" si="112"/>
        <v>0</v>
      </c>
      <c r="FP159" s="57"/>
      <c r="FQ159" s="73"/>
      <c r="FR159" s="73"/>
      <c r="FS159" s="71">
        <f t="shared" si="113"/>
        <v>0</v>
      </c>
      <c r="FT159" s="91"/>
      <c r="FU159" s="91"/>
      <c r="FV159" s="67">
        <f>SUM(Tableau1[[#This Row],[Droits d''auteurs SACEM + cotisations SACEM]:[Autres ou non préciés]])</f>
        <v>0</v>
      </c>
      <c r="FW159" s="75">
        <f t="shared" si="114"/>
        <v>0</v>
      </c>
      <c r="FX159" s="74">
        <v>0</v>
      </c>
      <c r="FY159" s="74"/>
      <c r="FZ159" s="74"/>
      <c r="GA159" s="74"/>
      <c r="GB159" s="71">
        <f t="shared" si="115"/>
        <v>0</v>
      </c>
      <c r="GC159" s="92"/>
      <c r="GD159" s="92"/>
      <c r="GE159" s="67">
        <f t="shared" si="116"/>
        <v>0</v>
      </c>
      <c r="GF159" s="66"/>
      <c r="GG159" s="66"/>
      <c r="GH159" s="66"/>
      <c r="GI159" s="66"/>
      <c r="GJ159" s="77"/>
    </row>
    <row r="160" spans="1:192" ht="18.600000000000001" customHeight="1" x14ac:dyDescent="0.25">
      <c r="A160" s="89"/>
      <c r="B160" s="17"/>
      <c r="C160" s="50"/>
      <c r="D160" s="140"/>
      <c r="E160" s="51"/>
      <c r="F160" s="139">
        <f t="shared" si="81"/>
        <v>1</v>
      </c>
      <c r="G160" s="49"/>
      <c r="H160" s="50"/>
      <c r="I160" s="122"/>
      <c r="J160" s="49"/>
      <c r="K160" s="50"/>
      <c r="L160" s="50"/>
      <c r="M160" s="90"/>
      <c r="N160" s="50"/>
      <c r="O160" s="50"/>
      <c r="P160" s="90"/>
      <c r="Q160" s="52">
        <f t="shared" si="86"/>
        <v>0</v>
      </c>
      <c r="R160" s="52">
        <f t="shared" si="87"/>
        <v>0</v>
      </c>
      <c r="S160" s="53">
        <f t="shared" si="88"/>
        <v>0</v>
      </c>
      <c r="T160" s="54">
        <f t="shared" si="89"/>
        <v>0</v>
      </c>
      <c r="U160" s="115">
        <f>SUM(Tableau1[[#This Row],[Vente confiserie]:[Vente boisson]])</f>
        <v>0</v>
      </c>
      <c r="V160" s="55"/>
      <c r="W160" s="55"/>
      <c r="X160" s="135">
        <f>SUM(Tableau1[[#This Row],[Vente lunette]:[Location lunette]])</f>
        <v>0</v>
      </c>
      <c r="Y160" s="55"/>
      <c r="Z160" s="55"/>
      <c r="AA160" s="55"/>
      <c r="AB160" s="55"/>
      <c r="AC160" s="56">
        <f t="shared" si="118"/>
        <v>0</v>
      </c>
      <c r="AD160" s="57"/>
      <c r="AE160" s="57"/>
      <c r="AF160" s="57"/>
      <c r="AG160" s="57"/>
      <c r="AH160" s="57"/>
      <c r="AI160" s="57"/>
      <c r="AJ160" s="118">
        <f>(Tableau1[[#This Row],[Recette guichet ]]*1.1275177)-Tableau1[[#This Row],[Recette guichet ]]</f>
        <v>0</v>
      </c>
      <c r="AK160" s="57"/>
      <c r="AL160" s="56">
        <f t="shared" si="119"/>
        <v>0</v>
      </c>
      <c r="AM160" s="58"/>
      <c r="AN160" s="58"/>
      <c r="AO160" s="58"/>
      <c r="AP160" s="115">
        <f t="shared" si="90"/>
        <v>0</v>
      </c>
      <c r="AQ160" s="69"/>
      <c r="AR160" s="69"/>
      <c r="AS160" s="69"/>
      <c r="AT160" s="69"/>
      <c r="AU160" s="59">
        <f t="shared" si="91"/>
        <v>0</v>
      </c>
      <c r="AV160" s="60">
        <f t="shared" si="92"/>
        <v>0</v>
      </c>
      <c r="AW160" s="58"/>
      <c r="AX160" s="58"/>
      <c r="AY160" s="58"/>
      <c r="AZ160" s="60">
        <f t="shared" si="82"/>
        <v>0</v>
      </c>
      <c r="BA160" s="58"/>
      <c r="BB160" s="58"/>
      <c r="BC160" s="58"/>
      <c r="BD160" s="60">
        <f>SUM(Tableau1[[#This Row],[ticket/carte/abonnement périmé]:[Autres ou non précisé 5]])</f>
        <v>0</v>
      </c>
      <c r="BE160" s="58"/>
      <c r="BF160" s="58"/>
      <c r="BG160" s="58"/>
      <c r="BH160" s="61">
        <f t="shared" si="93"/>
        <v>0</v>
      </c>
      <c r="BI160" s="120"/>
      <c r="BJ160" s="120"/>
      <c r="BK160" s="62">
        <f t="shared" si="94"/>
        <v>0</v>
      </c>
      <c r="BL160" s="120"/>
      <c r="BM160" s="120"/>
      <c r="BN160" s="120"/>
      <c r="BO160" s="120"/>
      <c r="BP160" s="120"/>
      <c r="BQ160" s="63"/>
      <c r="BR160" s="52">
        <f t="shared" si="95"/>
        <v>0</v>
      </c>
      <c r="BS160" s="52">
        <f t="shared" si="96"/>
        <v>0</v>
      </c>
      <c r="BT160" s="61">
        <f t="shared" si="97"/>
        <v>0</v>
      </c>
      <c r="BU160" s="64">
        <f t="shared" si="98"/>
        <v>0</v>
      </c>
      <c r="BV160" s="119">
        <f>SUM(Tableau1[[#This Row],[Achats confiserie]:[Achats boisson]])</f>
        <v>0</v>
      </c>
      <c r="BW160" s="58"/>
      <c r="BX160" s="69"/>
      <c r="BY160" s="58"/>
      <c r="BZ160" s="56">
        <f t="shared" si="99"/>
        <v>0</v>
      </c>
      <c r="CA160" s="66"/>
      <c r="CB160" s="66"/>
      <c r="CC160" s="56">
        <f t="shared" si="100"/>
        <v>0</v>
      </c>
      <c r="CD160" s="55"/>
      <c r="CE160" s="65"/>
      <c r="CF160" s="55"/>
      <c r="CG160" s="55"/>
      <c r="CH160" s="67">
        <f t="shared" si="101"/>
        <v>0</v>
      </c>
      <c r="CI160" s="68">
        <f t="shared" si="117"/>
        <v>0</v>
      </c>
      <c r="CJ160" s="55"/>
      <c r="CK160" s="55"/>
      <c r="CL160" s="55"/>
      <c r="CM160" s="55"/>
      <c r="CN160" s="55"/>
      <c r="CO160" s="68">
        <f t="shared" si="102"/>
        <v>0</v>
      </c>
      <c r="CP160" s="75">
        <f>SUM(Tableau1[[#This Row],[Fourniture eau]:[Energie (non précisé)]])</f>
        <v>0</v>
      </c>
      <c r="CQ160" s="55"/>
      <c r="CR160" s="55"/>
      <c r="CS160" s="55"/>
      <c r="CT160" s="55"/>
      <c r="CU160" s="55"/>
      <c r="CV160" s="55">
        <v>0</v>
      </c>
      <c r="CW160" s="55"/>
      <c r="CX160" s="68">
        <f>SUM(Tableau1[[#This Row],[Sous-traitance]:[Autres ou non précisé 12]])</f>
        <v>0</v>
      </c>
      <c r="CY160" s="65"/>
      <c r="CZ160" s="65"/>
      <c r="DA160" s="65"/>
      <c r="DB160" s="65"/>
      <c r="DC160" s="55"/>
      <c r="DD160" s="68">
        <f t="shared" si="83"/>
        <v>0</v>
      </c>
      <c r="DE160" s="55"/>
      <c r="DF160" s="65"/>
      <c r="DG160" s="65"/>
      <c r="DH160" s="65"/>
      <c r="DI160" s="68">
        <f>SUM(Tableau1[[#This Row],[Entretien et réparation matériel de projection]:[Autres ou non précisé 14]])</f>
        <v>0</v>
      </c>
      <c r="DJ160" s="58"/>
      <c r="DK160" s="58"/>
      <c r="DL160" s="69"/>
      <c r="DM160" s="68">
        <f t="shared" si="103"/>
        <v>0</v>
      </c>
      <c r="DN160" s="58"/>
      <c r="DO160" s="58"/>
      <c r="DP160" s="68">
        <f t="shared" si="104"/>
        <v>0</v>
      </c>
      <c r="DQ160" s="65"/>
      <c r="DR160" s="65"/>
      <c r="DS160" s="68">
        <f t="shared" si="105"/>
        <v>0</v>
      </c>
      <c r="DT160" s="65"/>
      <c r="DU160" s="65"/>
      <c r="DV160" s="65"/>
      <c r="DW160" s="68">
        <f>SUM(Tableau1[[#This Row],[Comission et courtage sur achats]:[Autres ou honoraires
 non précisé ]])</f>
        <v>0</v>
      </c>
      <c r="DX160" s="57"/>
      <c r="DY160" s="57"/>
      <c r="DZ160" s="65"/>
      <c r="EA160" s="65"/>
      <c r="EB160" s="65"/>
      <c r="EC160" s="68">
        <f t="shared" si="106"/>
        <v>0</v>
      </c>
      <c r="ED160" s="69"/>
      <c r="EE160" s="69"/>
      <c r="EF160" s="69"/>
      <c r="EG160" s="69"/>
      <c r="EH160" s="69"/>
      <c r="EI160" s="84">
        <f>SUM(Tableau1[[#This Row],[Transports sur films]:[autres ]])</f>
        <v>0</v>
      </c>
      <c r="EJ160" s="132">
        <v>0</v>
      </c>
      <c r="EK160" s="132"/>
      <c r="EL160" s="68">
        <f t="shared" si="107"/>
        <v>0</v>
      </c>
      <c r="EM160" s="65"/>
      <c r="EN160" s="65">
        <v>0</v>
      </c>
      <c r="EO160" s="65"/>
      <c r="EP160" s="65"/>
      <c r="EQ160" s="65"/>
      <c r="ER160" s="65"/>
      <c r="ES160" s="65"/>
      <c r="ET160" s="68">
        <f t="shared" si="108"/>
        <v>0</v>
      </c>
      <c r="EU160" s="65"/>
      <c r="EV160" s="65"/>
      <c r="EW160" s="65"/>
      <c r="EX160" s="65"/>
      <c r="EY160" s="65"/>
      <c r="EZ160" s="68">
        <f t="shared" si="85"/>
        <v>0</v>
      </c>
      <c r="FA160" s="65"/>
      <c r="FB160" s="65"/>
      <c r="FC160" s="70">
        <f t="shared" si="84"/>
        <v>0</v>
      </c>
      <c r="FD160" s="65"/>
      <c r="FE160" s="71">
        <f t="shared" si="109"/>
        <v>0</v>
      </c>
      <c r="FF160" s="72">
        <f t="shared" si="110"/>
        <v>0</v>
      </c>
      <c r="FG160" s="65"/>
      <c r="FH160" s="65"/>
      <c r="FI160" s="65"/>
      <c r="FJ160" s="56">
        <f t="shared" si="111"/>
        <v>0</v>
      </c>
      <c r="FK160" s="65"/>
      <c r="FL160" s="65"/>
      <c r="FM160" s="65"/>
      <c r="FN160" s="65"/>
      <c r="FO160" s="67">
        <f t="shared" si="112"/>
        <v>0</v>
      </c>
      <c r="FP160" s="57"/>
      <c r="FQ160" s="73"/>
      <c r="FR160" s="73"/>
      <c r="FS160" s="71">
        <f t="shared" si="113"/>
        <v>0</v>
      </c>
      <c r="FT160" s="91"/>
      <c r="FU160" s="91"/>
      <c r="FV160" s="67">
        <f>SUM(Tableau1[[#This Row],[Droits d''auteurs SACEM + cotisations SACEM]:[Autres ou non préciés]])</f>
        <v>0</v>
      </c>
      <c r="FW160" s="75">
        <f t="shared" si="114"/>
        <v>0</v>
      </c>
      <c r="FX160" s="74">
        <v>0</v>
      </c>
      <c r="FY160" s="74"/>
      <c r="FZ160" s="74"/>
      <c r="GA160" s="74"/>
      <c r="GB160" s="71">
        <f t="shared" si="115"/>
        <v>0</v>
      </c>
      <c r="GC160" s="92"/>
      <c r="GD160" s="92"/>
      <c r="GE160" s="67">
        <f t="shared" si="116"/>
        <v>0</v>
      </c>
      <c r="GF160" s="66"/>
      <c r="GG160" s="66"/>
      <c r="GH160" s="66"/>
      <c r="GI160" s="66"/>
      <c r="GJ160" s="77"/>
    </row>
    <row r="161" spans="1:192" ht="18.600000000000001" customHeight="1" x14ac:dyDescent="0.25">
      <c r="A161" s="89"/>
      <c r="B161" s="17"/>
      <c r="C161" s="50"/>
      <c r="D161" s="140"/>
      <c r="E161" s="51"/>
      <c r="F161" s="139">
        <f t="shared" si="81"/>
        <v>1</v>
      </c>
      <c r="G161" s="49"/>
      <c r="H161" s="50"/>
      <c r="I161" s="122"/>
      <c r="J161" s="49"/>
      <c r="K161" s="50"/>
      <c r="L161" s="50"/>
      <c r="M161" s="90"/>
      <c r="N161" s="50"/>
      <c r="O161" s="50"/>
      <c r="P161" s="90"/>
      <c r="Q161" s="52">
        <f t="shared" si="86"/>
        <v>0</v>
      </c>
      <c r="R161" s="52">
        <f t="shared" si="87"/>
        <v>0</v>
      </c>
      <c r="S161" s="53">
        <f t="shared" si="88"/>
        <v>0</v>
      </c>
      <c r="T161" s="54">
        <f t="shared" si="89"/>
        <v>0</v>
      </c>
      <c r="U161" s="115">
        <f>SUM(Tableau1[[#This Row],[Vente confiserie]:[Vente boisson]])</f>
        <v>0</v>
      </c>
      <c r="V161" s="55"/>
      <c r="W161" s="55"/>
      <c r="X161" s="135">
        <f>SUM(Tableau1[[#This Row],[Vente lunette]:[Location lunette]])</f>
        <v>0</v>
      </c>
      <c r="Y161" s="55"/>
      <c r="Z161" s="55"/>
      <c r="AA161" s="55"/>
      <c r="AB161" s="55"/>
      <c r="AC161" s="56">
        <f t="shared" si="118"/>
        <v>0</v>
      </c>
      <c r="AD161" s="57"/>
      <c r="AE161" s="57"/>
      <c r="AF161" s="57"/>
      <c r="AG161" s="57"/>
      <c r="AH161" s="57"/>
      <c r="AI161" s="57"/>
      <c r="AJ161" s="118">
        <f>(Tableau1[[#This Row],[Recette guichet ]]*1.1275177)-Tableau1[[#This Row],[Recette guichet ]]</f>
        <v>0</v>
      </c>
      <c r="AK161" s="57"/>
      <c r="AL161" s="56">
        <f t="shared" si="119"/>
        <v>0</v>
      </c>
      <c r="AM161" s="58"/>
      <c r="AN161" s="58"/>
      <c r="AO161" s="58"/>
      <c r="AP161" s="115">
        <f t="shared" si="90"/>
        <v>0</v>
      </c>
      <c r="AQ161" s="69"/>
      <c r="AR161" s="69"/>
      <c r="AS161" s="69"/>
      <c r="AT161" s="69"/>
      <c r="AU161" s="59">
        <f t="shared" si="91"/>
        <v>0</v>
      </c>
      <c r="AV161" s="60">
        <f t="shared" si="92"/>
        <v>0</v>
      </c>
      <c r="AW161" s="58"/>
      <c r="AX161" s="58"/>
      <c r="AY161" s="58"/>
      <c r="AZ161" s="60">
        <f t="shared" si="82"/>
        <v>0</v>
      </c>
      <c r="BA161" s="58"/>
      <c r="BB161" s="58"/>
      <c r="BC161" s="58"/>
      <c r="BD161" s="60">
        <f>SUM(Tableau1[[#This Row],[ticket/carte/abonnement périmé]:[Autres ou non précisé 5]])</f>
        <v>0</v>
      </c>
      <c r="BE161" s="58"/>
      <c r="BF161" s="58"/>
      <c r="BG161" s="58"/>
      <c r="BH161" s="61">
        <f t="shared" si="93"/>
        <v>0</v>
      </c>
      <c r="BI161" s="120"/>
      <c r="BJ161" s="120"/>
      <c r="BK161" s="62">
        <f t="shared" si="94"/>
        <v>0</v>
      </c>
      <c r="BL161" s="120"/>
      <c r="BM161" s="120"/>
      <c r="BN161" s="120"/>
      <c r="BO161" s="120"/>
      <c r="BP161" s="120"/>
      <c r="BQ161" s="63"/>
      <c r="BR161" s="52">
        <f t="shared" si="95"/>
        <v>0</v>
      </c>
      <c r="BS161" s="52">
        <f t="shared" si="96"/>
        <v>0</v>
      </c>
      <c r="BT161" s="61">
        <f t="shared" si="97"/>
        <v>0</v>
      </c>
      <c r="BU161" s="64">
        <f t="shared" si="98"/>
        <v>0</v>
      </c>
      <c r="BV161" s="119">
        <f>SUM(Tableau1[[#This Row],[Achats confiserie]:[Achats boisson]])</f>
        <v>0</v>
      </c>
      <c r="BW161" s="58"/>
      <c r="BX161" s="69"/>
      <c r="BY161" s="58"/>
      <c r="BZ161" s="56">
        <f t="shared" si="99"/>
        <v>0</v>
      </c>
      <c r="CA161" s="66"/>
      <c r="CB161" s="66"/>
      <c r="CC161" s="56">
        <f t="shared" si="100"/>
        <v>0</v>
      </c>
      <c r="CD161" s="55"/>
      <c r="CE161" s="65"/>
      <c r="CF161" s="55"/>
      <c r="CG161" s="55"/>
      <c r="CH161" s="67">
        <f t="shared" si="101"/>
        <v>0</v>
      </c>
      <c r="CI161" s="68">
        <f t="shared" si="117"/>
        <v>0</v>
      </c>
      <c r="CJ161" s="55"/>
      <c r="CK161" s="55"/>
      <c r="CL161" s="55"/>
      <c r="CM161" s="55"/>
      <c r="CN161" s="55"/>
      <c r="CO161" s="68">
        <f t="shared" si="102"/>
        <v>0</v>
      </c>
      <c r="CP161" s="75">
        <f>SUM(Tableau1[[#This Row],[Fourniture eau]:[Energie (non précisé)]])</f>
        <v>0</v>
      </c>
      <c r="CQ161" s="55"/>
      <c r="CR161" s="55"/>
      <c r="CS161" s="55"/>
      <c r="CT161" s="55"/>
      <c r="CU161" s="55"/>
      <c r="CV161" s="55">
        <v>0</v>
      </c>
      <c r="CW161" s="55"/>
      <c r="CX161" s="68">
        <f>SUM(Tableau1[[#This Row],[Sous-traitance]:[Autres ou non précisé 12]])</f>
        <v>0</v>
      </c>
      <c r="CY161" s="65"/>
      <c r="CZ161" s="65"/>
      <c r="DA161" s="65"/>
      <c r="DB161" s="65"/>
      <c r="DC161" s="55"/>
      <c r="DD161" s="68">
        <f t="shared" si="83"/>
        <v>0</v>
      </c>
      <c r="DE161" s="55"/>
      <c r="DF161" s="65"/>
      <c r="DG161" s="65"/>
      <c r="DH161" s="65"/>
      <c r="DI161" s="68">
        <f>SUM(Tableau1[[#This Row],[Entretien et réparation matériel de projection]:[Autres ou non précisé 14]])</f>
        <v>0</v>
      </c>
      <c r="DJ161" s="58"/>
      <c r="DK161" s="58"/>
      <c r="DL161" s="69"/>
      <c r="DM161" s="68">
        <f t="shared" si="103"/>
        <v>0</v>
      </c>
      <c r="DN161" s="58"/>
      <c r="DO161" s="58"/>
      <c r="DP161" s="68">
        <f t="shared" si="104"/>
        <v>0</v>
      </c>
      <c r="DQ161" s="65"/>
      <c r="DR161" s="65"/>
      <c r="DS161" s="68">
        <f t="shared" si="105"/>
        <v>0</v>
      </c>
      <c r="DT161" s="65"/>
      <c r="DU161" s="65"/>
      <c r="DV161" s="65"/>
      <c r="DW161" s="68">
        <f>SUM(Tableau1[[#This Row],[Comission et courtage sur achats]:[Autres ou honoraires
 non précisé ]])</f>
        <v>0</v>
      </c>
      <c r="DX161" s="57"/>
      <c r="DY161" s="57"/>
      <c r="DZ161" s="65"/>
      <c r="EA161" s="65"/>
      <c r="EB161" s="65"/>
      <c r="EC161" s="68">
        <f t="shared" si="106"/>
        <v>0</v>
      </c>
      <c r="ED161" s="69"/>
      <c r="EE161" s="69"/>
      <c r="EF161" s="69"/>
      <c r="EG161" s="69"/>
      <c r="EH161" s="69"/>
      <c r="EI161" s="84">
        <f>SUM(Tableau1[[#This Row],[Transports sur films]:[autres ]])</f>
        <v>0</v>
      </c>
      <c r="EJ161" s="132">
        <v>0</v>
      </c>
      <c r="EK161" s="132"/>
      <c r="EL161" s="68">
        <f t="shared" si="107"/>
        <v>0</v>
      </c>
      <c r="EM161" s="65"/>
      <c r="EN161" s="65">
        <v>0</v>
      </c>
      <c r="EO161" s="65"/>
      <c r="EP161" s="65"/>
      <c r="EQ161" s="65"/>
      <c r="ER161" s="65"/>
      <c r="ES161" s="65"/>
      <c r="ET161" s="68">
        <f t="shared" si="108"/>
        <v>0</v>
      </c>
      <c r="EU161" s="65"/>
      <c r="EV161" s="65"/>
      <c r="EW161" s="65"/>
      <c r="EX161" s="65"/>
      <c r="EY161" s="65"/>
      <c r="EZ161" s="68">
        <f t="shared" si="85"/>
        <v>0</v>
      </c>
      <c r="FA161" s="65"/>
      <c r="FB161" s="65"/>
      <c r="FC161" s="70">
        <f t="shared" si="84"/>
        <v>0</v>
      </c>
      <c r="FD161" s="65"/>
      <c r="FE161" s="71">
        <f t="shared" si="109"/>
        <v>0</v>
      </c>
      <c r="FF161" s="72">
        <f t="shared" si="110"/>
        <v>0</v>
      </c>
      <c r="FG161" s="65"/>
      <c r="FH161" s="65"/>
      <c r="FI161" s="65"/>
      <c r="FJ161" s="56">
        <f t="shared" si="111"/>
        <v>0</v>
      </c>
      <c r="FK161" s="65"/>
      <c r="FL161" s="65"/>
      <c r="FM161" s="65"/>
      <c r="FN161" s="65"/>
      <c r="FO161" s="67">
        <f t="shared" si="112"/>
        <v>0</v>
      </c>
      <c r="FP161" s="57"/>
      <c r="FQ161" s="73"/>
      <c r="FR161" s="73"/>
      <c r="FS161" s="71">
        <f t="shared" si="113"/>
        <v>0</v>
      </c>
      <c r="FT161" s="91"/>
      <c r="FU161" s="91"/>
      <c r="FV161" s="67">
        <f>SUM(Tableau1[[#This Row],[Droits d''auteurs SACEM + cotisations SACEM]:[Autres ou non préciés]])</f>
        <v>0</v>
      </c>
      <c r="FW161" s="75">
        <f t="shared" si="114"/>
        <v>0</v>
      </c>
      <c r="FX161" s="74">
        <v>0</v>
      </c>
      <c r="FY161" s="74"/>
      <c r="FZ161" s="74"/>
      <c r="GA161" s="74"/>
      <c r="GB161" s="71">
        <f t="shared" si="115"/>
        <v>0</v>
      </c>
      <c r="GC161" s="92"/>
      <c r="GD161" s="92"/>
      <c r="GE161" s="67">
        <f t="shared" si="116"/>
        <v>0</v>
      </c>
      <c r="GF161" s="66"/>
      <c r="GG161" s="66"/>
      <c r="GH161" s="66"/>
      <c r="GI161" s="66"/>
      <c r="GJ161" s="77"/>
    </row>
    <row r="162" spans="1:192" ht="18.600000000000001" customHeight="1" x14ac:dyDescent="0.25">
      <c r="A162" s="89"/>
      <c r="B162" s="17"/>
      <c r="C162" s="50"/>
      <c r="D162" s="140"/>
      <c r="E162" s="51"/>
      <c r="F162" s="139">
        <f t="shared" si="81"/>
        <v>1</v>
      </c>
      <c r="G162" s="49"/>
      <c r="H162" s="50"/>
      <c r="I162" s="122"/>
      <c r="J162" s="49"/>
      <c r="K162" s="50"/>
      <c r="L162" s="50"/>
      <c r="M162" s="90"/>
      <c r="N162" s="50"/>
      <c r="O162" s="50"/>
      <c r="P162" s="90"/>
      <c r="Q162" s="52">
        <f t="shared" si="86"/>
        <v>0</v>
      </c>
      <c r="R162" s="52">
        <f t="shared" si="87"/>
        <v>0</v>
      </c>
      <c r="S162" s="53">
        <f t="shared" si="88"/>
        <v>0</v>
      </c>
      <c r="T162" s="54">
        <f t="shared" si="89"/>
        <v>0</v>
      </c>
      <c r="U162" s="115">
        <f>SUM(Tableau1[[#This Row],[Vente confiserie]:[Vente boisson]])</f>
        <v>0</v>
      </c>
      <c r="V162" s="55"/>
      <c r="W162" s="55"/>
      <c r="X162" s="135">
        <f>SUM(Tableau1[[#This Row],[Vente lunette]:[Location lunette]])</f>
        <v>0</v>
      </c>
      <c r="Y162" s="55"/>
      <c r="Z162" s="55"/>
      <c r="AA162" s="55"/>
      <c r="AB162" s="55"/>
      <c r="AC162" s="56">
        <f t="shared" si="118"/>
        <v>0</v>
      </c>
      <c r="AD162" s="57"/>
      <c r="AE162" s="57"/>
      <c r="AF162" s="57"/>
      <c r="AG162" s="57"/>
      <c r="AH162" s="57"/>
      <c r="AI162" s="57"/>
      <c r="AJ162" s="118">
        <f>(Tableau1[[#This Row],[Recette guichet ]]*1.1275177)-Tableau1[[#This Row],[Recette guichet ]]</f>
        <v>0</v>
      </c>
      <c r="AK162" s="57"/>
      <c r="AL162" s="56">
        <f t="shared" si="119"/>
        <v>0</v>
      </c>
      <c r="AM162" s="58"/>
      <c r="AN162" s="58"/>
      <c r="AO162" s="58"/>
      <c r="AP162" s="115">
        <f t="shared" si="90"/>
        <v>0</v>
      </c>
      <c r="AQ162" s="69"/>
      <c r="AR162" s="69"/>
      <c r="AS162" s="69"/>
      <c r="AT162" s="69"/>
      <c r="AU162" s="59">
        <f t="shared" si="91"/>
        <v>0</v>
      </c>
      <c r="AV162" s="60">
        <f t="shared" si="92"/>
        <v>0</v>
      </c>
      <c r="AW162" s="58"/>
      <c r="AX162" s="58"/>
      <c r="AY162" s="58"/>
      <c r="AZ162" s="60">
        <f t="shared" si="82"/>
        <v>0</v>
      </c>
      <c r="BA162" s="58"/>
      <c r="BB162" s="58"/>
      <c r="BC162" s="58"/>
      <c r="BD162" s="60">
        <f>SUM(Tableau1[[#This Row],[ticket/carte/abonnement périmé]:[Autres ou non précisé 5]])</f>
        <v>0</v>
      </c>
      <c r="BE162" s="58"/>
      <c r="BF162" s="58"/>
      <c r="BG162" s="58"/>
      <c r="BH162" s="61">
        <f t="shared" si="93"/>
        <v>0</v>
      </c>
      <c r="BI162" s="120"/>
      <c r="BJ162" s="120"/>
      <c r="BK162" s="62">
        <f t="shared" si="94"/>
        <v>0</v>
      </c>
      <c r="BL162" s="120"/>
      <c r="BM162" s="120"/>
      <c r="BN162" s="120"/>
      <c r="BO162" s="120"/>
      <c r="BP162" s="120"/>
      <c r="BQ162" s="63"/>
      <c r="BR162" s="52">
        <f t="shared" si="95"/>
        <v>0</v>
      </c>
      <c r="BS162" s="52">
        <f t="shared" si="96"/>
        <v>0</v>
      </c>
      <c r="BT162" s="61">
        <f t="shared" si="97"/>
        <v>0</v>
      </c>
      <c r="BU162" s="64">
        <f t="shared" si="98"/>
        <v>0</v>
      </c>
      <c r="BV162" s="119">
        <f>SUM(Tableau1[[#This Row],[Achats confiserie]:[Achats boisson]])</f>
        <v>0</v>
      </c>
      <c r="BW162" s="58"/>
      <c r="BX162" s="69"/>
      <c r="BY162" s="58"/>
      <c r="BZ162" s="56">
        <f t="shared" si="99"/>
        <v>0</v>
      </c>
      <c r="CA162" s="66"/>
      <c r="CB162" s="66"/>
      <c r="CC162" s="56">
        <f t="shared" si="100"/>
        <v>0</v>
      </c>
      <c r="CD162" s="55"/>
      <c r="CE162" s="65"/>
      <c r="CF162" s="55"/>
      <c r="CG162" s="55"/>
      <c r="CH162" s="67">
        <f t="shared" si="101"/>
        <v>0</v>
      </c>
      <c r="CI162" s="68">
        <f t="shared" si="117"/>
        <v>0</v>
      </c>
      <c r="CJ162" s="55"/>
      <c r="CK162" s="55"/>
      <c r="CL162" s="55"/>
      <c r="CM162" s="55"/>
      <c r="CN162" s="55"/>
      <c r="CO162" s="68">
        <f t="shared" si="102"/>
        <v>0</v>
      </c>
      <c r="CP162" s="75">
        <f>SUM(Tableau1[[#This Row],[Fourniture eau]:[Energie (non précisé)]])</f>
        <v>0</v>
      </c>
      <c r="CQ162" s="55"/>
      <c r="CR162" s="55"/>
      <c r="CS162" s="55"/>
      <c r="CT162" s="55"/>
      <c r="CU162" s="55"/>
      <c r="CV162" s="55">
        <v>0</v>
      </c>
      <c r="CW162" s="55"/>
      <c r="CX162" s="68">
        <f>SUM(Tableau1[[#This Row],[Sous-traitance]:[Autres ou non précisé 12]])</f>
        <v>0</v>
      </c>
      <c r="CY162" s="65"/>
      <c r="CZ162" s="65"/>
      <c r="DA162" s="65"/>
      <c r="DB162" s="65"/>
      <c r="DC162" s="55"/>
      <c r="DD162" s="68">
        <f t="shared" si="83"/>
        <v>0</v>
      </c>
      <c r="DE162" s="55"/>
      <c r="DF162" s="65"/>
      <c r="DG162" s="65"/>
      <c r="DH162" s="65"/>
      <c r="DI162" s="68">
        <f>SUM(Tableau1[[#This Row],[Entretien et réparation matériel de projection]:[Autres ou non précisé 14]])</f>
        <v>0</v>
      </c>
      <c r="DJ162" s="58"/>
      <c r="DK162" s="58"/>
      <c r="DL162" s="69"/>
      <c r="DM162" s="68">
        <f t="shared" si="103"/>
        <v>0</v>
      </c>
      <c r="DN162" s="58"/>
      <c r="DO162" s="58"/>
      <c r="DP162" s="68">
        <f t="shared" si="104"/>
        <v>0</v>
      </c>
      <c r="DQ162" s="65"/>
      <c r="DR162" s="65"/>
      <c r="DS162" s="68">
        <f t="shared" si="105"/>
        <v>0</v>
      </c>
      <c r="DT162" s="65"/>
      <c r="DU162" s="65"/>
      <c r="DV162" s="65"/>
      <c r="DW162" s="68">
        <f>SUM(Tableau1[[#This Row],[Comission et courtage sur achats]:[Autres ou honoraires
 non précisé ]])</f>
        <v>0</v>
      </c>
      <c r="DX162" s="57"/>
      <c r="DY162" s="57"/>
      <c r="DZ162" s="65"/>
      <c r="EA162" s="65"/>
      <c r="EB162" s="65"/>
      <c r="EC162" s="68">
        <f t="shared" si="106"/>
        <v>0</v>
      </c>
      <c r="ED162" s="69"/>
      <c r="EE162" s="69"/>
      <c r="EF162" s="69"/>
      <c r="EG162" s="69"/>
      <c r="EH162" s="69"/>
      <c r="EI162" s="84">
        <f>SUM(Tableau1[[#This Row],[Transports sur films]:[autres ]])</f>
        <v>0</v>
      </c>
      <c r="EJ162" s="132">
        <v>0</v>
      </c>
      <c r="EK162" s="132"/>
      <c r="EL162" s="68">
        <f t="shared" si="107"/>
        <v>0</v>
      </c>
      <c r="EM162" s="65"/>
      <c r="EN162" s="65">
        <v>0</v>
      </c>
      <c r="EO162" s="65"/>
      <c r="EP162" s="65"/>
      <c r="EQ162" s="65"/>
      <c r="ER162" s="65"/>
      <c r="ES162" s="65"/>
      <c r="ET162" s="68">
        <f t="shared" si="108"/>
        <v>0</v>
      </c>
      <c r="EU162" s="65"/>
      <c r="EV162" s="65"/>
      <c r="EW162" s="65"/>
      <c r="EX162" s="65"/>
      <c r="EY162" s="65"/>
      <c r="EZ162" s="68">
        <f t="shared" si="85"/>
        <v>0</v>
      </c>
      <c r="FA162" s="65"/>
      <c r="FB162" s="65"/>
      <c r="FC162" s="70">
        <f t="shared" si="84"/>
        <v>0</v>
      </c>
      <c r="FD162" s="65"/>
      <c r="FE162" s="71">
        <f t="shared" si="109"/>
        <v>0</v>
      </c>
      <c r="FF162" s="72">
        <f t="shared" si="110"/>
        <v>0</v>
      </c>
      <c r="FG162" s="65"/>
      <c r="FH162" s="65"/>
      <c r="FI162" s="65"/>
      <c r="FJ162" s="56">
        <f t="shared" si="111"/>
        <v>0</v>
      </c>
      <c r="FK162" s="65"/>
      <c r="FL162" s="65"/>
      <c r="FM162" s="65"/>
      <c r="FN162" s="65"/>
      <c r="FO162" s="67">
        <f t="shared" si="112"/>
        <v>0</v>
      </c>
      <c r="FP162" s="57"/>
      <c r="FQ162" s="73"/>
      <c r="FR162" s="73"/>
      <c r="FS162" s="71">
        <f t="shared" si="113"/>
        <v>0</v>
      </c>
      <c r="FT162" s="91"/>
      <c r="FU162" s="91"/>
      <c r="FV162" s="67">
        <f>SUM(Tableau1[[#This Row],[Droits d''auteurs SACEM + cotisations SACEM]:[Autres ou non préciés]])</f>
        <v>0</v>
      </c>
      <c r="FW162" s="75">
        <f t="shared" si="114"/>
        <v>0</v>
      </c>
      <c r="FX162" s="74">
        <v>0</v>
      </c>
      <c r="FY162" s="74"/>
      <c r="FZ162" s="74"/>
      <c r="GA162" s="74"/>
      <c r="GB162" s="71">
        <f t="shared" si="115"/>
        <v>0</v>
      </c>
      <c r="GC162" s="92"/>
      <c r="GD162" s="92"/>
      <c r="GE162" s="67">
        <f t="shared" si="116"/>
        <v>0</v>
      </c>
      <c r="GF162" s="66"/>
      <c r="GG162" s="66"/>
      <c r="GH162" s="66"/>
      <c r="GI162" s="66"/>
      <c r="GJ162" s="77"/>
    </row>
    <row r="163" spans="1:192" ht="18.600000000000001" customHeight="1" x14ac:dyDescent="0.25">
      <c r="A163" s="89"/>
      <c r="B163" s="17"/>
      <c r="C163" s="50"/>
      <c r="D163" s="140"/>
      <c r="E163" s="51"/>
      <c r="F163" s="139">
        <f t="shared" si="81"/>
        <v>1</v>
      </c>
      <c r="G163" s="49"/>
      <c r="H163" s="50"/>
      <c r="I163" s="122"/>
      <c r="J163" s="49"/>
      <c r="K163" s="50"/>
      <c r="L163" s="50"/>
      <c r="M163" s="90"/>
      <c r="N163" s="50"/>
      <c r="O163" s="50"/>
      <c r="P163" s="90"/>
      <c r="Q163" s="52">
        <f t="shared" si="86"/>
        <v>0</v>
      </c>
      <c r="R163" s="52">
        <f t="shared" si="87"/>
        <v>0</v>
      </c>
      <c r="S163" s="53">
        <f t="shared" si="88"/>
        <v>0</v>
      </c>
      <c r="T163" s="54">
        <f t="shared" si="89"/>
        <v>0</v>
      </c>
      <c r="U163" s="115">
        <f>SUM(Tableau1[[#This Row],[Vente confiserie]:[Vente boisson]])</f>
        <v>0</v>
      </c>
      <c r="V163" s="55"/>
      <c r="W163" s="55"/>
      <c r="X163" s="135">
        <f>SUM(Tableau1[[#This Row],[Vente lunette]:[Location lunette]])</f>
        <v>0</v>
      </c>
      <c r="Y163" s="55"/>
      <c r="Z163" s="55"/>
      <c r="AA163" s="55"/>
      <c r="AB163" s="55"/>
      <c r="AC163" s="56">
        <f t="shared" si="118"/>
        <v>0</v>
      </c>
      <c r="AD163" s="57"/>
      <c r="AE163" s="57"/>
      <c r="AF163" s="57"/>
      <c r="AG163" s="57"/>
      <c r="AH163" s="57"/>
      <c r="AI163" s="57"/>
      <c r="AJ163" s="118">
        <f>(Tableau1[[#This Row],[Recette guichet ]]*1.1275177)-Tableau1[[#This Row],[Recette guichet ]]</f>
        <v>0</v>
      </c>
      <c r="AK163" s="57"/>
      <c r="AL163" s="56">
        <f t="shared" si="119"/>
        <v>0</v>
      </c>
      <c r="AM163" s="58"/>
      <c r="AN163" s="58"/>
      <c r="AO163" s="58"/>
      <c r="AP163" s="115">
        <f t="shared" si="90"/>
        <v>0</v>
      </c>
      <c r="AQ163" s="69"/>
      <c r="AR163" s="69"/>
      <c r="AS163" s="69"/>
      <c r="AT163" s="69"/>
      <c r="AU163" s="59">
        <f t="shared" si="91"/>
        <v>0</v>
      </c>
      <c r="AV163" s="60">
        <f t="shared" si="92"/>
        <v>0</v>
      </c>
      <c r="AW163" s="58"/>
      <c r="AX163" s="58"/>
      <c r="AY163" s="58"/>
      <c r="AZ163" s="60">
        <f t="shared" si="82"/>
        <v>0</v>
      </c>
      <c r="BA163" s="58"/>
      <c r="BB163" s="58"/>
      <c r="BC163" s="58"/>
      <c r="BD163" s="60">
        <f>SUM(Tableau1[[#This Row],[ticket/carte/abonnement périmé]:[Autres ou non précisé 5]])</f>
        <v>0</v>
      </c>
      <c r="BE163" s="58"/>
      <c r="BF163" s="58"/>
      <c r="BG163" s="58"/>
      <c r="BH163" s="61">
        <f t="shared" si="93"/>
        <v>0</v>
      </c>
      <c r="BI163" s="120"/>
      <c r="BJ163" s="120"/>
      <c r="BK163" s="62">
        <f t="shared" si="94"/>
        <v>0</v>
      </c>
      <c r="BL163" s="120"/>
      <c r="BM163" s="120"/>
      <c r="BN163" s="120"/>
      <c r="BO163" s="120"/>
      <c r="BP163" s="120"/>
      <c r="BQ163" s="63"/>
      <c r="BR163" s="52">
        <f t="shared" si="95"/>
        <v>0</v>
      </c>
      <c r="BS163" s="52">
        <f t="shared" si="96"/>
        <v>0</v>
      </c>
      <c r="BT163" s="61">
        <f t="shared" si="97"/>
        <v>0</v>
      </c>
      <c r="BU163" s="64">
        <f t="shared" si="98"/>
        <v>0</v>
      </c>
      <c r="BV163" s="119">
        <f>SUM(Tableau1[[#This Row],[Achats confiserie]:[Achats boisson]])</f>
        <v>0</v>
      </c>
      <c r="BW163" s="58"/>
      <c r="BX163" s="69"/>
      <c r="BY163" s="58"/>
      <c r="BZ163" s="56">
        <f t="shared" si="99"/>
        <v>0</v>
      </c>
      <c r="CA163" s="66"/>
      <c r="CB163" s="66"/>
      <c r="CC163" s="56">
        <f t="shared" si="100"/>
        <v>0</v>
      </c>
      <c r="CD163" s="55"/>
      <c r="CE163" s="65"/>
      <c r="CF163" s="55"/>
      <c r="CG163" s="55"/>
      <c r="CH163" s="67">
        <f t="shared" si="101"/>
        <v>0</v>
      </c>
      <c r="CI163" s="68">
        <f t="shared" si="117"/>
        <v>0</v>
      </c>
      <c r="CJ163" s="55"/>
      <c r="CK163" s="55"/>
      <c r="CL163" s="55"/>
      <c r="CM163" s="55"/>
      <c r="CN163" s="55"/>
      <c r="CO163" s="68">
        <f t="shared" si="102"/>
        <v>0</v>
      </c>
      <c r="CP163" s="75">
        <f>SUM(Tableau1[[#This Row],[Fourniture eau]:[Energie (non précisé)]])</f>
        <v>0</v>
      </c>
      <c r="CQ163" s="55"/>
      <c r="CR163" s="55"/>
      <c r="CS163" s="55"/>
      <c r="CT163" s="55"/>
      <c r="CU163" s="55"/>
      <c r="CV163" s="55">
        <v>0</v>
      </c>
      <c r="CW163" s="55"/>
      <c r="CX163" s="68">
        <f>SUM(Tableau1[[#This Row],[Sous-traitance]:[Autres ou non précisé 12]])</f>
        <v>0</v>
      </c>
      <c r="CY163" s="65"/>
      <c r="CZ163" s="65"/>
      <c r="DA163" s="65"/>
      <c r="DB163" s="65"/>
      <c r="DC163" s="55"/>
      <c r="DD163" s="68">
        <f t="shared" si="83"/>
        <v>0</v>
      </c>
      <c r="DE163" s="55"/>
      <c r="DF163" s="65"/>
      <c r="DG163" s="65"/>
      <c r="DH163" s="65"/>
      <c r="DI163" s="68">
        <f>SUM(Tableau1[[#This Row],[Entretien et réparation matériel de projection]:[Autres ou non précisé 14]])</f>
        <v>0</v>
      </c>
      <c r="DJ163" s="58"/>
      <c r="DK163" s="58"/>
      <c r="DL163" s="69"/>
      <c r="DM163" s="68">
        <f t="shared" si="103"/>
        <v>0</v>
      </c>
      <c r="DN163" s="58"/>
      <c r="DO163" s="58"/>
      <c r="DP163" s="68">
        <f t="shared" si="104"/>
        <v>0</v>
      </c>
      <c r="DQ163" s="65"/>
      <c r="DR163" s="65"/>
      <c r="DS163" s="68">
        <f t="shared" si="105"/>
        <v>0</v>
      </c>
      <c r="DT163" s="65"/>
      <c r="DU163" s="65"/>
      <c r="DV163" s="65"/>
      <c r="DW163" s="68">
        <f>SUM(Tableau1[[#This Row],[Comission et courtage sur achats]:[Autres ou honoraires
 non précisé ]])</f>
        <v>0</v>
      </c>
      <c r="DX163" s="57"/>
      <c r="DY163" s="57"/>
      <c r="DZ163" s="65"/>
      <c r="EA163" s="65"/>
      <c r="EB163" s="65"/>
      <c r="EC163" s="68">
        <f t="shared" si="106"/>
        <v>0</v>
      </c>
      <c r="ED163" s="69"/>
      <c r="EE163" s="69"/>
      <c r="EF163" s="69"/>
      <c r="EG163" s="69"/>
      <c r="EH163" s="69"/>
      <c r="EI163" s="84">
        <f>SUM(Tableau1[[#This Row],[Transports sur films]:[autres ]])</f>
        <v>0</v>
      </c>
      <c r="EJ163" s="132">
        <v>0</v>
      </c>
      <c r="EK163" s="132"/>
      <c r="EL163" s="68">
        <f t="shared" si="107"/>
        <v>0</v>
      </c>
      <c r="EM163" s="65"/>
      <c r="EN163" s="65">
        <v>0</v>
      </c>
      <c r="EO163" s="65"/>
      <c r="EP163" s="65"/>
      <c r="EQ163" s="65"/>
      <c r="ER163" s="65"/>
      <c r="ES163" s="65"/>
      <c r="ET163" s="68">
        <f t="shared" si="108"/>
        <v>0</v>
      </c>
      <c r="EU163" s="65"/>
      <c r="EV163" s="65"/>
      <c r="EW163" s="65"/>
      <c r="EX163" s="65"/>
      <c r="EY163" s="65"/>
      <c r="EZ163" s="68">
        <f t="shared" si="85"/>
        <v>0</v>
      </c>
      <c r="FA163" s="65"/>
      <c r="FB163" s="65"/>
      <c r="FC163" s="70">
        <f t="shared" si="84"/>
        <v>0</v>
      </c>
      <c r="FD163" s="65"/>
      <c r="FE163" s="71">
        <f t="shared" si="109"/>
        <v>0</v>
      </c>
      <c r="FF163" s="72">
        <f t="shared" si="110"/>
        <v>0</v>
      </c>
      <c r="FG163" s="65"/>
      <c r="FH163" s="65"/>
      <c r="FI163" s="65"/>
      <c r="FJ163" s="56">
        <f t="shared" si="111"/>
        <v>0</v>
      </c>
      <c r="FK163" s="65"/>
      <c r="FL163" s="65"/>
      <c r="FM163" s="65"/>
      <c r="FN163" s="65"/>
      <c r="FO163" s="67">
        <f t="shared" si="112"/>
        <v>0</v>
      </c>
      <c r="FP163" s="57"/>
      <c r="FQ163" s="73"/>
      <c r="FR163" s="73"/>
      <c r="FS163" s="71">
        <f t="shared" si="113"/>
        <v>0</v>
      </c>
      <c r="FT163" s="91"/>
      <c r="FU163" s="91"/>
      <c r="FV163" s="67">
        <f>SUM(Tableau1[[#This Row],[Droits d''auteurs SACEM + cotisations SACEM]:[Autres ou non préciés]])</f>
        <v>0</v>
      </c>
      <c r="FW163" s="75">
        <f t="shared" si="114"/>
        <v>0</v>
      </c>
      <c r="FX163" s="74">
        <v>0</v>
      </c>
      <c r="FY163" s="74"/>
      <c r="FZ163" s="74"/>
      <c r="GA163" s="74"/>
      <c r="GB163" s="71">
        <f t="shared" si="115"/>
        <v>0</v>
      </c>
      <c r="GC163" s="92"/>
      <c r="GD163" s="92"/>
      <c r="GE163" s="67">
        <f t="shared" si="116"/>
        <v>0</v>
      </c>
      <c r="GF163" s="66"/>
      <c r="GG163" s="66"/>
      <c r="GH163" s="66"/>
      <c r="GI163" s="66"/>
      <c r="GJ163" s="77"/>
    </row>
    <row r="164" spans="1:192" ht="18.600000000000001" customHeight="1" x14ac:dyDescent="0.25">
      <c r="A164" s="89"/>
      <c r="B164" s="17"/>
      <c r="C164" s="50"/>
      <c r="D164" s="140"/>
      <c r="E164" s="51"/>
      <c r="F164" s="139">
        <f t="shared" si="81"/>
        <v>1</v>
      </c>
      <c r="G164" s="49"/>
      <c r="H164" s="50"/>
      <c r="I164" s="122"/>
      <c r="J164" s="49"/>
      <c r="K164" s="50"/>
      <c r="L164" s="50"/>
      <c r="M164" s="90"/>
      <c r="N164" s="50"/>
      <c r="O164" s="50"/>
      <c r="P164" s="90"/>
      <c r="Q164" s="52">
        <f t="shared" si="86"/>
        <v>0</v>
      </c>
      <c r="R164" s="52">
        <f t="shared" si="87"/>
        <v>0</v>
      </c>
      <c r="S164" s="53">
        <f t="shared" si="88"/>
        <v>0</v>
      </c>
      <c r="T164" s="54">
        <f t="shared" si="89"/>
        <v>0</v>
      </c>
      <c r="U164" s="115">
        <f>SUM(Tableau1[[#This Row],[Vente confiserie]:[Vente boisson]])</f>
        <v>0</v>
      </c>
      <c r="V164" s="55"/>
      <c r="W164" s="55"/>
      <c r="X164" s="135">
        <f>SUM(Tableau1[[#This Row],[Vente lunette]:[Location lunette]])</f>
        <v>0</v>
      </c>
      <c r="Y164" s="55"/>
      <c r="Z164" s="55"/>
      <c r="AA164" s="55"/>
      <c r="AB164" s="55"/>
      <c r="AC164" s="56">
        <f t="shared" si="118"/>
        <v>0</v>
      </c>
      <c r="AD164" s="57"/>
      <c r="AE164" s="57"/>
      <c r="AF164" s="57"/>
      <c r="AG164" s="57"/>
      <c r="AH164" s="57"/>
      <c r="AI164" s="57"/>
      <c r="AJ164" s="118">
        <f>(Tableau1[[#This Row],[Recette guichet ]]*1.1275177)-Tableau1[[#This Row],[Recette guichet ]]</f>
        <v>0</v>
      </c>
      <c r="AK164" s="57"/>
      <c r="AL164" s="56">
        <f t="shared" si="119"/>
        <v>0</v>
      </c>
      <c r="AM164" s="58"/>
      <c r="AN164" s="58"/>
      <c r="AO164" s="58"/>
      <c r="AP164" s="115">
        <f t="shared" si="90"/>
        <v>0</v>
      </c>
      <c r="AQ164" s="69"/>
      <c r="AR164" s="69"/>
      <c r="AS164" s="69"/>
      <c r="AT164" s="69"/>
      <c r="AU164" s="59">
        <f t="shared" si="91"/>
        <v>0</v>
      </c>
      <c r="AV164" s="60">
        <f t="shared" si="92"/>
        <v>0</v>
      </c>
      <c r="AW164" s="58"/>
      <c r="AX164" s="58"/>
      <c r="AY164" s="58"/>
      <c r="AZ164" s="60">
        <f t="shared" si="82"/>
        <v>0</v>
      </c>
      <c r="BA164" s="58"/>
      <c r="BB164" s="58"/>
      <c r="BC164" s="58"/>
      <c r="BD164" s="60">
        <f>SUM(Tableau1[[#This Row],[ticket/carte/abonnement périmé]:[Autres ou non précisé 5]])</f>
        <v>0</v>
      </c>
      <c r="BE164" s="58"/>
      <c r="BF164" s="58"/>
      <c r="BG164" s="58"/>
      <c r="BH164" s="61">
        <f t="shared" si="93"/>
        <v>0</v>
      </c>
      <c r="BI164" s="120"/>
      <c r="BJ164" s="120"/>
      <c r="BK164" s="62">
        <f t="shared" si="94"/>
        <v>0</v>
      </c>
      <c r="BL164" s="120"/>
      <c r="BM164" s="120"/>
      <c r="BN164" s="120"/>
      <c r="BO164" s="120"/>
      <c r="BP164" s="120"/>
      <c r="BQ164" s="63"/>
      <c r="BR164" s="52">
        <f t="shared" si="95"/>
        <v>0</v>
      </c>
      <c r="BS164" s="52">
        <f t="shared" si="96"/>
        <v>0</v>
      </c>
      <c r="BT164" s="61">
        <f t="shared" si="97"/>
        <v>0</v>
      </c>
      <c r="BU164" s="64">
        <f t="shared" si="98"/>
        <v>0</v>
      </c>
      <c r="BV164" s="119">
        <f>SUM(Tableau1[[#This Row],[Achats confiserie]:[Achats boisson]])</f>
        <v>0</v>
      </c>
      <c r="BW164" s="58"/>
      <c r="BX164" s="69"/>
      <c r="BY164" s="58"/>
      <c r="BZ164" s="56">
        <f t="shared" si="99"/>
        <v>0</v>
      </c>
      <c r="CA164" s="66"/>
      <c r="CB164" s="66"/>
      <c r="CC164" s="56">
        <f t="shared" si="100"/>
        <v>0</v>
      </c>
      <c r="CD164" s="55"/>
      <c r="CE164" s="65"/>
      <c r="CF164" s="55"/>
      <c r="CG164" s="55"/>
      <c r="CH164" s="67">
        <f t="shared" si="101"/>
        <v>0</v>
      </c>
      <c r="CI164" s="68">
        <f t="shared" si="117"/>
        <v>0</v>
      </c>
      <c r="CJ164" s="55"/>
      <c r="CK164" s="55"/>
      <c r="CL164" s="55"/>
      <c r="CM164" s="55"/>
      <c r="CN164" s="55"/>
      <c r="CO164" s="68">
        <f t="shared" si="102"/>
        <v>0</v>
      </c>
      <c r="CP164" s="75">
        <f>SUM(Tableau1[[#This Row],[Fourniture eau]:[Energie (non précisé)]])</f>
        <v>0</v>
      </c>
      <c r="CQ164" s="55"/>
      <c r="CR164" s="55"/>
      <c r="CS164" s="55"/>
      <c r="CT164" s="55"/>
      <c r="CU164" s="55"/>
      <c r="CV164" s="55">
        <v>0</v>
      </c>
      <c r="CW164" s="55"/>
      <c r="CX164" s="68">
        <f>SUM(Tableau1[[#This Row],[Sous-traitance]:[Autres ou non précisé 12]])</f>
        <v>0</v>
      </c>
      <c r="CY164" s="65"/>
      <c r="CZ164" s="65"/>
      <c r="DA164" s="65"/>
      <c r="DB164" s="65"/>
      <c r="DC164" s="55"/>
      <c r="DD164" s="68">
        <f t="shared" si="83"/>
        <v>0</v>
      </c>
      <c r="DE164" s="55"/>
      <c r="DF164" s="65"/>
      <c r="DG164" s="65"/>
      <c r="DH164" s="65"/>
      <c r="DI164" s="68">
        <f>SUM(Tableau1[[#This Row],[Entretien et réparation matériel de projection]:[Autres ou non précisé 14]])</f>
        <v>0</v>
      </c>
      <c r="DJ164" s="58"/>
      <c r="DK164" s="58"/>
      <c r="DL164" s="69"/>
      <c r="DM164" s="68">
        <f t="shared" si="103"/>
        <v>0</v>
      </c>
      <c r="DN164" s="58"/>
      <c r="DO164" s="58"/>
      <c r="DP164" s="68">
        <f t="shared" si="104"/>
        <v>0</v>
      </c>
      <c r="DQ164" s="65"/>
      <c r="DR164" s="65"/>
      <c r="DS164" s="68">
        <f t="shared" si="105"/>
        <v>0</v>
      </c>
      <c r="DT164" s="65"/>
      <c r="DU164" s="65"/>
      <c r="DV164" s="65"/>
      <c r="DW164" s="68">
        <f>SUM(Tableau1[[#This Row],[Comission et courtage sur achats]:[Autres ou honoraires
 non précisé ]])</f>
        <v>0</v>
      </c>
      <c r="DX164" s="57"/>
      <c r="DY164" s="57"/>
      <c r="DZ164" s="65"/>
      <c r="EA164" s="65"/>
      <c r="EB164" s="65"/>
      <c r="EC164" s="68">
        <f t="shared" si="106"/>
        <v>0</v>
      </c>
      <c r="ED164" s="69"/>
      <c r="EE164" s="69"/>
      <c r="EF164" s="69"/>
      <c r="EG164" s="69"/>
      <c r="EH164" s="69"/>
      <c r="EI164" s="84">
        <f>SUM(Tableau1[[#This Row],[Transports sur films]:[autres ]])</f>
        <v>0</v>
      </c>
      <c r="EJ164" s="132">
        <v>0</v>
      </c>
      <c r="EK164" s="132"/>
      <c r="EL164" s="68">
        <f t="shared" si="107"/>
        <v>0</v>
      </c>
      <c r="EM164" s="65"/>
      <c r="EN164" s="65">
        <v>0</v>
      </c>
      <c r="EO164" s="65"/>
      <c r="EP164" s="65"/>
      <c r="EQ164" s="65"/>
      <c r="ER164" s="65"/>
      <c r="ES164" s="65"/>
      <c r="ET164" s="68">
        <f t="shared" si="108"/>
        <v>0</v>
      </c>
      <c r="EU164" s="65"/>
      <c r="EV164" s="65"/>
      <c r="EW164" s="65"/>
      <c r="EX164" s="65"/>
      <c r="EY164" s="65"/>
      <c r="EZ164" s="68">
        <f t="shared" si="85"/>
        <v>0</v>
      </c>
      <c r="FA164" s="65"/>
      <c r="FB164" s="65"/>
      <c r="FC164" s="70">
        <f t="shared" si="84"/>
        <v>0</v>
      </c>
      <c r="FD164" s="65"/>
      <c r="FE164" s="71">
        <f t="shared" si="109"/>
        <v>0</v>
      </c>
      <c r="FF164" s="72">
        <f t="shared" si="110"/>
        <v>0</v>
      </c>
      <c r="FG164" s="65"/>
      <c r="FH164" s="65"/>
      <c r="FI164" s="65"/>
      <c r="FJ164" s="56">
        <f t="shared" si="111"/>
        <v>0</v>
      </c>
      <c r="FK164" s="65"/>
      <c r="FL164" s="65"/>
      <c r="FM164" s="65"/>
      <c r="FN164" s="65"/>
      <c r="FO164" s="67">
        <f t="shared" si="112"/>
        <v>0</v>
      </c>
      <c r="FP164" s="57"/>
      <c r="FQ164" s="73"/>
      <c r="FR164" s="73"/>
      <c r="FS164" s="71">
        <f t="shared" si="113"/>
        <v>0</v>
      </c>
      <c r="FT164" s="91"/>
      <c r="FU164" s="91"/>
      <c r="FV164" s="67">
        <f>SUM(Tableau1[[#This Row],[Droits d''auteurs SACEM + cotisations SACEM]:[Autres ou non préciés]])</f>
        <v>0</v>
      </c>
      <c r="FW164" s="75">
        <f t="shared" si="114"/>
        <v>0</v>
      </c>
      <c r="FX164" s="74">
        <v>0</v>
      </c>
      <c r="FY164" s="74"/>
      <c r="FZ164" s="74"/>
      <c r="GA164" s="74"/>
      <c r="GB164" s="71">
        <f t="shared" si="115"/>
        <v>0</v>
      </c>
      <c r="GC164" s="92"/>
      <c r="GD164" s="92"/>
      <c r="GE164" s="67">
        <f t="shared" si="116"/>
        <v>0</v>
      </c>
      <c r="GF164" s="66"/>
      <c r="GG164" s="66"/>
      <c r="GH164" s="66"/>
      <c r="GI164" s="66"/>
      <c r="GJ164" s="77"/>
    </row>
    <row r="165" spans="1:192" ht="18.600000000000001" customHeight="1" x14ac:dyDescent="0.25">
      <c r="A165" s="89"/>
      <c r="B165" s="17"/>
      <c r="C165" s="50"/>
      <c r="D165" s="140"/>
      <c r="E165" s="51"/>
      <c r="F165" s="139">
        <f t="shared" si="81"/>
        <v>1</v>
      </c>
      <c r="G165" s="49"/>
      <c r="H165" s="50"/>
      <c r="I165" s="122"/>
      <c r="J165" s="49"/>
      <c r="K165" s="50"/>
      <c r="L165" s="50"/>
      <c r="M165" s="90"/>
      <c r="N165" s="50"/>
      <c r="O165" s="50"/>
      <c r="P165" s="90"/>
      <c r="Q165" s="52">
        <f t="shared" si="86"/>
        <v>0</v>
      </c>
      <c r="R165" s="52">
        <f t="shared" si="87"/>
        <v>0</v>
      </c>
      <c r="S165" s="53">
        <f t="shared" si="88"/>
        <v>0</v>
      </c>
      <c r="T165" s="54">
        <f t="shared" si="89"/>
        <v>0</v>
      </c>
      <c r="U165" s="115">
        <f>SUM(Tableau1[[#This Row],[Vente confiserie]:[Vente boisson]])</f>
        <v>0</v>
      </c>
      <c r="V165" s="55"/>
      <c r="W165" s="55"/>
      <c r="X165" s="135">
        <f>SUM(Tableau1[[#This Row],[Vente lunette]:[Location lunette]])</f>
        <v>0</v>
      </c>
      <c r="Y165" s="55"/>
      <c r="Z165" s="55"/>
      <c r="AA165" s="55"/>
      <c r="AB165" s="55"/>
      <c r="AC165" s="56">
        <f t="shared" si="118"/>
        <v>0</v>
      </c>
      <c r="AD165" s="57"/>
      <c r="AE165" s="57"/>
      <c r="AF165" s="57"/>
      <c r="AG165" s="57"/>
      <c r="AH165" s="57"/>
      <c r="AI165" s="57"/>
      <c r="AJ165" s="118">
        <f>(Tableau1[[#This Row],[Recette guichet ]]*1.1275177)-Tableau1[[#This Row],[Recette guichet ]]</f>
        <v>0</v>
      </c>
      <c r="AK165" s="57"/>
      <c r="AL165" s="56">
        <f t="shared" si="119"/>
        <v>0</v>
      </c>
      <c r="AM165" s="58"/>
      <c r="AN165" s="58"/>
      <c r="AO165" s="58"/>
      <c r="AP165" s="115">
        <f t="shared" si="90"/>
        <v>0</v>
      </c>
      <c r="AQ165" s="69"/>
      <c r="AR165" s="69"/>
      <c r="AS165" s="69"/>
      <c r="AT165" s="69"/>
      <c r="AU165" s="59">
        <f t="shared" si="91"/>
        <v>0</v>
      </c>
      <c r="AV165" s="60">
        <f t="shared" si="92"/>
        <v>0</v>
      </c>
      <c r="AW165" s="58"/>
      <c r="AX165" s="58"/>
      <c r="AY165" s="58"/>
      <c r="AZ165" s="60">
        <f t="shared" si="82"/>
        <v>0</v>
      </c>
      <c r="BA165" s="58"/>
      <c r="BB165" s="58"/>
      <c r="BC165" s="58"/>
      <c r="BD165" s="60">
        <f>SUM(Tableau1[[#This Row],[ticket/carte/abonnement périmé]:[Autres ou non précisé 5]])</f>
        <v>0</v>
      </c>
      <c r="BE165" s="58"/>
      <c r="BF165" s="58"/>
      <c r="BG165" s="58"/>
      <c r="BH165" s="61">
        <f t="shared" si="93"/>
        <v>0</v>
      </c>
      <c r="BI165" s="120"/>
      <c r="BJ165" s="120"/>
      <c r="BK165" s="62">
        <f t="shared" si="94"/>
        <v>0</v>
      </c>
      <c r="BL165" s="120"/>
      <c r="BM165" s="120"/>
      <c r="BN165" s="120"/>
      <c r="BO165" s="120"/>
      <c r="BP165" s="120"/>
      <c r="BQ165" s="63"/>
      <c r="BR165" s="52">
        <f t="shared" si="95"/>
        <v>0</v>
      </c>
      <c r="BS165" s="52">
        <f t="shared" si="96"/>
        <v>0</v>
      </c>
      <c r="BT165" s="61">
        <f t="shared" si="97"/>
        <v>0</v>
      </c>
      <c r="BU165" s="64">
        <f t="shared" si="98"/>
        <v>0</v>
      </c>
      <c r="BV165" s="119">
        <f>SUM(Tableau1[[#This Row],[Achats confiserie]:[Achats boisson]])</f>
        <v>0</v>
      </c>
      <c r="BW165" s="58"/>
      <c r="BX165" s="69"/>
      <c r="BY165" s="58"/>
      <c r="BZ165" s="56">
        <f t="shared" si="99"/>
        <v>0</v>
      </c>
      <c r="CA165" s="66"/>
      <c r="CB165" s="66"/>
      <c r="CC165" s="56">
        <f t="shared" si="100"/>
        <v>0</v>
      </c>
      <c r="CD165" s="55"/>
      <c r="CE165" s="65"/>
      <c r="CF165" s="55"/>
      <c r="CG165" s="55"/>
      <c r="CH165" s="67">
        <f t="shared" si="101"/>
        <v>0</v>
      </c>
      <c r="CI165" s="68">
        <f t="shared" si="117"/>
        <v>0</v>
      </c>
      <c r="CJ165" s="55"/>
      <c r="CK165" s="55"/>
      <c r="CL165" s="55"/>
      <c r="CM165" s="55"/>
      <c r="CN165" s="55"/>
      <c r="CO165" s="68">
        <f t="shared" si="102"/>
        <v>0</v>
      </c>
      <c r="CP165" s="75">
        <f>SUM(Tableau1[[#This Row],[Fourniture eau]:[Energie (non précisé)]])</f>
        <v>0</v>
      </c>
      <c r="CQ165" s="55"/>
      <c r="CR165" s="55"/>
      <c r="CS165" s="55"/>
      <c r="CT165" s="55"/>
      <c r="CU165" s="55"/>
      <c r="CV165" s="55">
        <v>0</v>
      </c>
      <c r="CW165" s="55"/>
      <c r="CX165" s="68">
        <f>SUM(Tableau1[[#This Row],[Sous-traitance]:[Autres ou non précisé 12]])</f>
        <v>0</v>
      </c>
      <c r="CY165" s="65"/>
      <c r="CZ165" s="65"/>
      <c r="DA165" s="65"/>
      <c r="DB165" s="65"/>
      <c r="DC165" s="55"/>
      <c r="DD165" s="68">
        <f t="shared" si="83"/>
        <v>0</v>
      </c>
      <c r="DE165" s="55"/>
      <c r="DF165" s="65"/>
      <c r="DG165" s="65"/>
      <c r="DH165" s="65"/>
      <c r="DI165" s="68">
        <f>SUM(Tableau1[[#This Row],[Entretien et réparation matériel de projection]:[Autres ou non précisé 14]])</f>
        <v>0</v>
      </c>
      <c r="DJ165" s="58"/>
      <c r="DK165" s="58"/>
      <c r="DL165" s="69"/>
      <c r="DM165" s="68">
        <f t="shared" si="103"/>
        <v>0</v>
      </c>
      <c r="DN165" s="58"/>
      <c r="DO165" s="58"/>
      <c r="DP165" s="68">
        <f t="shared" si="104"/>
        <v>0</v>
      </c>
      <c r="DQ165" s="65"/>
      <c r="DR165" s="65"/>
      <c r="DS165" s="68">
        <f t="shared" si="105"/>
        <v>0</v>
      </c>
      <c r="DT165" s="65"/>
      <c r="DU165" s="65"/>
      <c r="DV165" s="65"/>
      <c r="DW165" s="68">
        <f>SUM(Tableau1[[#This Row],[Comission et courtage sur achats]:[Autres ou honoraires
 non précisé ]])</f>
        <v>0</v>
      </c>
      <c r="DX165" s="57"/>
      <c r="DY165" s="57"/>
      <c r="DZ165" s="65"/>
      <c r="EA165" s="65"/>
      <c r="EB165" s="65"/>
      <c r="EC165" s="68">
        <f t="shared" si="106"/>
        <v>0</v>
      </c>
      <c r="ED165" s="69"/>
      <c r="EE165" s="69"/>
      <c r="EF165" s="69"/>
      <c r="EG165" s="69"/>
      <c r="EH165" s="69"/>
      <c r="EI165" s="84">
        <f>SUM(Tableau1[[#This Row],[Transports sur films]:[autres ]])</f>
        <v>0</v>
      </c>
      <c r="EJ165" s="132">
        <v>0</v>
      </c>
      <c r="EK165" s="132"/>
      <c r="EL165" s="68">
        <f t="shared" si="107"/>
        <v>0</v>
      </c>
      <c r="EM165" s="65"/>
      <c r="EN165" s="65">
        <v>0</v>
      </c>
      <c r="EO165" s="65"/>
      <c r="EP165" s="65"/>
      <c r="EQ165" s="65"/>
      <c r="ER165" s="65"/>
      <c r="ES165" s="65"/>
      <c r="ET165" s="68">
        <f t="shared" si="108"/>
        <v>0</v>
      </c>
      <c r="EU165" s="65"/>
      <c r="EV165" s="65"/>
      <c r="EW165" s="65"/>
      <c r="EX165" s="65"/>
      <c r="EY165" s="65"/>
      <c r="EZ165" s="68">
        <f t="shared" si="85"/>
        <v>0</v>
      </c>
      <c r="FA165" s="65"/>
      <c r="FB165" s="65"/>
      <c r="FC165" s="70">
        <f t="shared" si="84"/>
        <v>0</v>
      </c>
      <c r="FD165" s="65"/>
      <c r="FE165" s="71">
        <f t="shared" si="109"/>
        <v>0</v>
      </c>
      <c r="FF165" s="72">
        <f t="shared" si="110"/>
        <v>0</v>
      </c>
      <c r="FG165" s="65"/>
      <c r="FH165" s="65"/>
      <c r="FI165" s="65"/>
      <c r="FJ165" s="56">
        <f t="shared" si="111"/>
        <v>0</v>
      </c>
      <c r="FK165" s="65"/>
      <c r="FL165" s="65"/>
      <c r="FM165" s="65"/>
      <c r="FN165" s="65"/>
      <c r="FO165" s="67">
        <f t="shared" si="112"/>
        <v>0</v>
      </c>
      <c r="FP165" s="57"/>
      <c r="FQ165" s="73"/>
      <c r="FR165" s="73"/>
      <c r="FS165" s="71">
        <f t="shared" si="113"/>
        <v>0</v>
      </c>
      <c r="FT165" s="91"/>
      <c r="FU165" s="91"/>
      <c r="FV165" s="67">
        <f>SUM(Tableau1[[#This Row],[Droits d''auteurs SACEM + cotisations SACEM]:[Autres ou non préciés]])</f>
        <v>0</v>
      </c>
      <c r="FW165" s="75">
        <f t="shared" si="114"/>
        <v>0</v>
      </c>
      <c r="FX165" s="74">
        <v>0</v>
      </c>
      <c r="FY165" s="74"/>
      <c r="FZ165" s="74"/>
      <c r="GA165" s="74"/>
      <c r="GB165" s="71">
        <f t="shared" si="115"/>
        <v>0</v>
      </c>
      <c r="GC165" s="92"/>
      <c r="GD165" s="92"/>
      <c r="GE165" s="67">
        <f t="shared" si="116"/>
        <v>0</v>
      </c>
      <c r="GF165" s="66"/>
      <c r="GG165" s="66"/>
      <c r="GH165" s="66"/>
      <c r="GI165" s="66"/>
      <c r="GJ165" s="77"/>
    </row>
    <row r="166" spans="1:192" ht="18.600000000000001" customHeight="1" x14ac:dyDescent="0.25">
      <c r="A166" s="89"/>
      <c r="B166" s="17"/>
      <c r="C166" s="50"/>
      <c r="D166" s="140"/>
      <c r="E166" s="51"/>
      <c r="F166" s="139">
        <f t="shared" si="81"/>
        <v>1</v>
      </c>
      <c r="G166" s="49"/>
      <c r="H166" s="50"/>
      <c r="I166" s="122"/>
      <c r="J166" s="49"/>
      <c r="K166" s="50"/>
      <c r="L166" s="50"/>
      <c r="M166" s="90"/>
      <c r="N166" s="50"/>
      <c r="O166" s="50"/>
      <c r="P166" s="90"/>
      <c r="Q166" s="52">
        <f t="shared" si="86"/>
        <v>0</v>
      </c>
      <c r="R166" s="52">
        <f t="shared" si="87"/>
        <v>0</v>
      </c>
      <c r="S166" s="53">
        <f t="shared" si="88"/>
        <v>0</v>
      </c>
      <c r="T166" s="54">
        <f t="shared" si="89"/>
        <v>0</v>
      </c>
      <c r="U166" s="115">
        <f>SUM(Tableau1[[#This Row],[Vente confiserie]:[Vente boisson]])</f>
        <v>0</v>
      </c>
      <c r="V166" s="55"/>
      <c r="W166" s="55"/>
      <c r="X166" s="135">
        <f>SUM(Tableau1[[#This Row],[Vente lunette]:[Location lunette]])</f>
        <v>0</v>
      </c>
      <c r="Y166" s="55"/>
      <c r="Z166" s="55"/>
      <c r="AA166" s="55"/>
      <c r="AB166" s="55"/>
      <c r="AC166" s="56">
        <f t="shared" si="118"/>
        <v>0</v>
      </c>
      <c r="AD166" s="57"/>
      <c r="AE166" s="57"/>
      <c r="AF166" s="57"/>
      <c r="AG166" s="57"/>
      <c r="AH166" s="57"/>
      <c r="AI166" s="57"/>
      <c r="AJ166" s="118">
        <f>(Tableau1[[#This Row],[Recette guichet ]]*1.1275177)-Tableau1[[#This Row],[Recette guichet ]]</f>
        <v>0</v>
      </c>
      <c r="AK166" s="57"/>
      <c r="AL166" s="56">
        <f t="shared" si="119"/>
        <v>0</v>
      </c>
      <c r="AM166" s="58"/>
      <c r="AN166" s="58"/>
      <c r="AO166" s="58"/>
      <c r="AP166" s="115">
        <f t="shared" si="90"/>
        <v>0</v>
      </c>
      <c r="AQ166" s="69"/>
      <c r="AR166" s="69"/>
      <c r="AS166" s="69"/>
      <c r="AT166" s="69"/>
      <c r="AU166" s="59">
        <f t="shared" si="91"/>
        <v>0</v>
      </c>
      <c r="AV166" s="60">
        <f t="shared" si="92"/>
        <v>0</v>
      </c>
      <c r="AW166" s="58"/>
      <c r="AX166" s="58"/>
      <c r="AY166" s="58"/>
      <c r="AZ166" s="60">
        <f t="shared" si="82"/>
        <v>0</v>
      </c>
      <c r="BA166" s="58"/>
      <c r="BB166" s="58"/>
      <c r="BC166" s="58"/>
      <c r="BD166" s="60">
        <f>SUM(Tableau1[[#This Row],[ticket/carte/abonnement périmé]:[Autres ou non précisé 5]])</f>
        <v>0</v>
      </c>
      <c r="BE166" s="58"/>
      <c r="BF166" s="58"/>
      <c r="BG166" s="58"/>
      <c r="BH166" s="61">
        <f t="shared" si="93"/>
        <v>0</v>
      </c>
      <c r="BI166" s="120"/>
      <c r="BJ166" s="120"/>
      <c r="BK166" s="62">
        <f t="shared" si="94"/>
        <v>0</v>
      </c>
      <c r="BL166" s="120"/>
      <c r="BM166" s="120"/>
      <c r="BN166" s="120"/>
      <c r="BO166" s="120"/>
      <c r="BP166" s="120"/>
      <c r="BQ166" s="63"/>
      <c r="BR166" s="52">
        <f t="shared" si="95"/>
        <v>0</v>
      </c>
      <c r="BS166" s="52">
        <f t="shared" si="96"/>
        <v>0</v>
      </c>
      <c r="BT166" s="61">
        <f t="shared" si="97"/>
        <v>0</v>
      </c>
      <c r="BU166" s="64">
        <f t="shared" si="98"/>
        <v>0</v>
      </c>
      <c r="BV166" s="119">
        <f>SUM(Tableau1[[#This Row],[Achats confiserie]:[Achats boisson]])</f>
        <v>0</v>
      </c>
      <c r="BW166" s="58"/>
      <c r="BX166" s="69"/>
      <c r="BY166" s="58"/>
      <c r="BZ166" s="56">
        <f t="shared" si="99"/>
        <v>0</v>
      </c>
      <c r="CA166" s="66"/>
      <c r="CB166" s="66"/>
      <c r="CC166" s="56">
        <f t="shared" si="100"/>
        <v>0</v>
      </c>
      <c r="CD166" s="55"/>
      <c r="CE166" s="65"/>
      <c r="CF166" s="55"/>
      <c r="CG166" s="55"/>
      <c r="CH166" s="67">
        <f t="shared" si="101"/>
        <v>0</v>
      </c>
      <c r="CI166" s="68">
        <f t="shared" si="117"/>
        <v>0</v>
      </c>
      <c r="CJ166" s="55"/>
      <c r="CK166" s="55"/>
      <c r="CL166" s="55"/>
      <c r="CM166" s="55"/>
      <c r="CN166" s="55"/>
      <c r="CO166" s="68">
        <f t="shared" si="102"/>
        <v>0</v>
      </c>
      <c r="CP166" s="75">
        <f>SUM(Tableau1[[#This Row],[Fourniture eau]:[Energie (non précisé)]])</f>
        <v>0</v>
      </c>
      <c r="CQ166" s="55"/>
      <c r="CR166" s="55"/>
      <c r="CS166" s="55"/>
      <c r="CT166" s="55"/>
      <c r="CU166" s="55"/>
      <c r="CV166" s="55">
        <v>0</v>
      </c>
      <c r="CW166" s="55"/>
      <c r="CX166" s="68">
        <f>SUM(Tableau1[[#This Row],[Sous-traitance]:[Autres ou non précisé 12]])</f>
        <v>0</v>
      </c>
      <c r="CY166" s="65"/>
      <c r="CZ166" s="65"/>
      <c r="DA166" s="65"/>
      <c r="DB166" s="65"/>
      <c r="DC166" s="55"/>
      <c r="DD166" s="68">
        <f t="shared" si="83"/>
        <v>0</v>
      </c>
      <c r="DE166" s="55"/>
      <c r="DF166" s="65"/>
      <c r="DG166" s="65"/>
      <c r="DH166" s="65"/>
      <c r="DI166" s="68">
        <f>SUM(Tableau1[[#This Row],[Entretien et réparation matériel de projection]:[Autres ou non précisé 14]])</f>
        <v>0</v>
      </c>
      <c r="DJ166" s="58"/>
      <c r="DK166" s="58"/>
      <c r="DL166" s="69"/>
      <c r="DM166" s="68">
        <f t="shared" si="103"/>
        <v>0</v>
      </c>
      <c r="DN166" s="58"/>
      <c r="DO166" s="58"/>
      <c r="DP166" s="68">
        <f t="shared" si="104"/>
        <v>0</v>
      </c>
      <c r="DQ166" s="65"/>
      <c r="DR166" s="65"/>
      <c r="DS166" s="68">
        <f t="shared" si="105"/>
        <v>0</v>
      </c>
      <c r="DT166" s="65"/>
      <c r="DU166" s="65"/>
      <c r="DV166" s="65"/>
      <c r="DW166" s="68">
        <f>SUM(Tableau1[[#This Row],[Comission et courtage sur achats]:[Autres ou honoraires
 non précisé ]])</f>
        <v>0</v>
      </c>
      <c r="DX166" s="57"/>
      <c r="DY166" s="57"/>
      <c r="DZ166" s="65"/>
      <c r="EA166" s="65"/>
      <c r="EB166" s="65"/>
      <c r="EC166" s="68">
        <f t="shared" si="106"/>
        <v>0</v>
      </c>
      <c r="ED166" s="69"/>
      <c r="EE166" s="69"/>
      <c r="EF166" s="69"/>
      <c r="EG166" s="69"/>
      <c r="EH166" s="69"/>
      <c r="EI166" s="84">
        <f>SUM(Tableau1[[#This Row],[Transports sur films]:[autres ]])</f>
        <v>0</v>
      </c>
      <c r="EJ166" s="132">
        <v>0</v>
      </c>
      <c r="EK166" s="132"/>
      <c r="EL166" s="68">
        <f t="shared" si="107"/>
        <v>0</v>
      </c>
      <c r="EM166" s="65"/>
      <c r="EN166" s="65">
        <v>0</v>
      </c>
      <c r="EO166" s="65"/>
      <c r="EP166" s="65"/>
      <c r="EQ166" s="65"/>
      <c r="ER166" s="65"/>
      <c r="ES166" s="65"/>
      <c r="ET166" s="68">
        <f t="shared" si="108"/>
        <v>0</v>
      </c>
      <c r="EU166" s="65"/>
      <c r="EV166" s="65"/>
      <c r="EW166" s="65"/>
      <c r="EX166" s="65"/>
      <c r="EY166" s="65"/>
      <c r="EZ166" s="68">
        <f t="shared" si="85"/>
        <v>0</v>
      </c>
      <c r="FA166" s="65"/>
      <c r="FB166" s="65"/>
      <c r="FC166" s="70">
        <f t="shared" si="84"/>
        <v>0</v>
      </c>
      <c r="FD166" s="65"/>
      <c r="FE166" s="71">
        <f t="shared" si="109"/>
        <v>0</v>
      </c>
      <c r="FF166" s="72">
        <f t="shared" si="110"/>
        <v>0</v>
      </c>
      <c r="FG166" s="65"/>
      <c r="FH166" s="65"/>
      <c r="FI166" s="65"/>
      <c r="FJ166" s="56">
        <f t="shared" si="111"/>
        <v>0</v>
      </c>
      <c r="FK166" s="65"/>
      <c r="FL166" s="65"/>
      <c r="FM166" s="65"/>
      <c r="FN166" s="65"/>
      <c r="FO166" s="67">
        <f t="shared" si="112"/>
        <v>0</v>
      </c>
      <c r="FP166" s="57"/>
      <c r="FQ166" s="73"/>
      <c r="FR166" s="73"/>
      <c r="FS166" s="71">
        <f t="shared" si="113"/>
        <v>0</v>
      </c>
      <c r="FT166" s="91"/>
      <c r="FU166" s="91"/>
      <c r="FV166" s="67">
        <f>SUM(Tableau1[[#This Row],[Droits d''auteurs SACEM + cotisations SACEM]:[Autres ou non préciés]])</f>
        <v>0</v>
      </c>
      <c r="FW166" s="75">
        <f t="shared" si="114"/>
        <v>0</v>
      </c>
      <c r="FX166" s="74">
        <v>0</v>
      </c>
      <c r="FY166" s="74"/>
      <c r="FZ166" s="74"/>
      <c r="GA166" s="74"/>
      <c r="GB166" s="71">
        <f t="shared" si="115"/>
        <v>0</v>
      </c>
      <c r="GC166" s="92"/>
      <c r="GD166" s="92"/>
      <c r="GE166" s="67">
        <f t="shared" si="116"/>
        <v>0</v>
      </c>
      <c r="GF166" s="66"/>
      <c r="GG166" s="66"/>
      <c r="GH166" s="66"/>
      <c r="GI166" s="66"/>
      <c r="GJ166" s="77"/>
    </row>
    <row r="167" spans="1:192" ht="18.600000000000001" customHeight="1" x14ac:dyDescent="0.25">
      <c r="A167" s="89"/>
      <c r="B167" s="17"/>
      <c r="C167" s="50"/>
      <c r="D167" s="140"/>
      <c r="E167" s="51"/>
      <c r="F167" s="139">
        <f t="shared" si="81"/>
        <v>1</v>
      </c>
      <c r="G167" s="49"/>
      <c r="H167" s="50"/>
      <c r="I167" s="122"/>
      <c r="J167" s="49"/>
      <c r="K167" s="50"/>
      <c r="L167" s="50"/>
      <c r="M167" s="90"/>
      <c r="N167" s="50"/>
      <c r="O167" s="50"/>
      <c r="P167" s="90"/>
      <c r="Q167" s="52">
        <f t="shared" si="86"/>
        <v>0</v>
      </c>
      <c r="R167" s="52">
        <f t="shared" si="87"/>
        <v>0</v>
      </c>
      <c r="S167" s="53">
        <f t="shared" si="88"/>
        <v>0</v>
      </c>
      <c r="T167" s="54">
        <f t="shared" si="89"/>
        <v>0</v>
      </c>
      <c r="U167" s="115">
        <f>SUM(Tableau1[[#This Row],[Vente confiserie]:[Vente boisson]])</f>
        <v>0</v>
      </c>
      <c r="V167" s="55"/>
      <c r="W167" s="55"/>
      <c r="X167" s="135">
        <f>SUM(Tableau1[[#This Row],[Vente lunette]:[Location lunette]])</f>
        <v>0</v>
      </c>
      <c r="Y167" s="55"/>
      <c r="Z167" s="55"/>
      <c r="AA167" s="55"/>
      <c r="AB167" s="55"/>
      <c r="AC167" s="56">
        <f t="shared" si="118"/>
        <v>0</v>
      </c>
      <c r="AD167" s="57"/>
      <c r="AE167" s="57"/>
      <c r="AF167" s="57"/>
      <c r="AG167" s="57"/>
      <c r="AH167" s="57"/>
      <c r="AI167" s="57"/>
      <c r="AJ167" s="118">
        <f>(Tableau1[[#This Row],[Recette guichet ]]*1.1275177)-Tableau1[[#This Row],[Recette guichet ]]</f>
        <v>0</v>
      </c>
      <c r="AK167" s="57"/>
      <c r="AL167" s="56">
        <f t="shared" si="119"/>
        <v>0</v>
      </c>
      <c r="AM167" s="58"/>
      <c r="AN167" s="58"/>
      <c r="AO167" s="58"/>
      <c r="AP167" s="115">
        <f t="shared" si="90"/>
        <v>0</v>
      </c>
      <c r="AQ167" s="69"/>
      <c r="AR167" s="69"/>
      <c r="AS167" s="69"/>
      <c r="AT167" s="69"/>
      <c r="AU167" s="59">
        <f t="shared" si="91"/>
        <v>0</v>
      </c>
      <c r="AV167" s="60">
        <f t="shared" si="92"/>
        <v>0</v>
      </c>
      <c r="AW167" s="58"/>
      <c r="AX167" s="58"/>
      <c r="AY167" s="58"/>
      <c r="AZ167" s="60">
        <f t="shared" si="82"/>
        <v>0</v>
      </c>
      <c r="BA167" s="58"/>
      <c r="BB167" s="58"/>
      <c r="BC167" s="58"/>
      <c r="BD167" s="60">
        <f>SUM(Tableau1[[#This Row],[ticket/carte/abonnement périmé]:[Autres ou non précisé 5]])</f>
        <v>0</v>
      </c>
      <c r="BE167" s="58"/>
      <c r="BF167" s="58"/>
      <c r="BG167" s="58"/>
      <c r="BH167" s="61">
        <f t="shared" si="93"/>
        <v>0</v>
      </c>
      <c r="BI167" s="120"/>
      <c r="BJ167" s="120"/>
      <c r="BK167" s="62">
        <f t="shared" si="94"/>
        <v>0</v>
      </c>
      <c r="BL167" s="120"/>
      <c r="BM167" s="120"/>
      <c r="BN167" s="120"/>
      <c r="BO167" s="120"/>
      <c r="BP167" s="120"/>
      <c r="BQ167" s="63"/>
      <c r="BR167" s="52">
        <f t="shared" si="95"/>
        <v>0</v>
      </c>
      <c r="BS167" s="52">
        <f t="shared" si="96"/>
        <v>0</v>
      </c>
      <c r="BT167" s="61">
        <f t="shared" si="97"/>
        <v>0</v>
      </c>
      <c r="BU167" s="64">
        <f t="shared" si="98"/>
        <v>0</v>
      </c>
      <c r="BV167" s="119">
        <f>SUM(Tableau1[[#This Row],[Achats confiserie]:[Achats boisson]])</f>
        <v>0</v>
      </c>
      <c r="BW167" s="58"/>
      <c r="BX167" s="69"/>
      <c r="BY167" s="58"/>
      <c r="BZ167" s="56">
        <f t="shared" si="99"/>
        <v>0</v>
      </c>
      <c r="CA167" s="66"/>
      <c r="CB167" s="66"/>
      <c r="CC167" s="56">
        <f t="shared" si="100"/>
        <v>0</v>
      </c>
      <c r="CD167" s="55"/>
      <c r="CE167" s="65"/>
      <c r="CF167" s="55"/>
      <c r="CG167" s="55"/>
      <c r="CH167" s="67">
        <f t="shared" si="101"/>
        <v>0</v>
      </c>
      <c r="CI167" s="68">
        <f t="shared" si="117"/>
        <v>0</v>
      </c>
      <c r="CJ167" s="55"/>
      <c r="CK167" s="55"/>
      <c r="CL167" s="55"/>
      <c r="CM167" s="55"/>
      <c r="CN167" s="55"/>
      <c r="CO167" s="68">
        <f t="shared" si="102"/>
        <v>0</v>
      </c>
      <c r="CP167" s="75">
        <f>SUM(Tableau1[[#This Row],[Fourniture eau]:[Energie (non précisé)]])</f>
        <v>0</v>
      </c>
      <c r="CQ167" s="55"/>
      <c r="CR167" s="55"/>
      <c r="CS167" s="55"/>
      <c r="CT167" s="55"/>
      <c r="CU167" s="55"/>
      <c r="CV167" s="55">
        <v>0</v>
      </c>
      <c r="CW167" s="55"/>
      <c r="CX167" s="68">
        <f>SUM(Tableau1[[#This Row],[Sous-traitance]:[Autres ou non précisé 12]])</f>
        <v>0</v>
      </c>
      <c r="CY167" s="65"/>
      <c r="CZ167" s="65"/>
      <c r="DA167" s="65"/>
      <c r="DB167" s="65"/>
      <c r="DC167" s="55"/>
      <c r="DD167" s="68">
        <f t="shared" si="83"/>
        <v>0</v>
      </c>
      <c r="DE167" s="55"/>
      <c r="DF167" s="65"/>
      <c r="DG167" s="65"/>
      <c r="DH167" s="65"/>
      <c r="DI167" s="68">
        <f>SUM(Tableau1[[#This Row],[Entretien et réparation matériel de projection]:[Autres ou non précisé 14]])</f>
        <v>0</v>
      </c>
      <c r="DJ167" s="58"/>
      <c r="DK167" s="58"/>
      <c r="DL167" s="69"/>
      <c r="DM167" s="68">
        <f t="shared" si="103"/>
        <v>0</v>
      </c>
      <c r="DN167" s="58"/>
      <c r="DO167" s="58"/>
      <c r="DP167" s="68">
        <f t="shared" si="104"/>
        <v>0</v>
      </c>
      <c r="DQ167" s="65"/>
      <c r="DR167" s="65"/>
      <c r="DS167" s="68">
        <f t="shared" si="105"/>
        <v>0</v>
      </c>
      <c r="DT167" s="65"/>
      <c r="DU167" s="65"/>
      <c r="DV167" s="65"/>
      <c r="DW167" s="68">
        <f>SUM(Tableau1[[#This Row],[Comission et courtage sur achats]:[Autres ou honoraires
 non précisé ]])</f>
        <v>0</v>
      </c>
      <c r="DX167" s="57"/>
      <c r="DY167" s="57"/>
      <c r="DZ167" s="65"/>
      <c r="EA167" s="65"/>
      <c r="EB167" s="65"/>
      <c r="EC167" s="68">
        <f t="shared" si="106"/>
        <v>0</v>
      </c>
      <c r="ED167" s="69"/>
      <c r="EE167" s="69"/>
      <c r="EF167" s="69"/>
      <c r="EG167" s="69"/>
      <c r="EH167" s="69"/>
      <c r="EI167" s="84">
        <f>SUM(Tableau1[[#This Row],[Transports sur films]:[autres ]])</f>
        <v>0</v>
      </c>
      <c r="EJ167" s="132">
        <v>0</v>
      </c>
      <c r="EK167" s="132"/>
      <c r="EL167" s="68">
        <f t="shared" si="107"/>
        <v>0</v>
      </c>
      <c r="EM167" s="65"/>
      <c r="EN167" s="65">
        <v>0</v>
      </c>
      <c r="EO167" s="65"/>
      <c r="EP167" s="65"/>
      <c r="EQ167" s="65"/>
      <c r="ER167" s="65"/>
      <c r="ES167" s="65"/>
      <c r="ET167" s="68">
        <f t="shared" si="108"/>
        <v>0</v>
      </c>
      <c r="EU167" s="65"/>
      <c r="EV167" s="65"/>
      <c r="EW167" s="65"/>
      <c r="EX167" s="65"/>
      <c r="EY167" s="65"/>
      <c r="EZ167" s="68">
        <f t="shared" si="85"/>
        <v>0</v>
      </c>
      <c r="FA167" s="65"/>
      <c r="FB167" s="65"/>
      <c r="FC167" s="70">
        <f t="shared" si="84"/>
        <v>0</v>
      </c>
      <c r="FD167" s="65"/>
      <c r="FE167" s="71">
        <f t="shared" si="109"/>
        <v>0</v>
      </c>
      <c r="FF167" s="72">
        <f t="shared" si="110"/>
        <v>0</v>
      </c>
      <c r="FG167" s="65"/>
      <c r="FH167" s="65"/>
      <c r="FI167" s="65"/>
      <c r="FJ167" s="56">
        <f t="shared" si="111"/>
        <v>0</v>
      </c>
      <c r="FK167" s="65"/>
      <c r="FL167" s="65"/>
      <c r="FM167" s="65"/>
      <c r="FN167" s="65"/>
      <c r="FO167" s="67">
        <f t="shared" si="112"/>
        <v>0</v>
      </c>
      <c r="FP167" s="57"/>
      <c r="FQ167" s="73"/>
      <c r="FR167" s="73"/>
      <c r="FS167" s="71">
        <f t="shared" si="113"/>
        <v>0</v>
      </c>
      <c r="FT167" s="91"/>
      <c r="FU167" s="91"/>
      <c r="FV167" s="67">
        <f>SUM(Tableau1[[#This Row],[Droits d''auteurs SACEM + cotisations SACEM]:[Autres ou non préciés]])</f>
        <v>0</v>
      </c>
      <c r="FW167" s="75">
        <f t="shared" si="114"/>
        <v>0</v>
      </c>
      <c r="FX167" s="74">
        <v>0</v>
      </c>
      <c r="FY167" s="74"/>
      <c r="FZ167" s="74"/>
      <c r="GA167" s="74"/>
      <c r="GB167" s="71">
        <f t="shared" si="115"/>
        <v>0</v>
      </c>
      <c r="GC167" s="92"/>
      <c r="GD167" s="92"/>
      <c r="GE167" s="67">
        <f t="shared" si="116"/>
        <v>0</v>
      </c>
      <c r="GF167" s="66"/>
      <c r="GG167" s="66"/>
      <c r="GH167" s="66"/>
      <c r="GI167" s="66"/>
      <c r="GJ167" s="77"/>
    </row>
    <row r="168" spans="1:192" ht="18.600000000000001" customHeight="1" x14ac:dyDescent="0.25">
      <c r="A168" s="89"/>
      <c r="B168" s="17"/>
      <c r="C168" s="50"/>
      <c r="D168" s="140"/>
      <c r="E168" s="51"/>
      <c r="F168" s="139">
        <f t="shared" si="81"/>
        <v>1</v>
      </c>
      <c r="G168" s="49"/>
      <c r="H168" s="50"/>
      <c r="I168" s="122"/>
      <c r="J168" s="49"/>
      <c r="K168" s="50"/>
      <c r="L168" s="50"/>
      <c r="M168" s="90"/>
      <c r="N168" s="50"/>
      <c r="O168" s="50"/>
      <c r="P168" s="90"/>
      <c r="Q168" s="52">
        <f t="shared" si="86"/>
        <v>0</v>
      </c>
      <c r="R168" s="52">
        <f t="shared" si="87"/>
        <v>0</v>
      </c>
      <c r="S168" s="53">
        <f t="shared" si="88"/>
        <v>0</v>
      </c>
      <c r="T168" s="54">
        <f t="shared" si="89"/>
        <v>0</v>
      </c>
      <c r="U168" s="115">
        <f>SUM(Tableau1[[#This Row],[Vente confiserie]:[Vente boisson]])</f>
        <v>0</v>
      </c>
      <c r="V168" s="55"/>
      <c r="W168" s="55"/>
      <c r="X168" s="135">
        <f>SUM(Tableau1[[#This Row],[Vente lunette]:[Location lunette]])</f>
        <v>0</v>
      </c>
      <c r="Y168" s="55"/>
      <c r="Z168" s="55"/>
      <c r="AA168" s="55"/>
      <c r="AB168" s="55"/>
      <c r="AC168" s="56">
        <f t="shared" si="118"/>
        <v>0</v>
      </c>
      <c r="AD168" s="57"/>
      <c r="AE168" s="57"/>
      <c r="AF168" s="57"/>
      <c r="AG168" s="57"/>
      <c r="AH168" s="57"/>
      <c r="AI168" s="57"/>
      <c r="AJ168" s="118">
        <f>(Tableau1[[#This Row],[Recette guichet ]]*1.1275177)-Tableau1[[#This Row],[Recette guichet ]]</f>
        <v>0</v>
      </c>
      <c r="AK168" s="57"/>
      <c r="AL168" s="56">
        <f t="shared" si="119"/>
        <v>0</v>
      </c>
      <c r="AM168" s="58"/>
      <c r="AN168" s="58"/>
      <c r="AO168" s="58"/>
      <c r="AP168" s="115">
        <f t="shared" si="90"/>
        <v>0</v>
      </c>
      <c r="AQ168" s="69"/>
      <c r="AR168" s="69"/>
      <c r="AS168" s="69"/>
      <c r="AT168" s="69"/>
      <c r="AU168" s="59">
        <f t="shared" si="91"/>
        <v>0</v>
      </c>
      <c r="AV168" s="60">
        <f t="shared" si="92"/>
        <v>0</v>
      </c>
      <c r="AW168" s="58"/>
      <c r="AX168" s="58"/>
      <c r="AY168" s="58"/>
      <c r="AZ168" s="60">
        <f t="shared" si="82"/>
        <v>0</v>
      </c>
      <c r="BA168" s="58"/>
      <c r="BB168" s="58"/>
      <c r="BC168" s="58"/>
      <c r="BD168" s="60">
        <f>SUM(Tableau1[[#This Row],[ticket/carte/abonnement périmé]:[Autres ou non précisé 5]])</f>
        <v>0</v>
      </c>
      <c r="BE168" s="58"/>
      <c r="BF168" s="58"/>
      <c r="BG168" s="58"/>
      <c r="BH168" s="61">
        <f t="shared" si="93"/>
        <v>0</v>
      </c>
      <c r="BI168" s="120"/>
      <c r="BJ168" s="120"/>
      <c r="BK168" s="62">
        <f t="shared" si="94"/>
        <v>0</v>
      </c>
      <c r="BL168" s="120"/>
      <c r="BM168" s="120"/>
      <c r="BN168" s="120"/>
      <c r="BO168" s="120"/>
      <c r="BP168" s="120"/>
      <c r="BQ168" s="63"/>
      <c r="BR168" s="52">
        <f t="shared" si="95"/>
        <v>0</v>
      </c>
      <c r="BS168" s="52">
        <f t="shared" si="96"/>
        <v>0</v>
      </c>
      <c r="BT168" s="61">
        <f t="shared" si="97"/>
        <v>0</v>
      </c>
      <c r="BU168" s="64">
        <f t="shared" si="98"/>
        <v>0</v>
      </c>
      <c r="BV168" s="119">
        <f>SUM(Tableau1[[#This Row],[Achats confiserie]:[Achats boisson]])</f>
        <v>0</v>
      </c>
      <c r="BW168" s="58"/>
      <c r="BX168" s="69"/>
      <c r="BY168" s="58"/>
      <c r="BZ168" s="56">
        <f t="shared" si="99"/>
        <v>0</v>
      </c>
      <c r="CA168" s="66"/>
      <c r="CB168" s="66"/>
      <c r="CC168" s="56">
        <f t="shared" si="100"/>
        <v>0</v>
      </c>
      <c r="CD168" s="55"/>
      <c r="CE168" s="65"/>
      <c r="CF168" s="55"/>
      <c r="CG168" s="55"/>
      <c r="CH168" s="67">
        <f t="shared" si="101"/>
        <v>0</v>
      </c>
      <c r="CI168" s="68">
        <f t="shared" si="117"/>
        <v>0</v>
      </c>
      <c r="CJ168" s="55"/>
      <c r="CK168" s="55"/>
      <c r="CL168" s="55"/>
      <c r="CM168" s="55"/>
      <c r="CN168" s="55"/>
      <c r="CO168" s="68">
        <f t="shared" si="102"/>
        <v>0</v>
      </c>
      <c r="CP168" s="75">
        <f>SUM(Tableau1[[#This Row],[Fourniture eau]:[Energie (non précisé)]])</f>
        <v>0</v>
      </c>
      <c r="CQ168" s="55"/>
      <c r="CR168" s="55"/>
      <c r="CS168" s="55"/>
      <c r="CT168" s="55"/>
      <c r="CU168" s="55"/>
      <c r="CV168" s="55">
        <v>0</v>
      </c>
      <c r="CW168" s="55"/>
      <c r="CX168" s="68">
        <f>SUM(Tableau1[[#This Row],[Sous-traitance]:[Autres ou non précisé 12]])</f>
        <v>0</v>
      </c>
      <c r="CY168" s="65"/>
      <c r="CZ168" s="65"/>
      <c r="DA168" s="65"/>
      <c r="DB168" s="65"/>
      <c r="DC168" s="55"/>
      <c r="DD168" s="68">
        <f t="shared" si="83"/>
        <v>0</v>
      </c>
      <c r="DE168" s="55"/>
      <c r="DF168" s="65"/>
      <c r="DG168" s="65"/>
      <c r="DH168" s="65"/>
      <c r="DI168" s="68">
        <f>SUM(Tableau1[[#This Row],[Entretien et réparation matériel de projection]:[Autres ou non précisé 14]])</f>
        <v>0</v>
      </c>
      <c r="DJ168" s="58"/>
      <c r="DK168" s="58"/>
      <c r="DL168" s="69"/>
      <c r="DM168" s="68">
        <f t="shared" si="103"/>
        <v>0</v>
      </c>
      <c r="DN168" s="58"/>
      <c r="DO168" s="58"/>
      <c r="DP168" s="68">
        <f t="shared" si="104"/>
        <v>0</v>
      </c>
      <c r="DQ168" s="65"/>
      <c r="DR168" s="65"/>
      <c r="DS168" s="68">
        <f t="shared" si="105"/>
        <v>0</v>
      </c>
      <c r="DT168" s="65"/>
      <c r="DU168" s="65"/>
      <c r="DV168" s="65"/>
      <c r="DW168" s="68">
        <f>SUM(Tableau1[[#This Row],[Comission et courtage sur achats]:[Autres ou honoraires
 non précisé ]])</f>
        <v>0</v>
      </c>
      <c r="DX168" s="57"/>
      <c r="DY168" s="57"/>
      <c r="DZ168" s="65"/>
      <c r="EA168" s="65"/>
      <c r="EB168" s="65"/>
      <c r="EC168" s="68">
        <f t="shared" si="106"/>
        <v>0</v>
      </c>
      <c r="ED168" s="69"/>
      <c r="EE168" s="69"/>
      <c r="EF168" s="69"/>
      <c r="EG168" s="69"/>
      <c r="EH168" s="69"/>
      <c r="EI168" s="84">
        <f>SUM(Tableau1[[#This Row],[Transports sur films]:[autres ]])</f>
        <v>0</v>
      </c>
      <c r="EJ168" s="132">
        <v>0</v>
      </c>
      <c r="EK168" s="132"/>
      <c r="EL168" s="68">
        <f t="shared" si="107"/>
        <v>0</v>
      </c>
      <c r="EM168" s="65"/>
      <c r="EN168" s="65">
        <v>0</v>
      </c>
      <c r="EO168" s="65"/>
      <c r="EP168" s="65"/>
      <c r="EQ168" s="65"/>
      <c r="ER168" s="65"/>
      <c r="ES168" s="65"/>
      <c r="ET168" s="68">
        <f t="shared" si="108"/>
        <v>0</v>
      </c>
      <c r="EU168" s="65"/>
      <c r="EV168" s="65"/>
      <c r="EW168" s="65"/>
      <c r="EX168" s="65"/>
      <c r="EY168" s="65"/>
      <c r="EZ168" s="68">
        <f t="shared" si="85"/>
        <v>0</v>
      </c>
      <c r="FA168" s="65"/>
      <c r="FB168" s="65"/>
      <c r="FC168" s="70">
        <f t="shared" si="84"/>
        <v>0</v>
      </c>
      <c r="FD168" s="65"/>
      <c r="FE168" s="71">
        <f t="shared" si="109"/>
        <v>0</v>
      </c>
      <c r="FF168" s="72">
        <f t="shared" si="110"/>
        <v>0</v>
      </c>
      <c r="FG168" s="65"/>
      <c r="FH168" s="65"/>
      <c r="FI168" s="65"/>
      <c r="FJ168" s="56">
        <f t="shared" si="111"/>
        <v>0</v>
      </c>
      <c r="FK168" s="65"/>
      <c r="FL168" s="65"/>
      <c r="FM168" s="65"/>
      <c r="FN168" s="65"/>
      <c r="FO168" s="67">
        <f t="shared" si="112"/>
        <v>0</v>
      </c>
      <c r="FP168" s="57"/>
      <c r="FQ168" s="73"/>
      <c r="FR168" s="73"/>
      <c r="FS168" s="71">
        <f t="shared" si="113"/>
        <v>0</v>
      </c>
      <c r="FT168" s="91"/>
      <c r="FU168" s="91"/>
      <c r="FV168" s="67">
        <f>SUM(Tableau1[[#This Row],[Droits d''auteurs SACEM + cotisations SACEM]:[Autres ou non préciés]])</f>
        <v>0</v>
      </c>
      <c r="FW168" s="75">
        <f t="shared" si="114"/>
        <v>0</v>
      </c>
      <c r="FX168" s="74">
        <v>0</v>
      </c>
      <c r="FY168" s="74"/>
      <c r="FZ168" s="74"/>
      <c r="GA168" s="74"/>
      <c r="GB168" s="71">
        <f t="shared" si="115"/>
        <v>0</v>
      </c>
      <c r="GC168" s="92"/>
      <c r="GD168" s="92"/>
      <c r="GE168" s="67">
        <f t="shared" si="116"/>
        <v>0</v>
      </c>
      <c r="GF168" s="66"/>
      <c r="GG168" s="66"/>
      <c r="GH168" s="66"/>
      <c r="GI168" s="66"/>
      <c r="GJ168" s="77"/>
    </row>
    <row r="169" spans="1:192" ht="18.600000000000001" customHeight="1" x14ac:dyDescent="0.25">
      <c r="A169" s="89"/>
      <c r="B169" s="17"/>
      <c r="C169" s="50"/>
      <c r="D169" s="140"/>
      <c r="E169" s="51"/>
      <c r="F169" s="139">
        <f t="shared" si="81"/>
        <v>1</v>
      </c>
      <c r="G169" s="49"/>
      <c r="H169" s="50"/>
      <c r="I169" s="122"/>
      <c r="J169" s="49"/>
      <c r="K169" s="50"/>
      <c r="L169" s="50"/>
      <c r="M169" s="90"/>
      <c r="N169" s="50"/>
      <c r="O169" s="50"/>
      <c r="P169" s="90"/>
      <c r="Q169" s="52">
        <f t="shared" si="86"/>
        <v>0</v>
      </c>
      <c r="R169" s="52">
        <f t="shared" si="87"/>
        <v>0</v>
      </c>
      <c r="S169" s="53">
        <f t="shared" si="88"/>
        <v>0</v>
      </c>
      <c r="T169" s="54">
        <f t="shared" si="89"/>
        <v>0</v>
      </c>
      <c r="U169" s="115">
        <f>SUM(Tableau1[[#This Row],[Vente confiserie]:[Vente boisson]])</f>
        <v>0</v>
      </c>
      <c r="V169" s="55"/>
      <c r="W169" s="55"/>
      <c r="X169" s="135">
        <f>SUM(Tableau1[[#This Row],[Vente lunette]:[Location lunette]])</f>
        <v>0</v>
      </c>
      <c r="Y169" s="55"/>
      <c r="Z169" s="55"/>
      <c r="AA169" s="55"/>
      <c r="AB169" s="55"/>
      <c r="AC169" s="56">
        <f t="shared" si="118"/>
        <v>0</v>
      </c>
      <c r="AD169" s="57"/>
      <c r="AE169" s="57"/>
      <c r="AF169" s="57"/>
      <c r="AG169" s="57"/>
      <c r="AH169" s="57"/>
      <c r="AI169" s="57"/>
      <c r="AJ169" s="118">
        <f>(Tableau1[[#This Row],[Recette guichet ]]*1.1275177)-Tableau1[[#This Row],[Recette guichet ]]</f>
        <v>0</v>
      </c>
      <c r="AK169" s="57"/>
      <c r="AL169" s="56">
        <f t="shared" si="119"/>
        <v>0</v>
      </c>
      <c r="AM169" s="58"/>
      <c r="AN169" s="58"/>
      <c r="AO169" s="58"/>
      <c r="AP169" s="115">
        <f t="shared" si="90"/>
        <v>0</v>
      </c>
      <c r="AQ169" s="69"/>
      <c r="AR169" s="69"/>
      <c r="AS169" s="69"/>
      <c r="AT169" s="69"/>
      <c r="AU169" s="59">
        <f t="shared" si="91"/>
        <v>0</v>
      </c>
      <c r="AV169" s="60">
        <f t="shared" si="92"/>
        <v>0</v>
      </c>
      <c r="AW169" s="58"/>
      <c r="AX169" s="58"/>
      <c r="AY169" s="58"/>
      <c r="AZ169" s="60">
        <f t="shared" si="82"/>
        <v>0</v>
      </c>
      <c r="BA169" s="58"/>
      <c r="BB169" s="58"/>
      <c r="BC169" s="58"/>
      <c r="BD169" s="60">
        <f>SUM(Tableau1[[#This Row],[ticket/carte/abonnement périmé]:[Autres ou non précisé 5]])</f>
        <v>0</v>
      </c>
      <c r="BE169" s="58"/>
      <c r="BF169" s="58"/>
      <c r="BG169" s="58"/>
      <c r="BH169" s="61">
        <f t="shared" si="93"/>
        <v>0</v>
      </c>
      <c r="BI169" s="120"/>
      <c r="BJ169" s="120"/>
      <c r="BK169" s="62">
        <f t="shared" si="94"/>
        <v>0</v>
      </c>
      <c r="BL169" s="120"/>
      <c r="BM169" s="120"/>
      <c r="BN169" s="120"/>
      <c r="BO169" s="120"/>
      <c r="BP169" s="120"/>
      <c r="BQ169" s="63"/>
      <c r="BR169" s="52">
        <f t="shared" si="95"/>
        <v>0</v>
      </c>
      <c r="BS169" s="52">
        <f t="shared" si="96"/>
        <v>0</v>
      </c>
      <c r="BT169" s="61">
        <f t="shared" si="97"/>
        <v>0</v>
      </c>
      <c r="BU169" s="64">
        <f t="shared" si="98"/>
        <v>0</v>
      </c>
      <c r="BV169" s="119">
        <f>SUM(Tableau1[[#This Row],[Achats confiserie]:[Achats boisson]])</f>
        <v>0</v>
      </c>
      <c r="BW169" s="58"/>
      <c r="BX169" s="69"/>
      <c r="BY169" s="58"/>
      <c r="BZ169" s="56">
        <f t="shared" si="99"/>
        <v>0</v>
      </c>
      <c r="CA169" s="66"/>
      <c r="CB169" s="66"/>
      <c r="CC169" s="56">
        <f t="shared" si="100"/>
        <v>0</v>
      </c>
      <c r="CD169" s="55"/>
      <c r="CE169" s="65"/>
      <c r="CF169" s="55"/>
      <c r="CG169" s="55"/>
      <c r="CH169" s="67">
        <f t="shared" si="101"/>
        <v>0</v>
      </c>
      <c r="CI169" s="68">
        <f t="shared" si="117"/>
        <v>0</v>
      </c>
      <c r="CJ169" s="55"/>
      <c r="CK169" s="55"/>
      <c r="CL169" s="55"/>
      <c r="CM169" s="55"/>
      <c r="CN169" s="55"/>
      <c r="CO169" s="68">
        <f t="shared" si="102"/>
        <v>0</v>
      </c>
      <c r="CP169" s="75">
        <f>SUM(Tableau1[[#This Row],[Fourniture eau]:[Energie (non précisé)]])</f>
        <v>0</v>
      </c>
      <c r="CQ169" s="55"/>
      <c r="CR169" s="55"/>
      <c r="CS169" s="55"/>
      <c r="CT169" s="55"/>
      <c r="CU169" s="55"/>
      <c r="CV169" s="55">
        <v>0</v>
      </c>
      <c r="CW169" s="55"/>
      <c r="CX169" s="68">
        <f>SUM(Tableau1[[#This Row],[Sous-traitance]:[Autres ou non précisé 12]])</f>
        <v>0</v>
      </c>
      <c r="CY169" s="65"/>
      <c r="CZ169" s="65"/>
      <c r="DA169" s="65"/>
      <c r="DB169" s="65"/>
      <c r="DC169" s="55"/>
      <c r="DD169" s="68">
        <f t="shared" si="83"/>
        <v>0</v>
      </c>
      <c r="DE169" s="55"/>
      <c r="DF169" s="65"/>
      <c r="DG169" s="65"/>
      <c r="DH169" s="65"/>
      <c r="DI169" s="68">
        <f>SUM(Tableau1[[#This Row],[Entretien et réparation matériel de projection]:[Autres ou non précisé 14]])</f>
        <v>0</v>
      </c>
      <c r="DJ169" s="58"/>
      <c r="DK169" s="58"/>
      <c r="DL169" s="69"/>
      <c r="DM169" s="68">
        <f t="shared" si="103"/>
        <v>0</v>
      </c>
      <c r="DN169" s="58"/>
      <c r="DO169" s="58"/>
      <c r="DP169" s="68">
        <f t="shared" si="104"/>
        <v>0</v>
      </c>
      <c r="DQ169" s="65"/>
      <c r="DR169" s="65"/>
      <c r="DS169" s="68">
        <f t="shared" si="105"/>
        <v>0</v>
      </c>
      <c r="DT169" s="65"/>
      <c r="DU169" s="65"/>
      <c r="DV169" s="65"/>
      <c r="DW169" s="68">
        <f>SUM(Tableau1[[#This Row],[Comission et courtage sur achats]:[Autres ou honoraires
 non précisé ]])</f>
        <v>0</v>
      </c>
      <c r="DX169" s="57"/>
      <c r="DY169" s="57"/>
      <c r="DZ169" s="65"/>
      <c r="EA169" s="65"/>
      <c r="EB169" s="65"/>
      <c r="EC169" s="68">
        <f t="shared" si="106"/>
        <v>0</v>
      </c>
      <c r="ED169" s="69"/>
      <c r="EE169" s="69"/>
      <c r="EF169" s="69"/>
      <c r="EG169" s="69"/>
      <c r="EH169" s="69"/>
      <c r="EI169" s="84">
        <f>SUM(Tableau1[[#This Row],[Transports sur films]:[autres ]])</f>
        <v>0</v>
      </c>
      <c r="EJ169" s="132">
        <v>0</v>
      </c>
      <c r="EK169" s="132"/>
      <c r="EL169" s="68">
        <f t="shared" si="107"/>
        <v>0</v>
      </c>
      <c r="EM169" s="65"/>
      <c r="EN169" s="65">
        <v>0</v>
      </c>
      <c r="EO169" s="65"/>
      <c r="EP169" s="65"/>
      <c r="EQ169" s="65"/>
      <c r="ER169" s="65"/>
      <c r="ES169" s="65"/>
      <c r="ET169" s="68">
        <f t="shared" si="108"/>
        <v>0</v>
      </c>
      <c r="EU169" s="65"/>
      <c r="EV169" s="65"/>
      <c r="EW169" s="65"/>
      <c r="EX169" s="65"/>
      <c r="EY169" s="65"/>
      <c r="EZ169" s="68">
        <f t="shared" si="85"/>
        <v>0</v>
      </c>
      <c r="FA169" s="65"/>
      <c r="FB169" s="65"/>
      <c r="FC169" s="70">
        <f t="shared" si="84"/>
        <v>0</v>
      </c>
      <c r="FD169" s="65"/>
      <c r="FE169" s="71">
        <f t="shared" si="109"/>
        <v>0</v>
      </c>
      <c r="FF169" s="72">
        <f t="shared" si="110"/>
        <v>0</v>
      </c>
      <c r="FG169" s="65"/>
      <c r="FH169" s="65"/>
      <c r="FI169" s="65"/>
      <c r="FJ169" s="56">
        <f t="shared" si="111"/>
        <v>0</v>
      </c>
      <c r="FK169" s="65"/>
      <c r="FL169" s="65"/>
      <c r="FM169" s="65"/>
      <c r="FN169" s="65"/>
      <c r="FO169" s="67">
        <f t="shared" si="112"/>
        <v>0</v>
      </c>
      <c r="FP169" s="57"/>
      <c r="FQ169" s="73"/>
      <c r="FR169" s="73"/>
      <c r="FS169" s="71">
        <f t="shared" si="113"/>
        <v>0</v>
      </c>
      <c r="FT169" s="91"/>
      <c r="FU169" s="91"/>
      <c r="FV169" s="67">
        <f>SUM(Tableau1[[#This Row],[Droits d''auteurs SACEM + cotisations SACEM]:[Autres ou non préciés]])</f>
        <v>0</v>
      </c>
      <c r="FW169" s="75">
        <f t="shared" si="114"/>
        <v>0</v>
      </c>
      <c r="FX169" s="74">
        <v>0</v>
      </c>
      <c r="FY169" s="74"/>
      <c r="FZ169" s="74"/>
      <c r="GA169" s="74"/>
      <c r="GB169" s="71">
        <f t="shared" si="115"/>
        <v>0</v>
      </c>
      <c r="GC169" s="92"/>
      <c r="GD169" s="92"/>
      <c r="GE169" s="67">
        <f t="shared" si="116"/>
        <v>0</v>
      </c>
      <c r="GF169" s="66"/>
      <c r="GG169" s="66"/>
      <c r="GH169" s="66"/>
      <c r="GI169" s="66"/>
      <c r="GJ169" s="77"/>
    </row>
    <row r="170" spans="1:192" ht="18.600000000000001" customHeight="1" x14ac:dyDescent="0.25">
      <c r="A170" s="89"/>
      <c r="B170" s="17"/>
      <c r="C170" s="50"/>
      <c r="D170" s="140"/>
      <c r="E170" s="51"/>
      <c r="F170" s="139">
        <f t="shared" ref="F170:F233" si="120">DATEDIF(D170,E170,"m")+1</f>
        <v>1</v>
      </c>
      <c r="G170" s="49"/>
      <c r="H170" s="50"/>
      <c r="I170" s="122"/>
      <c r="J170" s="49"/>
      <c r="K170" s="50"/>
      <c r="L170" s="50"/>
      <c r="M170" s="90"/>
      <c r="N170" s="50"/>
      <c r="O170" s="50"/>
      <c r="P170" s="90"/>
      <c r="Q170" s="52">
        <f t="shared" si="86"/>
        <v>0</v>
      </c>
      <c r="R170" s="52">
        <f t="shared" si="87"/>
        <v>0</v>
      </c>
      <c r="S170" s="53">
        <f t="shared" si="88"/>
        <v>0</v>
      </c>
      <c r="T170" s="54">
        <f t="shared" si="89"/>
        <v>0</v>
      </c>
      <c r="U170" s="115">
        <f>SUM(Tableau1[[#This Row],[Vente confiserie]:[Vente boisson]])</f>
        <v>0</v>
      </c>
      <c r="V170" s="55"/>
      <c r="W170" s="55"/>
      <c r="X170" s="135">
        <f>SUM(Tableau1[[#This Row],[Vente lunette]:[Location lunette]])</f>
        <v>0</v>
      </c>
      <c r="Y170" s="55"/>
      <c r="Z170" s="55"/>
      <c r="AA170" s="55"/>
      <c r="AB170" s="55"/>
      <c r="AC170" s="56">
        <f t="shared" si="118"/>
        <v>0</v>
      </c>
      <c r="AD170" s="57"/>
      <c r="AE170" s="57"/>
      <c r="AF170" s="57"/>
      <c r="AG170" s="57"/>
      <c r="AH170" s="57"/>
      <c r="AI170" s="57"/>
      <c r="AJ170" s="118">
        <f>(Tableau1[[#This Row],[Recette guichet ]]*1.1275177)-Tableau1[[#This Row],[Recette guichet ]]</f>
        <v>0</v>
      </c>
      <c r="AK170" s="57"/>
      <c r="AL170" s="56">
        <f t="shared" si="119"/>
        <v>0</v>
      </c>
      <c r="AM170" s="58"/>
      <c r="AN170" s="58"/>
      <c r="AO170" s="58"/>
      <c r="AP170" s="115">
        <f t="shared" si="90"/>
        <v>0</v>
      </c>
      <c r="AQ170" s="69"/>
      <c r="AR170" s="69"/>
      <c r="AS170" s="69"/>
      <c r="AT170" s="69"/>
      <c r="AU170" s="59">
        <f t="shared" si="91"/>
        <v>0</v>
      </c>
      <c r="AV170" s="60">
        <f t="shared" si="92"/>
        <v>0</v>
      </c>
      <c r="AW170" s="58"/>
      <c r="AX170" s="58"/>
      <c r="AY170" s="58"/>
      <c r="AZ170" s="60">
        <f t="shared" si="82"/>
        <v>0</v>
      </c>
      <c r="BA170" s="58"/>
      <c r="BB170" s="58"/>
      <c r="BC170" s="58"/>
      <c r="BD170" s="60">
        <f>SUM(Tableau1[[#This Row],[ticket/carte/abonnement périmé]:[Autres ou non précisé 5]])</f>
        <v>0</v>
      </c>
      <c r="BE170" s="58"/>
      <c r="BF170" s="58"/>
      <c r="BG170" s="58"/>
      <c r="BH170" s="61">
        <f t="shared" si="93"/>
        <v>0</v>
      </c>
      <c r="BI170" s="120"/>
      <c r="BJ170" s="120"/>
      <c r="BK170" s="62">
        <f t="shared" si="94"/>
        <v>0</v>
      </c>
      <c r="BL170" s="120"/>
      <c r="BM170" s="120"/>
      <c r="BN170" s="120"/>
      <c r="BO170" s="120"/>
      <c r="BP170" s="120"/>
      <c r="BQ170" s="63"/>
      <c r="BR170" s="52">
        <f t="shared" si="95"/>
        <v>0</v>
      </c>
      <c r="BS170" s="52">
        <f t="shared" si="96"/>
        <v>0</v>
      </c>
      <c r="BT170" s="61">
        <f t="shared" si="97"/>
        <v>0</v>
      </c>
      <c r="BU170" s="64">
        <f t="shared" si="98"/>
        <v>0</v>
      </c>
      <c r="BV170" s="119">
        <f>SUM(Tableau1[[#This Row],[Achats confiserie]:[Achats boisson]])</f>
        <v>0</v>
      </c>
      <c r="BW170" s="58"/>
      <c r="BX170" s="69"/>
      <c r="BY170" s="58"/>
      <c r="BZ170" s="56">
        <f t="shared" si="99"/>
        <v>0</v>
      </c>
      <c r="CA170" s="66"/>
      <c r="CB170" s="66"/>
      <c r="CC170" s="56">
        <f t="shared" si="100"/>
        <v>0</v>
      </c>
      <c r="CD170" s="55"/>
      <c r="CE170" s="65"/>
      <c r="CF170" s="55"/>
      <c r="CG170" s="55"/>
      <c r="CH170" s="67">
        <f t="shared" si="101"/>
        <v>0</v>
      </c>
      <c r="CI170" s="68">
        <f t="shared" si="117"/>
        <v>0</v>
      </c>
      <c r="CJ170" s="55"/>
      <c r="CK170" s="55"/>
      <c r="CL170" s="55"/>
      <c r="CM170" s="55"/>
      <c r="CN170" s="55"/>
      <c r="CO170" s="68">
        <f t="shared" si="102"/>
        <v>0</v>
      </c>
      <c r="CP170" s="75">
        <f>SUM(Tableau1[[#This Row],[Fourniture eau]:[Energie (non précisé)]])</f>
        <v>0</v>
      </c>
      <c r="CQ170" s="55"/>
      <c r="CR170" s="55"/>
      <c r="CS170" s="55"/>
      <c r="CT170" s="55"/>
      <c r="CU170" s="55"/>
      <c r="CV170" s="55">
        <v>0</v>
      </c>
      <c r="CW170" s="55"/>
      <c r="CX170" s="68">
        <f>SUM(Tableau1[[#This Row],[Sous-traitance]:[Autres ou non précisé 12]])</f>
        <v>0</v>
      </c>
      <c r="CY170" s="65"/>
      <c r="CZ170" s="65"/>
      <c r="DA170" s="65"/>
      <c r="DB170" s="65"/>
      <c r="DC170" s="55"/>
      <c r="DD170" s="68">
        <f t="shared" si="83"/>
        <v>0</v>
      </c>
      <c r="DE170" s="55"/>
      <c r="DF170" s="65"/>
      <c r="DG170" s="65"/>
      <c r="DH170" s="65"/>
      <c r="DI170" s="68">
        <f>SUM(Tableau1[[#This Row],[Entretien et réparation matériel de projection]:[Autres ou non précisé 14]])</f>
        <v>0</v>
      </c>
      <c r="DJ170" s="58"/>
      <c r="DK170" s="58"/>
      <c r="DL170" s="69"/>
      <c r="DM170" s="68">
        <f t="shared" si="103"/>
        <v>0</v>
      </c>
      <c r="DN170" s="58"/>
      <c r="DO170" s="58"/>
      <c r="DP170" s="68">
        <f t="shared" si="104"/>
        <v>0</v>
      </c>
      <c r="DQ170" s="65"/>
      <c r="DR170" s="65"/>
      <c r="DS170" s="68">
        <f t="shared" si="105"/>
        <v>0</v>
      </c>
      <c r="DT170" s="65"/>
      <c r="DU170" s="65"/>
      <c r="DV170" s="65"/>
      <c r="DW170" s="68">
        <f>SUM(Tableau1[[#This Row],[Comission et courtage sur achats]:[Autres ou honoraires
 non précisé ]])</f>
        <v>0</v>
      </c>
      <c r="DX170" s="57"/>
      <c r="DY170" s="57"/>
      <c r="DZ170" s="65"/>
      <c r="EA170" s="65"/>
      <c r="EB170" s="65"/>
      <c r="EC170" s="68">
        <f t="shared" si="106"/>
        <v>0</v>
      </c>
      <c r="ED170" s="69"/>
      <c r="EE170" s="69"/>
      <c r="EF170" s="69"/>
      <c r="EG170" s="69"/>
      <c r="EH170" s="69"/>
      <c r="EI170" s="84">
        <f>SUM(Tableau1[[#This Row],[Transports sur films]:[autres ]])</f>
        <v>0</v>
      </c>
      <c r="EJ170" s="132">
        <v>0</v>
      </c>
      <c r="EK170" s="132"/>
      <c r="EL170" s="68">
        <f t="shared" si="107"/>
        <v>0</v>
      </c>
      <c r="EM170" s="65"/>
      <c r="EN170" s="65">
        <v>0</v>
      </c>
      <c r="EO170" s="65"/>
      <c r="EP170" s="65"/>
      <c r="EQ170" s="65"/>
      <c r="ER170" s="65"/>
      <c r="ES170" s="65"/>
      <c r="ET170" s="68">
        <f t="shared" si="108"/>
        <v>0</v>
      </c>
      <c r="EU170" s="65"/>
      <c r="EV170" s="65"/>
      <c r="EW170" s="65"/>
      <c r="EX170" s="65"/>
      <c r="EY170" s="65"/>
      <c r="EZ170" s="68">
        <f t="shared" si="85"/>
        <v>0</v>
      </c>
      <c r="FA170" s="65"/>
      <c r="FB170" s="65"/>
      <c r="FC170" s="70">
        <f t="shared" si="84"/>
        <v>0</v>
      </c>
      <c r="FD170" s="65"/>
      <c r="FE170" s="71">
        <f t="shared" si="109"/>
        <v>0</v>
      </c>
      <c r="FF170" s="72">
        <f t="shared" si="110"/>
        <v>0</v>
      </c>
      <c r="FG170" s="65"/>
      <c r="FH170" s="65"/>
      <c r="FI170" s="65"/>
      <c r="FJ170" s="56">
        <f t="shared" si="111"/>
        <v>0</v>
      </c>
      <c r="FK170" s="65"/>
      <c r="FL170" s="65"/>
      <c r="FM170" s="65"/>
      <c r="FN170" s="65"/>
      <c r="FO170" s="67">
        <f t="shared" si="112"/>
        <v>0</v>
      </c>
      <c r="FP170" s="57"/>
      <c r="FQ170" s="73"/>
      <c r="FR170" s="73"/>
      <c r="FS170" s="71">
        <f t="shared" si="113"/>
        <v>0</v>
      </c>
      <c r="FT170" s="91"/>
      <c r="FU170" s="91"/>
      <c r="FV170" s="67">
        <f>SUM(Tableau1[[#This Row],[Droits d''auteurs SACEM + cotisations SACEM]:[Autres ou non préciés]])</f>
        <v>0</v>
      </c>
      <c r="FW170" s="75">
        <f t="shared" si="114"/>
        <v>0</v>
      </c>
      <c r="FX170" s="74">
        <v>0</v>
      </c>
      <c r="FY170" s="74"/>
      <c r="FZ170" s="74"/>
      <c r="GA170" s="74"/>
      <c r="GB170" s="71">
        <f t="shared" si="115"/>
        <v>0</v>
      </c>
      <c r="GC170" s="92"/>
      <c r="GD170" s="92"/>
      <c r="GE170" s="67">
        <f t="shared" si="116"/>
        <v>0</v>
      </c>
      <c r="GF170" s="66"/>
      <c r="GG170" s="66"/>
      <c r="GH170" s="66"/>
      <c r="GI170" s="66"/>
      <c r="GJ170" s="77"/>
    </row>
    <row r="171" spans="1:192" ht="18.600000000000001" customHeight="1" x14ac:dyDescent="0.25">
      <c r="A171" s="89"/>
      <c r="B171" s="17"/>
      <c r="C171" s="50"/>
      <c r="D171" s="140"/>
      <c r="E171" s="51"/>
      <c r="F171" s="139">
        <f t="shared" si="120"/>
        <v>1</v>
      </c>
      <c r="G171" s="49"/>
      <c r="H171" s="50"/>
      <c r="I171" s="122"/>
      <c r="J171" s="49"/>
      <c r="K171" s="50"/>
      <c r="L171" s="50"/>
      <c r="M171" s="90"/>
      <c r="N171" s="50"/>
      <c r="O171" s="50"/>
      <c r="P171" s="90"/>
      <c r="Q171" s="52">
        <f t="shared" si="86"/>
        <v>0</v>
      </c>
      <c r="R171" s="52">
        <f t="shared" si="87"/>
        <v>0</v>
      </c>
      <c r="S171" s="53">
        <f t="shared" si="88"/>
        <v>0</v>
      </c>
      <c r="T171" s="54">
        <f t="shared" si="89"/>
        <v>0</v>
      </c>
      <c r="U171" s="115">
        <f>SUM(Tableau1[[#This Row],[Vente confiserie]:[Vente boisson]])</f>
        <v>0</v>
      </c>
      <c r="V171" s="55"/>
      <c r="W171" s="55"/>
      <c r="X171" s="135">
        <f>SUM(Tableau1[[#This Row],[Vente lunette]:[Location lunette]])</f>
        <v>0</v>
      </c>
      <c r="Y171" s="55"/>
      <c r="Z171" s="55"/>
      <c r="AA171" s="55"/>
      <c r="AB171" s="55"/>
      <c r="AC171" s="56">
        <f t="shared" si="118"/>
        <v>0</v>
      </c>
      <c r="AD171" s="57"/>
      <c r="AE171" s="57"/>
      <c r="AF171" s="57"/>
      <c r="AG171" s="57"/>
      <c r="AH171" s="57"/>
      <c r="AI171" s="57"/>
      <c r="AJ171" s="118">
        <f>(Tableau1[[#This Row],[Recette guichet ]]*1.1275177)-Tableau1[[#This Row],[Recette guichet ]]</f>
        <v>0</v>
      </c>
      <c r="AK171" s="57"/>
      <c r="AL171" s="56">
        <f t="shared" si="119"/>
        <v>0</v>
      </c>
      <c r="AM171" s="58"/>
      <c r="AN171" s="58"/>
      <c r="AO171" s="58"/>
      <c r="AP171" s="115">
        <f t="shared" si="90"/>
        <v>0</v>
      </c>
      <c r="AQ171" s="69"/>
      <c r="AR171" s="69"/>
      <c r="AS171" s="69"/>
      <c r="AT171" s="69"/>
      <c r="AU171" s="59">
        <f t="shared" si="91"/>
        <v>0</v>
      </c>
      <c r="AV171" s="60">
        <f t="shared" si="92"/>
        <v>0</v>
      </c>
      <c r="AW171" s="58"/>
      <c r="AX171" s="58"/>
      <c r="AY171" s="58"/>
      <c r="AZ171" s="60">
        <f t="shared" si="82"/>
        <v>0</v>
      </c>
      <c r="BA171" s="58"/>
      <c r="BB171" s="58"/>
      <c r="BC171" s="58"/>
      <c r="BD171" s="60">
        <f>SUM(Tableau1[[#This Row],[ticket/carte/abonnement périmé]:[Autres ou non précisé 5]])</f>
        <v>0</v>
      </c>
      <c r="BE171" s="58"/>
      <c r="BF171" s="58"/>
      <c r="BG171" s="58"/>
      <c r="BH171" s="61">
        <f t="shared" si="93"/>
        <v>0</v>
      </c>
      <c r="BI171" s="120"/>
      <c r="BJ171" s="120"/>
      <c r="BK171" s="62">
        <f t="shared" si="94"/>
        <v>0</v>
      </c>
      <c r="BL171" s="120"/>
      <c r="BM171" s="120"/>
      <c r="BN171" s="120"/>
      <c r="BO171" s="120"/>
      <c r="BP171" s="120"/>
      <c r="BQ171" s="63"/>
      <c r="BR171" s="52">
        <f t="shared" si="95"/>
        <v>0</v>
      </c>
      <c r="BS171" s="52">
        <f t="shared" si="96"/>
        <v>0</v>
      </c>
      <c r="BT171" s="61">
        <f t="shared" si="97"/>
        <v>0</v>
      </c>
      <c r="BU171" s="64">
        <f t="shared" si="98"/>
        <v>0</v>
      </c>
      <c r="BV171" s="119">
        <f>SUM(Tableau1[[#This Row],[Achats confiserie]:[Achats boisson]])</f>
        <v>0</v>
      </c>
      <c r="BW171" s="58"/>
      <c r="BX171" s="69"/>
      <c r="BY171" s="58"/>
      <c r="BZ171" s="56">
        <f t="shared" si="99"/>
        <v>0</v>
      </c>
      <c r="CA171" s="66"/>
      <c r="CB171" s="66"/>
      <c r="CC171" s="56">
        <f t="shared" si="100"/>
        <v>0</v>
      </c>
      <c r="CD171" s="55"/>
      <c r="CE171" s="65"/>
      <c r="CF171" s="55"/>
      <c r="CG171" s="55"/>
      <c r="CH171" s="67">
        <f t="shared" si="101"/>
        <v>0</v>
      </c>
      <c r="CI171" s="68">
        <f t="shared" si="117"/>
        <v>0</v>
      </c>
      <c r="CJ171" s="55"/>
      <c r="CK171" s="55"/>
      <c r="CL171" s="55"/>
      <c r="CM171" s="55"/>
      <c r="CN171" s="55"/>
      <c r="CO171" s="68">
        <f t="shared" si="102"/>
        <v>0</v>
      </c>
      <c r="CP171" s="75">
        <f>SUM(Tableau1[[#This Row],[Fourniture eau]:[Energie (non précisé)]])</f>
        <v>0</v>
      </c>
      <c r="CQ171" s="55"/>
      <c r="CR171" s="55"/>
      <c r="CS171" s="55"/>
      <c r="CT171" s="55"/>
      <c r="CU171" s="55"/>
      <c r="CV171" s="55">
        <v>0</v>
      </c>
      <c r="CW171" s="55"/>
      <c r="CX171" s="68">
        <f>SUM(Tableau1[[#This Row],[Sous-traitance]:[Autres ou non précisé 12]])</f>
        <v>0</v>
      </c>
      <c r="CY171" s="65"/>
      <c r="CZ171" s="65"/>
      <c r="DA171" s="65"/>
      <c r="DB171" s="65"/>
      <c r="DC171" s="55"/>
      <c r="DD171" s="68">
        <f t="shared" si="83"/>
        <v>0</v>
      </c>
      <c r="DE171" s="55"/>
      <c r="DF171" s="65"/>
      <c r="DG171" s="65"/>
      <c r="DH171" s="65"/>
      <c r="DI171" s="68">
        <f>SUM(Tableau1[[#This Row],[Entretien et réparation matériel de projection]:[Autres ou non précisé 14]])</f>
        <v>0</v>
      </c>
      <c r="DJ171" s="58"/>
      <c r="DK171" s="58"/>
      <c r="DL171" s="69"/>
      <c r="DM171" s="68">
        <f t="shared" si="103"/>
        <v>0</v>
      </c>
      <c r="DN171" s="58"/>
      <c r="DO171" s="58"/>
      <c r="DP171" s="68">
        <f t="shared" si="104"/>
        <v>0</v>
      </c>
      <c r="DQ171" s="65"/>
      <c r="DR171" s="65"/>
      <c r="DS171" s="68">
        <f t="shared" si="105"/>
        <v>0</v>
      </c>
      <c r="DT171" s="65"/>
      <c r="DU171" s="65"/>
      <c r="DV171" s="65"/>
      <c r="DW171" s="68">
        <f>SUM(Tableau1[[#This Row],[Comission et courtage sur achats]:[Autres ou honoraires
 non précisé ]])</f>
        <v>0</v>
      </c>
      <c r="DX171" s="57"/>
      <c r="DY171" s="57"/>
      <c r="DZ171" s="65"/>
      <c r="EA171" s="65"/>
      <c r="EB171" s="65"/>
      <c r="EC171" s="68">
        <f t="shared" si="106"/>
        <v>0</v>
      </c>
      <c r="ED171" s="69"/>
      <c r="EE171" s="69"/>
      <c r="EF171" s="69"/>
      <c r="EG171" s="69"/>
      <c r="EH171" s="69"/>
      <c r="EI171" s="84">
        <f>SUM(Tableau1[[#This Row],[Transports sur films]:[autres ]])</f>
        <v>0</v>
      </c>
      <c r="EJ171" s="132">
        <v>0</v>
      </c>
      <c r="EK171" s="132"/>
      <c r="EL171" s="68">
        <f t="shared" si="107"/>
        <v>0</v>
      </c>
      <c r="EM171" s="65"/>
      <c r="EN171" s="65">
        <v>0</v>
      </c>
      <c r="EO171" s="65"/>
      <c r="EP171" s="65"/>
      <c r="EQ171" s="65"/>
      <c r="ER171" s="65"/>
      <c r="ES171" s="65"/>
      <c r="ET171" s="68">
        <f t="shared" si="108"/>
        <v>0</v>
      </c>
      <c r="EU171" s="65"/>
      <c r="EV171" s="65"/>
      <c r="EW171" s="65"/>
      <c r="EX171" s="65"/>
      <c r="EY171" s="65"/>
      <c r="EZ171" s="68">
        <f t="shared" si="85"/>
        <v>0</v>
      </c>
      <c r="FA171" s="65"/>
      <c r="FB171" s="65"/>
      <c r="FC171" s="70">
        <f t="shared" si="84"/>
        <v>0</v>
      </c>
      <c r="FD171" s="65"/>
      <c r="FE171" s="71">
        <f t="shared" si="109"/>
        <v>0</v>
      </c>
      <c r="FF171" s="72">
        <f t="shared" si="110"/>
        <v>0</v>
      </c>
      <c r="FG171" s="65"/>
      <c r="FH171" s="65"/>
      <c r="FI171" s="65"/>
      <c r="FJ171" s="56">
        <f t="shared" si="111"/>
        <v>0</v>
      </c>
      <c r="FK171" s="65"/>
      <c r="FL171" s="65"/>
      <c r="FM171" s="65"/>
      <c r="FN171" s="65"/>
      <c r="FO171" s="67">
        <f t="shared" si="112"/>
        <v>0</v>
      </c>
      <c r="FP171" s="57"/>
      <c r="FQ171" s="73"/>
      <c r="FR171" s="73"/>
      <c r="FS171" s="71">
        <f t="shared" si="113"/>
        <v>0</v>
      </c>
      <c r="FT171" s="91"/>
      <c r="FU171" s="91"/>
      <c r="FV171" s="67">
        <f>SUM(Tableau1[[#This Row],[Droits d''auteurs SACEM + cotisations SACEM]:[Autres ou non préciés]])</f>
        <v>0</v>
      </c>
      <c r="FW171" s="75">
        <f t="shared" si="114"/>
        <v>0</v>
      </c>
      <c r="FX171" s="74">
        <v>0</v>
      </c>
      <c r="FY171" s="74"/>
      <c r="FZ171" s="74"/>
      <c r="GA171" s="74"/>
      <c r="GB171" s="71">
        <f t="shared" si="115"/>
        <v>0</v>
      </c>
      <c r="GC171" s="92"/>
      <c r="GD171" s="92"/>
      <c r="GE171" s="67">
        <f t="shared" si="116"/>
        <v>0</v>
      </c>
      <c r="GF171" s="66"/>
      <c r="GG171" s="66"/>
      <c r="GH171" s="66"/>
      <c r="GI171" s="66"/>
      <c r="GJ171" s="77"/>
    </row>
    <row r="172" spans="1:192" ht="18.600000000000001" customHeight="1" x14ac:dyDescent="0.25">
      <c r="A172" s="89"/>
      <c r="B172" s="17"/>
      <c r="C172" s="50"/>
      <c r="D172" s="140"/>
      <c r="E172" s="51"/>
      <c r="F172" s="139">
        <f t="shared" si="120"/>
        <v>1</v>
      </c>
      <c r="G172" s="49"/>
      <c r="H172" s="50"/>
      <c r="I172" s="122"/>
      <c r="J172" s="49"/>
      <c r="K172" s="50"/>
      <c r="L172" s="50"/>
      <c r="M172" s="90"/>
      <c r="N172" s="50"/>
      <c r="O172" s="50"/>
      <c r="P172" s="90"/>
      <c r="Q172" s="52">
        <f t="shared" si="86"/>
        <v>0</v>
      </c>
      <c r="R172" s="52">
        <f t="shared" si="87"/>
        <v>0</v>
      </c>
      <c r="S172" s="53">
        <f t="shared" si="88"/>
        <v>0</v>
      </c>
      <c r="T172" s="54">
        <f t="shared" si="89"/>
        <v>0</v>
      </c>
      <c r="U172" s="115">
        <f>SUM(Tableau1[[#This Row],[Vente confiserie]:[Vente boisson]])</f>
        <v>0</v>
      </c>
      <c r="V172" s="55"/>
      <c r="W172" s="55"/>
      <c r="X172" s="135">
        <f>SUM(Tableau1[[#This Row],[Vente lunette]:[Location lunette]])</f>
        <v>0</v>
      </c>
      <c r="Y172" s="55"/>
      <c r="Z172" s="55"/>
      <c r="AA172" s="55"/>
      <c r="AB172" s="55"/>
      <c r="AC172" s="56">
        <f t="shared" si="118"/>
        <v>0</v>
      </c>
      <c r="AD172" s="57"/>
      <c r="AE172" s="57"/>
      <c r="AF172" s="57"/>
      <c r="AG172" s="57"/>
      <c r="AH172" s="57"/>
      <c r="AI172" s="57"/>
      <c r="AJ172" s="118">
        <f>(Tableau1[[#This Row],[Recette guichet ]]*1.1275177)-Tableau1[[#This Row],[Recette guichet ]]</f>
        <v>0</v>
      </c>
      <c r="AK172" s="57"/>
      <c r="AL172" s="56">
        <f t="shared" si="119"/>
        <v>0</v>
      </c>
      <c r="AM172" s="58"/>
      <c r="AN172" s="58"/>
      <c r="AO172" s="58"/>
      <c r="AP172" s="115">
        <f t="shared" si="90"/>
        <v>0</v>
      </c>
      <c r="AQ172" s="69"/>
      <c r="AR172" s="69"/>
      <c r="AS172" s="69"/>
      <c r="AT172" s="69"/>
      <c r="AU172" s="59">
        <f t="shared" si="91"/>
        <v>0</v>
      </c>
      <c r="AV172" s="60">
        <f t="shared" si="92"/>
        <v>0</v>
      </c>
      <c r="AW172" s="58"/>
      <c r="AX172" s="58"/>
      <c r="AY172" s="58"/>
      <c r="AZ172" s="60">
        <f t="shared" si="82"/>
        <v>0</v>
      </c>
      <c r="BA172" s="58"/>
      <c r="BB172" s="58"/>
      <c r="BC172" s="58"/>
      <c r="BD172" s="60">
        <f>SUM(Tableau1[[#This Row],[ticket/carte/abonnement périmé]:[Autres ou non précisé 5]])</f>
        <v>0</v>
      </c>
      <c r="BE172" s="58"/>
      <c r="BF172" s="58"/>
      <c r="BG172" s="58"/>
      <c r="BH172" s="61">
        <f t="shared" si="93"/>
        <v>0</v>
      </c>
      <c r="BI172" s="120"/>
      <c r="BJ172" s="120"/>
      <c r="BK172" s="62">
        <f t="shared" si="94"/>
        <v>0</v>
      </c>
      <c r="BL172" s="120"/>
      <c r="BM172" s="120"/>
      <c r="BN172" s="120"/>
      <c r="BO172" s="120"/>
      <c r="BP172" s="120"/>
      <c r="BQ172" s="63"/>
      <c r="BR172" s="52">
        <f t="shared" si="95"/>
        <v>0</v>
      </c>
      <c r="BS172" s="52">
        <f t="shared" si="96"/>
        <v>0</v>
      </c>
      <c r="BT172" s="61">
        <f t="shared" si="97"/>
        <v>0</v>
      </c>
      <c r="BU172" s="64">
        <f t="shared" si="98"/>
        <v>0</v>
      </c>
      <c r="BV172" s="119">
        <f>SUM(Tableau1[[#This Row],[Achats confiserie]:[Achats boisson]])</f>
        <v>0</v>
      </c>
      <c r="BW172" s="58"/>
      <c r="BX172" s="69"/>
      <c r="BY172" s="58"/>
      <c r="BZ172" s="56">
        <f t="shared" si="99"/>
        <v>0</v>
      </c>
      <c r="CA172" s="66"/>
      <c r="CB172" s="66"/>
      <c r="CC172" s="56">
        <f t="shared" si="100"/>
        <v>0</v>
      </c>
      <c r="CD172" s="55"/>
      <c r="CE172" s="65"/>
      <c r="CF172" s="55"/>
      <c r="CG172" s="55"/>
      <c r="CH172" s="67">
        <f t="shared" si="101"/>
        <v>0</v>
      </c>
      <c r="CI172" s="68">
        <f t="shared" si="117"/>
        <v>0</v>
      </c>
      <c r="CJ172" s="55"/>
      <c r="CK172" s="55"/>
      <c r="CL172" s="55"/>
      <c r="CM172" s="55"/>
      <c r="CN172" s="55"/>
      <c r="CO172" s="68">
        <f t="shared" si="102"/>
        <v>0</v>
      </c>
      <c r="CP172" s="75">
        <f>SUM(Tableau1[[#This Row],[Fourniture eau]:[Energie (non précisé)]])</f>
        <v>0</v>
      </c>
      <c r="CQ172" s="55"/>
      <c r="CR172" s="55"/>
      <c r="CS172" s="55"/>
      <c r="CT172" s="55"/>
      <c r="CU172" s="55"/>
      <c r="CV172" s="55">
        <v>0</v>
      </c>
      <c r="CW172" s="55"/>
      <c r="CX172" s="68">
        <f>SUM(Tableau1[[#This Row],[Sous-traitance]:[Autres ou non précisé 12]])</f>
        <v>0</v>
      </c>
      <c r="CY172" s="65"/>
      <c r="CZ172" s="65"/>
      <c r="DA172" s="65"/>
      <c r="DB172" s="65"/>
      <c r="DC172" s="55"/>
      <c r="DD172" s="68">
        <f t="shared" si="83"/>
        <v>0</v>
      </c>
      <c r="DE172" s="55"/>
      <c r="DF172" s="65"/>
      <c r="DG172" s="65"/>
      <c r="DH172" s="65"/>
      <c r="DI172" s="68">
        <f>SUM(Tableau1[[#This Row],[Entretien et réparation matériel de projection]:[Autres ou non précisé 14]])</f>
        <v>0</v>
      </c>
      <c r="DJ172" s="58"/>
      <c r="DK172" s="58"/>
      <c r="DL172" s="69"/>
      <c r="DM172" s="68">
        <f t="shared" si="103"/>
        <v>0</v>
      </c>
      <c r="DN172" s="58"/>
      <c r="DO172" s="58"/>
      <c r="DP172" s="68">
        <f t="shared" si="104"/>
        <v>0</v>
      </c>
      <c r="DQ172" s="65"/>
      <c r="DR172" s="65"/>
      <c r="DS172" s="68">
        <f t="shared" si="105"/>
        <v>0</v>
      </c>
      <c r="DT172" s="65"/>
      <c r="DU172" s="65"/>
      <c r="DV172" s="65"/>
      <c r="DW172" s="68">
        <f>SUM(Tableau1[[#This Row],[Comission et courtage sur achats]:[Autres ou honoraires
 non précisé ]])</f>
        <v>0</v>
      </c>
      <c r="DX172" s="57"/>
      <c r="DY172" s="57"/>
      <c r="DZ172" s="65"/>
      <c r="EA172" s="65"/>
      <c r="EB172" s="65"/>
      <c r="EC172" s="68">
        <f t="shared" si="106"/>
        <v>0</v>
      </c>
      <c r="ED172" s="69"/>
      <c r="EE172" s="69"/>
      <c r="EF172" s="69"/>
      <c r="EG172" s="69"/>
      <c r="EH172" s="69"/>
      <c r="EI172" s="84">
        <f>SUM(Tableau1[[#This Row],[Transports sur films]:[autres ]])</f>
        <v>0</v>
      </c>
      <c r="EJ172" s="132">
        <v>0</v>
      </c>
      <c r="EK172" s="132"/>
      <c r="EL172" s="68">
        <f t="shared" si="107"/>
        <v>0</v>
      </c>
      <c r="EM172" s="65"/>
      <c r="EN172" s="65">
        <v>0</v>
      </c>
      <c r="EO172" s="65"/>
      <c r="EP172" s="65"/>
      <c r="EQ172" s="65"/>
      <c r="ER172" s="65"/>
      <c r="ES172" s="65"/>
      <c r="ET172" s="68">
        <f t="shared" si="108"/>
        <v>0</v>
      </c>
      <c r="EU172" s="65"/>
      <c r="EV172" s="65"/>
      <c r="EW172" s="65"/>
      <c r="EX172" s="65"/>
      <c r="EY172" s="65"/>
      <c r="EZ172" s="68">
        <f t="shared" si="85"/>
        <v>0</v>
      </c>
      <c r="FA172" s="65"/>
      <c r="FB172" s="65"/>
      <c r="FC172" s="70">
        <f t="shared" si="84"/>
        <v>0</v>
      </c>
      <c r="FD172" s="65"/>
      <c r="FE172" s="71">
        <f t="shared" si="109"/>
        <v>0</v>
      </c>
      <c r="FF172" s="72">
        <f t="shared" si="110"/>
        <v>0</v>
      </c>
      <c r="FG172" s="65"/>
      <c r="FH172" s="65"/>
      <c r="FI172" s="65"/>
      <c r="FJ172" s="56">
        <f t="shared" si="111"/>
        <v>0</v>
      </c>
      <c r="FK172" s="65"/>
      <c r="FL172" s="65"/>
      <c r="FM172" s="65"/>
      <c r="FN172" s="65"/>
      <c r="FO172" s="67">
        <f t="shared" si="112"/>
        <v>0</v>
      </c>
      <c r="FP172" s="57"/>
      <c r="FQ172" s="73"/>
      <c r="FR172" s="73"/>
      <c r="FS172" s="71">
        <f t="shared" si="113"/>
        <v>0</v>
      </c>
      <c r="FT172" s="91"/>
      <c r="FU172" s="91"/>
      <c r="FV172" s="67">
        <f>SUM(Tableau1[[#This Row],[Droits d''auteurs SACEM + cotisations SACEM]:[Autres ou non préciés]])</f>
        <v>0</v>
      </c>
      <c r="FW172" s="75">
        <f t="shared" si="114"/>
        <v>0</v>
      </c>
      <c r="FX172" s="74">
        <v>0</v>
      </c>
      <c r="FY172" s="74"/>
      <c r="FZ172" s="74"/>
      <c r="GA172" s="74"/>
      <c r="GB172" s="71">
        <f t="shared" si="115"/>
        <v>0</v>
      </c>
      <c r="GC172" s="92"/>
      <c r="GD172" s="92"/>
      <c r="GE172" s="67">
        <f t="shared" si="116"/>
        <v>0</v>
      </c>
      <c r="GF172" s="66"/>
      <c r="GG172" s="66"/>
      <c r="GH172" s="66"/>
      <c r="GI172" s="66"/>
      <c r="GJ172" s="77"/>
    </row>
    <row r="173" spans="1:192" ht="18.600000000000001" customHeight="1" x14ac:dyDescent="0.25">
      <c r="A173" s="89"/>
      <c r="B173" s="17"/>
      <c r="C173" s="50"/>
      <c r="D173" s="140"/>
      <c r="E173" s="51"/>
      <c r="F173" s="139">
        <f t="shared" si="120"/>
        <v>1</v>
      </c>
      <c r="G173" s="49"/>
      <c r="H173" s="50"/>
      <c r="I173" s="122"/>
      <c r="J173" s="49"/>
      <c r="K173" s="50"/>
      <c r="L173" s="50"/>
      <c r="M173" s="90"/>
      <c r="N173" s="50"/>
      <c r="O173" s="50"/>
      <c r="P173" s="90"/>
      <c r="Q173" s="52">
        <f t="shared" si="86"/>
        <v>0</v>
      </c>
      <c r="R173" s="52">
        <f t="shared" si="87"/>
        <v>0</v>
      </c>
      <c r="S173" s="53">
        <f t="shared" si="88"/>
        <v>0</v>
      </c>
      <c r="T173" s="54">
        <f t="shared" si="89"/>
        <v>0</v>
      </c>
      <c r="U173" s="115">
        <f>SUM(Tableau1[[#This Row],[Vente confiserie]:[Vente boisson]])</f>
        <v>0</v>
      </c>
      <c r="V173" s="55"/>
      <c r="W173" s="55"/>
      <c r="X173" s="135">
        <f>SUM(Tableau1[[#This Row],[Vente lunette]:[Location lunette]])</f>
        <v>0</v>
      </c>
      <c r="Y173" s="55"/>
      <c r="Z173" s="55"/>
      <c r="AA173" s="55"/>
      <c r="AB173" s="55"/>
      <c r="AC173" s="56">
        <f t="shared" si="118"/>
        <v>0</v>
      </c>
      <c r="AD173" s="57"/>
      <c r="AE173" s="57"/>
      <c r="AF173" s="57"/>
      <c r="AG173" s="57"/>
      <c r="AH173" s="57"/>
      <c r="AI173" s="57"/>
      <c r="AJ173" s="118">
        <f>(Tableau1[[#This Row],[Recette guichet ]]*1.1275177)-Tableau1[[#This Row],[Recette guichet ]]</f>
        <v>0</v>
      </c>
      <c r="AK173" s="57"/>
      <c r="AL173" s="56">
        <f t="shared" si="119"/>
        <v>0</v>
      </c>
      <c r="AM173" s="58"/>
      <c r="AN173" s="58"/>
      <c r="AO173" s="58"/>
      <c r="AP173" s="115">
        <f t="shared" si="90"/>
        <v>0</v>
      </c>
      <c r="AQ173" s="69"/>
      <c r="AR173" s="69"/>
      <c r="AS173" s="69"/>
      <c r="AT173" s="69"/>
      <c r="AU173" s="59">
        <f t="shared" si="91"/>
        <v>0</v>
      </c>
      <c r="AV173" s="60">
        <f t="shared" si="92"/>
        <v>0</v>
      </c>
      <c r="AW173" s="58"/>
      <c r="AX173" s="58"/>
      <c r="AY173" s="58"/>
      <c r="AZ173" s="60">
        <f t="shared" si="82"/>
        <v>0</v>
      </c>
      <c r="BA173" s="58"/>
      <c r="BB173" s="58"/>
      <c r="BC173" s="58"/>
      <c r="BD173" s="60">
        <f>SUM(Tableau1[[#This Row],[ticket/carte/abonnement périmé]:[Autres ou non précisé 5]])</f>
        <v>0</v>
      </c>
      <c r="BE173" s="58"/>
      <c r="BF173" s="58"/>
      <c r="BG173" s="58"/>
      <c r="BH173" s="61">
        <f t="shared" si="93"/>
        <v>0</v>
      </c>
      <c r="BI173" s="120"/>
      <c r="BJ173" s="120"/>
      <c r="BK173" s="62">
        <f t="shared" si="94"/>
        <v>0</v>
      </c>
      <c r="BL173" s="120"/>
      <c r="BM173" s="120"/>
      <c r="BN173" s="120"/>
      <c r="BO173" s="120"/>
      <c r="BP173" s="120"/>
      <c r="BQ173" s="63"/>
      <c r="BR173" s="52">
        <f t="shared" si="95"/>
        <v>0</v>
      </c>
      <c r="BS173" s="52">
        <f t="shared" si="96"/>
        <v>0</v>
      </c>
      <c r="BT173" s="61">
        <f t="shared" si="97"/>
        <v>0</v>
      </c>
      <c r="BU173" s="64">
        <f t="shared" si="98"/>
        <v>0</v>
      </c>
      <c r="BV173" s="119">
        <f>SUM(Tableau1[[#This Row],[Achats confiserie]:[Achats boisson]])</f>
        <v>0</v>
      </c>
      <c r="BW173" s="58"/>
      <c r="BX173" s="69"/>
      <c r="BY173" s="58"/>
      <c r="BZ173" s="56">
        <f t="shared" si="99"/>
        <v>0</v>
      </c>
      <c r="CA173" s="66"/>
      <c r="CB173" s="66"/>
      <c r="CC173" s="56">
        <f t="shared" si="100"/>
        <v>0</v>
      </c>
      <c r="CD173" s="55"/>
      <c r="CE173" s="65"/>
      <c r="CF173" s="55"/>
      <c r="CG173" s="55"/>
      <c r="CH173" s="67">
        <f t="shared" si="101"/>
        <v>0</v>
      </c>
      <c r="CI173" s="68">
        <f t="shared" si="117"/>
        <v>0</v>
      </c>
      <c r="CJ173" s="55"/>
      <c r="CK173" s="55"/>
      <c r="CL173" s="55"/>
      <c r="CM173" s="55"/>
      <c r="CN173" s="55"/>
      <c r="CO173" s="68">
        <f t="shared" si="102"/>
        <v>0</v>
      </c>
      <c r="CP173" s="75">
        <f>SUM(Tableau1[[#This Row],[Fourniture eau]:[Energie (non précisé)]])</f>
        <v>0</v>
      </c>
      <c r="CQ173" s="55"/>
      <c r="CR173" s="55"/>
      <c r="CS173" s="55"/>
      <c r="CT173" s="55"/>
      <c r="CU173" s="55"/>
      <c r="CV173" s="55">
        <v>0</v>
      </c>
      <c r="CW173" s="55"/>
      <c r="CX173" s="68">
        <f>SUM(Tableau1[[#This Row],[Sous-traitance]:[Autres ou non précisé 12]])</f>
        <v>0</v>
      </c>
      <c r="CY173" s="65"/>
      <c r="CZ173" s="65"/>
      <c r="DA173" s="65"/>
      <c r="DB173" s="65"/>
      <c r="DC173" s="55"/>
      <c r="DD173" s="68">
        <f t="shared" si="83"/>
        <v>0</v>
      </c>
      <c r="DE173" s="55"/>
      <c r="DF173" s="65"/>
      <c r="DG173" s="65"/>
      <c r="DH173" s="65"/>
      <c r="DI173" s="68">
        <f>SUM(Tableau1[[#This Row],[Entretien et réparation matériel de projection]:[Autres ou non précisé 14]])</f>
        <v>0</v>
      </c>
      <c r="DJ173" s="58"/>
      <c r="DK173" s="58"/>
      <c r="DL173" s="69"/>
      <c r="DM173" s="68">
        <f t="shared" si="103"/>
        <v>0</v>
      </c>
      <c r="DN173" s="58"/>
      <c r="DO173" s="58"/>
      <c r="DP173" s="68">
        <f t="shared" si="104"/>
        <v>0</v>
      </c>
      <c r="DQ173" s="65"/>
      <c r="DR173" s="65"/>
      <c r="DS173" s="68">
        <f t="shared" si="105"/>
        <v>0</v>
      </c>
      <c r="DT173" s="65"/>
      <c r="DU173" s="65"/>
      <c r="DV173" s="65"/>
      <c r="DW173" s="68">
        <f>SUM(Tableau1[[#This Row],[Comission et courtage sur achats]:[Autres ou honoraires
 non précisé ]])</f>
        <v>0</v>
      </c>
      <c r="DX173" s="57"/>
      <c r="DY173" s="57"/>
      <c r="DZ173" s="65"/>
      <c r="EA173" s="65"/>
      <c r="EB173" s="65"/>
      <c r="EC173" s="68">
        <f t="shared" si="106"/>
        <v>0</v>
      </c>
      <c r="ED173" s="69"/>
      <c r="EE173" s="69"/>
      <c r="EF173" s="69"/>
      <c r="EG173" s="69"/>
      <c r="EH173" s="69"/>
      <c r="EI173" s="84">
        <f>SUM(Tableau1[[#This Row],[Transports sur films]:[autres ]])</f>
        <v>0</v>
      </c>
      <c r="EJ173" s="132">
        <v>0</v>
      </c>
      <c r="EK173" s="132"/>
      <c r="EL173" s="68">
        <f t="shared" si="107"/>
        <v>0</v>
      </c>
      <c r="EM173" s="65"/>
      <c r="EN173" s="65">
        <v>0</v>
      </c>
      <c r="EO173" s="65"/>
      <c r="EP173" s="65"/>
      <c r="EQ173" s="65"/>
      <c r="ER173" s="65"/>
      <c r="ES173" s="65"/>
      <c r="ET173" s="68">
        <f t="shared" si="108"/>
        <v>0</v>
      </c>
      <c r="EU173" s="65"/>
      <c r="EV173" s="65"/>
      <c r="EW173" s="65"/>
      <c r="EX173" s="65"/>
      <c r="EY173" s="65"/>
      <c r="EZ173" s="68">
        <f t="shared" si="85"/>
        <v>0</v>
      </c>
      <c r="FA173" s="65"/>
      <c r="FB173" s="65"/>
      <c r="FC173" s="70">
        <f t="shared" si="84"/>
        <v>0</v>
      </c>
      <c r="FD173" s="65"/>
      <c r="FE173" s="71">
        <f t="shared" si="109"/>
        <v>0</v>
      </c>
      <c r="FF173" s="72">
        <f t="shared" si="110"/>
        <v>0</v>
      </c>
      <c r="FG173" s="65"/>
      <c r="FH173" s="65"/>
      <c r="FI173" s="65"/>
      <c r="FJ173" s="56">
        <f t="shared" si="111"/>
        <v>0</v>
      </c>
      <c r="FK173" s="65"/>
      <c r="FL173" s="65"/>
      <c r="FM173" s="65"/>
      <c r="FN173" s="65"/>
      <c r="FO173" s="67">
        <f t="shared" si="112"/>
        <v>0</v>
      </c>
      <c r="FP173" s="57"/>
      <c r="FQ173" s="73"/>
      <c r="FR173" s="73"/>
      <c r="FS173" s="71">
        <f t="shared" si="113"/>
        <v>0</v>
      </c>
      <c r="FT173" s="91"/>
      <c r="FU173" s="91"/>
      <c r="FV173" s="67">
        <f>SUM(Tableau1[[#This Row],[Droits d''auteurs SACEM + cotisations SACEM]:[Autres ou non préciés]])</f>
        <v>0</v>
      </c>
      <c r="FW173" s="75">
        <f t="shared" si="114"/>
        <v>0</v>
      </c>
      <c r="FX173" s="74">
        <v>0</v>
      </c>
      <c r="FY173" s="74"/>
      <c r="FZ173" s="74"/>
      <c r="GA173" s="74"/>
      <c r="GB173" s="71">
        <f t="shared" si="115"/>
        <v>0</v>
      </c>
      <c r="GC173" s="92"/>
      <c r="GD173" s="92"/>
      <c r="GE173" s="67">
        <f t="shared" si="116"/>
        <v>0</v>
      </c>
      <c r="GF173" s="66"/>
      <c r="GG173" s="66"/>
      <c r="GH173" s="66"/>
      <c r="GI173" s="66"/>
      <c r="GJ173" s="77"/>
    </row>
    <row r="174" spans="1:192" ht="18.600000000000001" customHeight="1" x14ac:dyDescent="0.25">
      <c r="A174" s="89"/>
      <c r="B174" s="17"/>
      <c r="C174" s="50"/>
      <c r="D174" s="140"/>
      <c r="E174" s="51"/>
      <c r="F174" s="139">
        <f t="shared" si="120"/>
        <v>1</v>
      </c>
      <c r="G174" s="49"/>
      <c r="H174" s="50"/>
      <c r="I174" s="122"/>
      <c r="J174" s="49"/>
      <c r="K174" s="50"/>
      <c r="L174" s="50"/>
      <c r="M174" s="90"/>
      <c r="N174" s="50"/>
      <c r="O174" s="50"/>
      <c r="P174" s="90"/>
      <c r="Q174" s="52">
        <f t="shared" si="86"/>
        <v>0</v>
      </c>
      <c r="R174" s="52">
        <f t="shared" si="87"/>
        <v>0</v>
      </c>
      <c r="S174" s="53">
        <f t="shared" si="88"/>
        <v>0</v>
      </c>
      <c r="T174" s="54">
        <f t="shared" si="89"/>
        <v>0</v>
      </c>
      <c r="U174" s="115">
        <f>SUM(Tableau1[[#This Row],[Vente confiserie]:[Vente boisson]])</f>
        <v>0</v>
      </c>
      <c r="V174" s="55"/>
      <c r="W174" s="55"/>
      <c r="X174" s="135">
        <f>SUM(Tableau1[[#This Row],[Vente lunette]:[Location lunette]])</f>
        <v>0</v>
      </c>
      <c r="Y174" s="55"/>
      <c r="Z174" s="55"/>
      <c r="AA174" s="55"/>
      <c r="AB174" s="55"/>
      <c r="AC174" s="56">
        <f t="shared" si="118"/>
        <v>0</v>
      </c>
      <c r="AD174" s="57"/>
      <c r="AE174" s="57"/>
      <c r="AF174" s="57"/>
      <c r="AG174" s="57"/>
      <c r="AH174" s="57"/>
      <c r="AI174" s="57"/>
      <c r="AJ174" s="118">
        <f>(Tableau1[[#This Row],[Recette guichet ]]*1.1275177)-Tableau1[[#This Row],[Recette guichet ]]</f>
        <v>0</v>
      </c>
      <c r="AK174" s="57"/>
      <c r="AL174" s="56">
        <f t="shared" si="119"/>
        <v>0</v>
      </c>
      <c r="AM174" s="58"/>
      <c r="AN174" s="58"/>
      <c r="AO174" s="58"/>
      <c r="AP174" s="115">
        <f t="shared" si="90"/>
        <v>0</v>
      </c>
      <c r="AQ174" s="69"/>
      <c r="AR174" s="69"/>
      <c r="AS174" s="69"/>
      <c r="AT174" s="69"/>
      <c r="AU174" s="59">
        <f t="shared" si="91"/>
        <v>0</v>
      </c>
      <c r="AV174" s="60">
        <f t="shared" si="92"/>
        <v>0</v>
      </c>
      <c r="AW174" s="58"/>
      <c r="AX174" s="58"/>
      <c r="AY174" s="58"/>
      <c r="AZ174" s="60">
        <f t="shared" si="82"/>
        <v>0</v>
      </c>
      <c r="BA174" s="58"/>
      <c r="BB174" s="58"/>
      <c r="BC174" s="58"/>
      <c r="BD174" s="60">
        <f>SUM(Tableau1[[#This Row],[ticket/carte/abonnement périmé]:[Autres ou non précisé 5]])</f>
        <v>0</v>
      </c>
      <c r="BE174" s="58"/>
      <c r="BF174" s="58"/>
      <c r="BG174" s="58"/>
      <c r="BH174" s="61">
        <f t="shared" si="93"/>
        <v>0</v>
      </c>
      <c r="BI174" s="120"/>
      <c r="BJ174" s="120"/>
      <c r="BK174" s="62">
        <f t="shared" si="94"/>
        <v>0</v>
      </c>
      <c r="BL174" s="120"/>
      <c r="BM174" s="120"/>
      <c r="BN174" s="120"/>
      <c r="BO174" s="120"/>
      <c r="BP174" s="120"/>
      <c r="BQ174" s="63"/>
      <c r="BR174" s="52">
        <f t="shared" si="95"/>
        <v>0</v>
      </c>
      <c r="BS174" s="52">
        <f t="shared" si="96"/>
        <v>0</v>
      </c>
      <c r="BT174" s="61">
        <f t="shared" si="97"/>
        <v>0</v>
      </c>
      <c r="BU174" s="64">
        <f t="shared" si="98"/>
        <v>0</v>
      </c>
      <c r="BV174" s="119">
        <f>SUM(Tableau1[[#This Row],[Achats confiserie]:[Achats boisson]])</f>
        <v>0</v>
      </c>
      <c r="BW174" s="58"/>
      <c r="BX174" s="69"/>
      <c r="BY174" s="58"/>
      <c r="BZ174" s="56">
        <f t="shared" si="99"/>
        <v>0</v>
      </c>
      <c r="CA174" s="66"/>
      <c r="CB174" s="66"/>
      <c r="CC174" s="56">
        <f t="shared" si="100"/>
        <v>0</v>
      </c>
      <c r="CD174" s="55"/>
      <c r="CE174" s="65"/>
      <c r="CF174" s="55"/>
      <c r="CG174" s="55"/>
      <c r="CH174" s="67">
        <f t="shared" si="101"/>
        <v>0</v>
      </c>
      <c r="CI174" s="68">
        <f t="shared" si="117"/>
        <v>0</v>
      </c>
      <c r="CJ174" s="55"/>
      <c r="CK174" s="55"/>
      <c r="CL174" s="55"/>
      <c r="CM174" s="55"/>
      <c r="CN174" s="55"/>
      <c r="CO174" s="68">
        <f t="shared" si="102"/>
        <v>0</v>
      </c>
      <c r="CP174" s="75">
        <f>SUM(Tableau1[[#This Row],[Fourniture eau]:[Energie (non précisé)]])</f>
        <v>0</v>
      </c>
      <c r="CQ174" s="55"/>
      <c r="CR174" s="55"/>
      <c r="CS174" s="55"/>
      <c r="CT174" s="55"/>
      <c r="CU174" s="55"/>
      <c r="CV174" s="55">
        <v>0</v>
      </c>
      <c r="CW174" s="55"/>
      <c r="CX174" s="68">
        <f>SUM(Tableau1[[#This Row],[Sous-traitance]:[Autres ou non précisé 12]])</f>
        <v>0</v>
      </c>
      <c r="CY174" s="65"/>
      <c r="CZ174" s="65"/>
      <c r="DA174" s="65"/>
      <c r="DB174" s="65"/>
      <c r="DC174" s="55"/>
      <c r="DD174" s="68">
        <f t="shared" si="83"/>
        <v>0</v>
      </c>
      <c r="DE174" s="55"/>
      <c r="DF174" s="65"/>
      <c r="DG174" s="65"/>
      <c r="DH174" s="65"/>
      <c r="DI174" s="68">
        <f>SUM(Tableau1[[#This Row],[Entretien et réparation matériel de projection]:[Autres ou non précisé 14]])</f>
        <v>0</v>
      </c>
      <c r="DJ174" s="58"/>
      <c r="DK174" s="58"/>
      <c r="DL174" s="69"/>
      <c r="DM174" s="68">
        <f t="shared" si="103"/>
        <v>0</v>
      </c>
      <c r="DN174" s="58"/>
      <c r="DO174" s="58"/>
      <c r="DP174" s="68">
        <f t="shared" si="104"/>
        <v>0</v>
      </c>
      <c r="DQ174" s="65"/>
      <c r="DR174" s="65"/>
      <c r="DS174" s="68">
        <f t="shared" si="105"/>
        <v>0</v>
      </c>
      <c r="DT174" s="65"/>
      <c r="DU174" s="65"/>
      <c r="DV174" s="65"/>
      <c r="DW174" s="68">
        <f>SUM(Tableau1[[#This Row],[Comission et courtage sur achats]:[Autres ou honoraires
 non précisé ]])</f>
        <v>0</v>
      </c>
      <c r="DX174" s="57"/>
      <c r="DY174" s="57"/>
      <c r="DZ174" s="65"/>
      <c r="EA174" s="65"/>
      <c r="EB174" s="65"/>
      <c r="EC174" s="68">
        <f t="shared" si="106"/>
        <v>0</v>
      </c>
      <c r="ED174" s="69"/>
      <c r="EE174" s="69"/>
      <c r="EF174" s="69"/>
      <c r="EG174" s="69"/>
      <c r="EH174" s="69"/>
      <c r="EI174" s="84">
        <f>SUM(Tableau1[[#This Row],[Transports sur films]:[autres ]])</f>
        <v>0</v>
      </c>
      <c r="EJ174" s="132">
        <v>0</v>
      </c>
      <c r="EK174" s="132"/>
      <c r="EL174" s="68">
        <f t="shared" si="107"/>
        <v>0</v>
      </c>
      <c r="EM174" s="65"/>
      <c r="EN174" s="65">
        <v>0</v>
      </c>
      <c r="EO174" s="65"/>
      <c r="EP174" s="65"/>
      <c r="EQ174" s="65"/>
      <c r="ER174" s="65"/>
      <c r="ES174" s="65"/>
      <c r="ET174" s="68">
        <f t="shared" si="108"/>
        <v>0</v>
      </c>
      <c r="EU174" s="65"/>
      <c r="EV174" s="65"/>
      <c r="EW174" s="65"/>
      <c r="EX174" s="65"/>
      <c r="EY174" s="65"/>
      <c r="EZ174" s="68">
        <f t="shared" si="85"/>
        <v>0</v>
      </c>
      <c r="FA174" s="65"/>
      <c r="FB174" s="65"/>
      <c r="FC174" s="70">
        <f t="shared" si="84"/>
        <v>0</v>
      </c>
      <c r="FD174" s="65"/>
      <c r="FE174" s="71">
        <f t="shared" si="109"/>
        <v>0</v>
      </c>
      <c r="FF174" s="72">
        <f t="shared" si="110"/>
        <v>0</v>
      </c>
      <c r="FG174" s="65"/>
      <c r="FH174" s="65"/>
      <c r="FI174" s="65"/>
      <c r="FJ174" s="56">
        <f t="shared" si="111"/>
        <v>0</v>
      </c>
      <c r="FK174" s="65"/>
      <c r="FL174" s="65"/>
      <c r="FM174" s="65"/>
      <c r="FN174" s="65"/>
      <c r="FO174" s="67">
        <f t="shared" si="112"/>
        <v>0</v>
      </c>
      <c r="FP174" s="57"/>
      <c r="FQ174" s="73"/>
      <c r="FR174" s="73"/>
      <c r="FS174" s="71">
        <f t="shared" si="113"/>
        <v>0</v>
      </c>
      <c r="FT174" s="91"/>
      <c r="FU174" s="91"/>
      <c r="FV174" s="67">
        <f>SUM(Tableau1[[#This Row],[Droits d''auteurs SACEM + cotisations SACEM]:[Autres ou non préciés]])</f>
        <v>0</v>
      </c>
      <c r="FW174" s="75">
        <f t="shared" si="114"/>
        <v>0</v>
      </c>
      <c r="FX174" s="74">
        <v>0</v>
      </c>
      <c r="FY174" s="74"/>
      <c r="FZ174" s="74"/>
      <c r="GA174" s="74"/>
      <c r="GB174" s="71">
        <f t="shared" si="115"/>
        <v>0</v>
      </c>
      <c r="GC174" s="92"/>
      <c r="GD174" s="92"/>
      <c r="GE174" s="67">
        <f t="shared" si="116"/>
        <v>0</v>
      </c>
      <c r="GF174" s="66"/>
      <c r="GG174" s="66"/>
      <c r="GH174" s="66"/>
      <c r="GI174" s="66"/>
      <c r="GJ174" s="77"/>
    </row>
    <row r="175" spans="1:192" ht="18.600000000000001" customHeight="1" x14ac:dyDescent="0.25">
      <c r="A175" s="89"/>
      <c r="B175" s="17"/>
      <c r="C175" s="50"/>
      <c r="D175" s="140"/>
      <c r="E175" s="51"/>
      <c r="F175" s="139">
        <f t="shared" si="120"/>
        <v>1</v>
      </c>
      <c r="G175" s="49"/>
      <c r="H175" s="50"/>
      <c r="I175" s="122"/>
      <c r="J175" s="49"/>
      <c r="K175" s="50"/>
      <c r="L175" s="50"/>
      <c r="M175" s="90"/>
      <c r="N175" s="50"/>
      <c r="O175" s="50"/>
      <c r="P175" s="90"/>
      <c r="Q175" s="52">
        <f t="shared" si="86"/>
        <v>0</v>
      </c>
      <c r="R175" s="52">
        <f t="shared" si="87"/>
        <v>0</v>
      </c>
      <c r="S175" s="53">
        <f t="shared" si="88"/>
        <v>0</v>
      </c>
      <c r="T175" s="54">
        <f t="shared" si="89"/>
        <v>0</v>
      </c>
      <c r="U175" s="115">
        <f>SUM(Tableau1[[#This Row],[Vente confiserie]:[Vente boisson]])</f>
        <v>0</v>
      </c>
      <c r="V175" s="55"/>
      <c r="W175" s="55"/>
      <c r="X175" s="135">
        <f>SUM(Tableau1[[#This Row],[Vente lunette]:[Location lunette]])</f>
        <v>0</v>
      </c>
      <c r="Y175" s="55"/>
      <c r="Z175" s="55"/>
      <c r="AA175" s="55"/>
      <c r="AB175" s="55"/>
      <c r="AC175" s="56">
        <f t="shared" si="118"/>
        <v>0</v>
      </c>
      <c r="AD175" s="57"/>
      <c r="AE175" s="57"/>
      <c r="AF175" s="57"/>
      <c r="AG175" s="57"/>
      <c r="AH175" s="57"/>
      <c r="AI175" s="57"/>
      <c r="AJ175" s="118">
        <f>(Tableau1[[#This Row],[Recette guichet ]]*1.1275177)-Tableau1[[#This Row],[Recette guichet ]]</f>
        <v>0</v>
      </c>
      <c r="AK175" s="57"/>
      <c r="AL175" s="56">
        <f t="shared" si="119"/>
        <v>0</v>
      </c>
      <c r="AM175" s="58"/>
      <c r="AN175" s="58"/>
      <c r="AO175" s="58"/>
      <c r="AP175" s="115">
        <f t="shared" si="90"/>
        <v>0</v>
      </c>
      <c r="AQ175" s="69"/>
      <c r="AR175" s="69"/>
      <c r="AS175" s="69"/>
      <c r="AT175" s="69"/>
      <c r="AU175" s="59">
        <f t="shared" si="91"/>
        <v>0</v>
      </c>
      <c r="AV175" s="60">
        <f t="shared" si="92"/>
        <v>0</v>
      </c>
      <c r="AW175" s="58"/>
      <c r="AX175" s="58"/>
      <c r="AY175" s="58"/>
      <c r="AZ175" s="60">
        <f t="shared" si="82"/>
        <v>0</v>
      </c>
      <c r="BA175" s="58"/>
      <c r="BB175" s="58"/>
      <c r="BC175" s="58"/>
      <c r="BD175" s="60">
        <f>SUM(Tableau1[[#This Row],[ticket/carte/abonnement périmé]:[Autres ou non précisé 5]])</f>
        <v>0</v>
      </c>
      <c r="BE175" s="58"/>
      <c r="BF175" s="58"/>
      <c r="BG175" s="58"/>
      <c r="BH175" s="61">
        <f t="shared" si="93"/>
        <v>0</v>
      </c>
      <c r="BI175" s="120"/>
      <c r="BJ175" s="120"/>
      <c r="BK175" s="62">
        <f t="shared" si="94"/>
        <v>0</v>
      </c>
      <c r="BL175" s="120"/>
      <c r="BM175" s="120"/>
      <c r="BN175" s="120"/>
      <c r="BO175" s="120"/>
      <c r="BP175" s="120"/>
      <c r="BQ175" s="63"/>
      <c r="BR175" s="52">
        <f t="shared" si="95"/>
        <v>0</v>
      </c>
      <c r="BS175" s="52">
        <f t="shared" si="96"/>
        <v>0</v>
      </c>
      <c r="BT175" s="61">
        <f t="shared" si="97"/>
        <v>0</v>
      </c>
      <c r="BU175" s="64">
        <f t="shared" si="98"/>
        <v>0</v>
      </c>
      <c r="BV175" s="119">
        <f>SUM(Tableau1[[#This Row],[Achats confiserie]:[Achats boisson]])</f>
        <v>0</v>
      </c>
      <c r="BW175" s="58"/>
      <c r="BX175" s="69"/>
      <c r="BY175" s="58"/>
      <c r="BZ175" s="56">
        <f t="shared" si="99"/>
        <v>0</v>
      </c>
      <c r="CA175" s="66"/>
      <c r="CB175" s="66"/>
      <c r="CC175" s="56">
        <f t="shared" si="100"/>
        <v>0</v>
      </c>
      <c r="CD175" s="55"/>
      <c r="CE175" s="65"/>
      <c r="CF175" s="55"/>
      <c r="CG175" s="55"/>
      <c r="CH175" s="67">
        <f t="shared" si="101"/>
        <v>0</v>
      </c>
      <c r="CI175" s="68">
        <f t="shared" si="117"/>
        <v>0</v>
      </c>
      <c r="CJ175" s="55"/>
      <c r="CK175" s="55"/>
      <c r="CL175" s="55"/>
      <c r="CM175" s="55"/>
      <c r="CN175" s="55"/>
      <c r="CO175" s="68">
        <f t="shared" si="102"/>
        <v>0</v>
      </c>
      <c r="CP175" s="75">
        <f>SUM(Tableau1[[#This Row],[Fourniture eau]:[Energie (non précisé)]])</f>
        <v>0</v>
      </c>
      <c r="CQ175" s="55"/>
      <c r="CR175" s="55"/>
      <c r="CS175" s="55"/>
      <c r="CT175" s="55"/>
      <c r="CU175" s="55"/>
      <c r="CV175" s="55">
        <v>0</v>
      </c>
      <c r="CW175" s="55"/>
      <c r="CX175" s="68">
        <f>SUM(Tableau1[[#This Row],[Sous-traitance]:[Autres ou non précisé 12]])</f>
        <v>0</v>
      </c>
      <c r="CY175" s="65"/>
      <c r="CZ175" s="65"/>
      <c r="DA175" s="65"/>
      <c r="DB175" s="65"/>
      <c r="DC175" s="55"/>
      <c r="DD175" s="68">
        <f t="shared" si="83"/>
        <v>0</v>
      </c>
      <c r="DE175" s="55"/>
      <c r="DF175" s="65"/>
      <c r="DG175" s="65"/>
      <c r="DH175" s="65"/>
      <c r="DI175" s="68">
        <f>SUM(Tableau1[[#This Row],[Entretien et réparation matériel de projection]:[Autres ou non précisé 14]])</f>
        <v>0</v>
      </c>
      <c r="DJ175" s="58"/>
      <c r="DK175" s="58"/>
      <c r="DL175" s="69"/>
      <c r="DM175" s="68">
        <f t="shared" si="103"/>
        <v>0</v>
      </c>
      <c r="DN175" s="58"/>
      <c r="DO175" s="58"/>
      <c r="DP175" s="68">
        <f t="shared" si="104"/>
        <v>0</v>
      </c>
      <c r="DQ175" s="65"/>
      <c r="DR175" s="65"/>
      <c r="DS175" s="68">
        <f t="shared" si="105"/>
        <v>0</v>
      </c>
      <c r="DT175" s="65"/>
      <c r="DU175" s="65"/>
      <c r="DV175" s="65"/>
      <c r="DW175" s="68">
        <f>SUM(Tableau1[[#This Row],[Comission et courtage sur achats]:[Autres ou honoraires
 non précisé ]])</f>
        <v>0</v>
      </c>
      <c r="DX175" s="57"/>
      <c r="DY175" s="57"/>
      <c r="DZ175" s="65"/>
      <c r="EA175" s="65"/>
      <c r="EB175" s="65"/>
      <c r="EC175" s="68">
        <f t="shared" si="106"/>
        <v>0</v>
      </c>
      <c r="ED175" s="69"/>
      <c r="EE175" s="69"/>
      <c r="EF175" s="69"/>
      <c r="EG175" s="69"/>
      <c r="EH175" s="69"/>
      <c r="EI175" s="84">
        <f>SUM(Tableau1[[#This Row],[Transports sur films]:[autres ]])</f>
        <v>0</v>
      </c>
      <c r="EJ175" s="132">
        <v>0</v>
      </c>
      <c r="EK175" s="132"/>
      <c r="EL175" s="68">
        <f t="shared" si="107"/>
        <v>0</v>
      </c>
      <c r="EM175" s="65"/>
      <c r="EN175" s="65">
        <v>0</v>
      </c>
      <c r="EO175" s="65"/>
      <c r="EP175" s="65"/>
      <c r="EQ175" s="65"/>
      <c r="ER175" s="65"/>
      <c r="ES175" s="65"/>
      <c r="ET175" s="68">
        <f t="shared" si="108"/>
        <v>0</v>
      </c>
      <c r="EU175" s="65"/>
      <c r="EV175" s="65"/>
      <c r="EW175" s="65"/>
      <c r="EX175" s="65"/>
      <c r="EY175" s="65"/>
      <c r="EZ175" s="68">
        <f t="shared" si="85"/>
        <v>0</v>
      </c>
      <c r="FA175" s="65"/>
      <c r="FB175" s="65"/>
      <c r="FC175" s="70">
        <f t="shared" si="84"/>
        <v>0</v>
      </c>
      <c r="FD175" s="65"/>
      <c r="FE175" s="71">
        <f t="shared" si="109"/>
        <v>0</v>
      </c>
      <c r="FF175" s="72">
        <f t="shared" si="110"/>
        <v>0</v>
      </c>
      <c r="FG175" s="65"/>
      <c r="FH175" s="65"/>
      <c r="FI175" s="65"/>
      <c r="FJ175" s="56">
        <f t="shared" si="111"/>
        <v>0</v>
      </c>
      <c r="FK175" s="65"/>
      <c r="FL175" s="65"/>
      <c r="FM175" s="65"/>
      <c r="FN175" s="65"/>
      <c r="FO175" s="67">
        <f t="shared" si="112"/>
        <v>0</v>
      </c>
      <c r="FP175" s="57"/>
      <c r="FQ175" s="73"/>
      <c r="FR175" s="73"/>
      <c r="FS175" s="71">
        <f t="shared" si="113"/>
        <v>0</v>
      </c>
      <c r="FT175" s="91"/>
      <c r="FU175" s="91"/>
      <c r="FV175" s="67">
        <f>SUM(Tableau1[[#This Row],[Droits d''auteurs SACEM + cotisations SACEM]:[Autres ou non préciés]])</f>
        <v>0</v>
      </c>
      <c r="FW175" s="75">
        <f t="shared" si="114"/>
        <v>0</v>
      </c>
      <c r="FX175" s="74">
        <v>0</v>
      </c>
      <c r="FY175" s="74"/>
      <c r="FZ175" s="74"/>
      <c r="GA175" s="74"/>
      <c r="GB175" s="71">
        <f t="shared" si="115"/>
        <v>0</v>
      </c>
      <c r="GC175" s="92"/>
      <c r="GD175" s="92"/>
      <c r="GE175" s="67">
        <f t="shared" si="116"/>
        <v>0</v>
      </c>
      <c r="GF175" s="66"/>
      <c r="GG175" s="66"/>
      <c r="GH175" s="66"/>
      <c r="GI175" s="66"/>
      <c r="GJ175" s="77"/>
    </row>
    <row r="176" spans="1:192" ht="18.600000000000001" customHeight="1" x14ac:dyDescent="0.25">
      <c r="A176" s="89"/>
      <c r="B176" s="17"/>
      <c r="C176" s="50"/>
      <c r="D176" s="140"/>
      <c r="E176" s="51"/>
      <c r="F176" s="139">
        <f t="shared" si="120"/>
        <v>1</v>
      </c>
      <c r="G176" s="49"/>
      <c r="H176" s="50"/>
      <c r="I176" s="122"/>
      <c r="J176" s="49"/>
      <c r="K176" s="50"/>
      <c r="L176" s="50"/>
      <c r="M176" s="90"/>
      <c r="N176" s="50"/>
      <c r="O176" s="50"/>
      <c r="P176" s="90"/>
      <c r="Q176" s="52">
        <f t="shared" si="86"/>
        <v>0</v>
      </c>
      <c r="R176" s="52">
        <f t="shared" si="87"/>
        <v>0</v>
      </c>
      <c r="S176" s="53">
        <f t="shared" si="88"/>
        <v>0</v>
      </c>
      <c r="T176" s="54">
        <f t="shared" si="89"/>
        <v>0</v>
      </c>
      <c r="U176" s="115">
        <f>SUM(Tableau1[[#This Row],[Vente confiserie]:[Vente boisson]])</f>
        <v>0</v>
      </c>
      <c r="V176" s="55"/>
      <c r="W176" s="55"/>
      <c r="X176" s="135">
        <f>SUM(Tableau1[[#This Row],[Vente lunette]:[Location lunette]])</f>
        <v>0</v>
      </c>
      <c r="Y176" s="55"/>
      <c r="Z176" s="55"/>
      <c r="AA176" s="55"/>
      <c r="AB176" s="55"/>
      <c r="AC176" s="56">
        <f t="shared" si="118"/>
        <v>0</v>
      </c>
      <c r="AD176" s="57"/>
      <c r="AE176" s="57"/>
      <c r="AF176" s="57"/>
      <c r="AG176" s="57"/>
      <c r="AH176" s="57"/>
      <c r="AI176" s="57"/>
      <c r="AJ176" s="118">
        <f>(Tableau1[[#This Row],[Recette guichet ]]*1.1275177)-Tableau1[[#This Row],[Recette guichet ]]</f>
        <v>0</v>
      </c>
      <c r="AK176" s="57"/>
      <c r="AL176" s="56">
        <f t="shared" si="119"/>
        <v>0</v>
      </c>
      <c r="AM176" s="58"/>
      <c r="AN176" s="58"/>
      <c r="AO176" s="58"/>
      <c r="AP176" s="115">
        <f t="shared" si="90"/>
        <v>0</v>
      </c>
      <c r="AQ176" s="69"/>
      <c r="AR176" s="69"/>
      <c r="AS176" s="69"/>
      <c r="AT176" s="69"/>
      <c r="AU176" s="59">
        <f t="shared" si="91"/>
        <v>0</v>
      </c>
      <c r="AV176" s="60">
        <f t="shared" si="92"/>
        <v>0</v>
      </c>
      <c r="AW176" s="58"/>
      <c r="AX176" s="58"/>
      <c r="AY176" s="58"/>
      <c r="AZ176" s="60">
        <f t="shared" si="82"/>
        <v>0</v>
      </c>
      <c r="BA176" s="58"/>
      <c r="BB176" s="58"/>
      <c r="BC176" s="58"/>
      <c r="BD176" s="60">
        <f>SUM(Tableau1[[#This Row],[ticket/carte/abonnement périmé]:[Autres ou non précisé 5]])</f>
        <v>0</v>
      </c>
      <c r="BE176" s="58"/>
      <c r="BF176" s="58"/>
      <c r="BG176" s="58"/>
      <c r="BH176" s="61">
        <f t="shared" si="93"/>
        <v>0</v>
      </c>
      <c r="BI176" s="120"/>
      <c r="BJ176" s="120"/>
      <c r="BK176" s="62">
        <f t="shared" si="94"/>
        <v>0</v>
      </c>
      <c r="BL176" s="120"/>
      <c r="BM176" s="120"/>
      <c r="BN176" s="120"/>
      <c r="BO176" s="120"/>
      <c r="BP176" s="120"/>
      <c r="BQ176" s="63"/>
      <c r="BR176" s="52">
        <f t="shared" si="95"/>
        <v>0</v>
      </c>
      <c r="BS176" s="52">
        <f t="shared" si="96"/>
        <v>0</v>
      </c>
      <c r="BT176" s="61">
        <f t="shared" si="97"/>
        <v>0</v>
      </c>
      <c r="BU176" s="64">
        <f t="shared" si="98"/>
        <v>0</v>
      </c>
      <c r="BV176" s="119">
        <f>SUM(Tableau1[[#This Row],[Achats confiserie]:[Achats boisson]])</f>
        <v>0</v>
      </c>
      <c r="BW176" s="58"/>
      <c r="BX176" s="69"/>
      <c r="BY176" s="58"/>
      <c r="BZ176" s="56">
        <f t="shared" si="99"/>
        <v>0</v>
      </c>
      <c r="CA176" s="66"/>
      <c r="CB176" s="66"/>
      <c r="CC176" s="56">
        <f t="shared" si="100"/>
        <v>0</v>
      </c>
      <c r="CD176" s="55"/>
      <c r="CE176" s="65"/>
      <c r="CF176" s="55"/>
      <c r="CG176" s="55"/>
      <c r="CH176" s="67">
        <f t="shared" si="101"/>
        <v>0</v>
      </c>
      <c r="CI176" s="68">
        <f t="shared" si="117"/>
        <v>0</v>
      </c>
      <c r="CJ176" s="55"/>
      <c r="CK176" s="55"/>
      <c r="CL176" s="55"/>
      <c r="CM176" s="55"/>
      <c r="CN176" s="55"/>
      <c r="CO176" s="68">
        <f t="shared" si="102"/>
        <v>0</v>
      </c>
      <c r="CP176" s="75">
        <f>SUM(Tableau1[[#This Row],[Fourniture eau]:[Energie (non précisé)]])</f>
        <v>0</v>
      </c>
      <c r="CQ176" s="55"/>
      <c r="CR176" s="55"/>
      <c r="CS176" s="55"/>
      <c r="CT176" s="55"/>
      <c r="CU176" s="55"/>
      <c r="CV176" s="55">
        <v>0</v>
      </c>
      <c r="CW176" s="55"/>
      <c r="CX176" s="68">
        <f>SUM(Tableau1[[#This Row],[Sous-traitance]:[Autres ou non précisé 12]])</f>
        <v>0</v>
      </c>
      <c r="CY176" s="65"/>
      <c r="CZ176" s="65"/>
      <c r="DA176" s="65"/>
      <c r="DB176" s="65"/>
      <c r="DC176" s="55"/>
      <c r="DD176" s="68">
        <f t="shared" si="83"/>
        <v>0</v>
      </c>
      <c r="DE176" s="55"/>
      <c r="DF176" s="65"/>
      <c r="DG176" s="65"/>
      <c r="DH176" s="65"/>
      <c r="DI176" s="68">
        <f>SUM(Tableau1[[#This Row],[Entretien et réparation matériel de projection]:[Autres ou non précisé 14]])</f>
        <v>0</v>
      </c>
      <c r="DJ176" s="58"/>
      <c r="DK176" s="58"/>
      <c r="DL176" s="69"/>
      <c r="DM176" s="68">
        <f t="shared" si="103"/>
        <v>0</v>
      </c>
      <c r="DN176" s="58"/>
      <c r="DO176" s="58"/>
      <c r="DP176" s="68">
        <f t="shared" si="104"/>
        <v>0</v>
      </c>
      <c r="DQ176" s="65"/>
      <c r="DR176" s="65"/>
      <c r="DS176" s="68">
        <f t="shared" si="105"/>
        <v>0</v>
      </c>
      <c r="DT176" s="65"/>
      <c r="DU176" s="65"/>
      <c r="DV176" s="65"/>
      <c r="DW176" s="68">
        <f>SUM(Tableau1[[#This Row],[Comission et courtage sur achats]:[Autres ou honoraires
 non précisé ]])</f>
        <v>0</v>
      </c>
      <c r="DX176" s="57"/>
      <c r="DY176" s="57"/>
      <c r="DZ176" s="65"/>
      <c r="EA176" s="65"/>
      <c r="EB176" s="65"/>
      <c r="EC176" s="68">
        <f t="shared" si="106"/>
        <v>0</v>
      </c>
      <c r="ED176" s="69"/>
      <c r="EE176" s="69"/>
      <c r="EF176" s="69"/>
      <c r="EG176" s="69"/>
      <c r="EH176" s="69"/>
      <c r="EI176" s="84">
        <f>SUM(Tableau1[[#This Row],[Transports sur films]:[autres ]])</f>
        <v>0</v>
      </c>
      <c r="EJ176" s="132">
        <v>0</v>
      </c>
      <c r="EK176" s="132"/>
      <c r="EL176" s="68">
        <f t="shared" si="107"/>
        <v>0</v>
      </c>
      <c r="EM176" s="65"/>
      <c r="EN176" s="65">
        <v>0</v>
      </c>
      <c r="EO176" s="65"/>
      <c r="EP176" s="65"/>
      <c r="EQ176" s="65"/>
      <c r="ER176" s="65"/>
      <c r="ES176" s="65"/>
      <c r="ET176" s="68">
        <f t="shared" si="108"/>
        <v>0</v>
      </c>
      <c r="EU176" s="65"/>
      <c r="EV176" s="65"/>
      <c r="EW176" s="65"/>
      <c r="EX176" s="65"/>
      <c r="EY176" s="65"/>
      <c r="EZ176" s="68">
        <f t="shared" si="85"/>
        <v>0</v>
      </c>
      <c r="FA176" s="65"/>
      <c r="FB176" s="65"/>
      <c r="FC176" s="70">
        <f t="shared" si="84"/>
        <v>0</v>
      </c>
      <c r="FD176" s="65"/>
      <c r="FE176" s="71">
        <f t="shared" si="109"/>
        <v>0</v>
      </c>
      <c r="FF176" s="72">
        <f t="shared" si="110"/>
        <v>0</v>
      </c>
      <c r="FG176" s="65"/>
      <c r="FH176" s="65"/>
      <c r="FI176" s="65"/>
      <c r="FJ176" s="56">
        <f t="shared" si="111"/>
        <v>0</v>
      </c>
      <c r="FK176" s="65"/>
      <c r="FL176" s="65"/>
      <c r="FM176" s="65"/>
      <c r="FN176" s="65"/>
      <c r="FO176" s="67">
        <f t="shared" si="112"/>
        <v>0</v>
      </c>
      <c r="FP176" s="57"/>
      <c r="FQ176" s="73"/>
      <c r="FR176" s="73"/>
      <c r="FS176" s="71">
        <f t="shared" si="113"/>
        <v>0</v>
      </c>
      <c r="FT176" s="91"/>
      <c r="FU176" s="91"/>
      <c r="FV176" s="67">
        <f>SUM(Tableau1[[#This Row],[Droits d''auteurs SACEM + cotisations SACEM]:[Autres ou non préciés]])</f>
        <v>0</v>
      </c>
      <c r="FW176" s="75">
        <f t="shared" si="114"/>
        <v>0</v>
      </c>
      <c r="FX176" s="74">
        <v>0</v>
      </c>
      <c r="FY176" s="74"/>
      <c r="FZ176" s="74"/>
      <c r="GA176" s="74"/>
      <c r="GB176" s="71">
        <f t="shared" si="115"/>
        <v>0</v>
      </c>
      <c r="GC176" s="92"/>
      <c r="GD176" s="92"/>
      <c r="GE176" s="67">
        <f t="shared" si="116"/>
        <v>0</v>
      </c>
      <c r="GF176" s="66"/>
      <c r="GG176" s="66"/>
      <c r="GH176" s="66"/>
      <c r="GI176" s="66"/>
      <c r="GJ176" s="77"/>
    </row>
    <row r="177" spans="1:192" ht="18.600000000000001" customHeight="1" x14ac:dyDescent="0.25">
      <c r="A177" s="89"/>
      <c r="B177" s="17"/>
      <c r="C177" s="50"/>
      <c r="D177" s="140"/>
      <c r="E177" s="51"/>
      <c r="F177" s="139">
        <f t="shared" si="120"/>
        <v>1</v>
      </c>
      <c r="G177" s="49"/>
      <c r="H177" s="50"/>
      <c r="I177" s="122"/>
      <c r="J177" s="49"/>
      <c r="K177" s="50"/>
      <c r="L177" s="50"/>
      <c r="M177" s="90"/>
      <c r="N177" s="50"/>
      <c r="O177" s="50"/>
      <c r="P177" s="90"/>
      <c r="Q177" s="52">
        <f t="shared" si="86"/>
        <v>0</v>
      </c>
      <c r="R177" s="52">
        <f t="shared" si="87"/>
        <v>0</v>
      </c>
      <c r="S177" s="53">
        <f t="shared" si="88"/>
        <v>0</v>
      </c>
      <c r="T177" s="54">
        <f t="shared" si="89"/>
        <v>0</v>
      </c>
      <c r="U177" s="115">
        <f>SUM(Tableau1[[#This Row],[Vente confiserie]:[Vente boisson]])</f>
        <v>0</v>
      </c>
      <c r="V177" s="55"/>
      <c r="W177" s="55"/>
      <c r="X177" s="135">
        <f>SUM(Tableau1[[#This Row],[Vente lunette]:[Location lunette]])</f>
        <v>0</v>
      </c>
      <c r="Y177" s="55"/>
      <c r="Z177" s="55"/>
      <c r="AA177" s="55"/>
      <c r="AB177" s="55"/>
      <c r="AC177" s="56">
        <f t="shared" si="118"/>
        <v>0</v>
      </c>
      <c r="AD177" s="57"/>
      <c r="AE177" s="57"/>
      <c r="AF177" s="57"/>
      <c r="AG177" s="57"/>
      <c r="AH177" s="57"/>
      <c r="AI177" s="57"/>
      <c r="AJ177" s="118">
        <f>(Tableau1[[#This Row],[Recette guichet ]]*1.1275177)-Tableau1[[#This Row],[Recette guichet ]]</f>
        <v>0</v>
      </c>
      <c r="AK177" s="57"/>
      <c r="AL177" s="56">
        <f t="shared" si="119"/>
        <v>0</v>
      </c>
      <c r="AM177" s="58"/>
      <c r="AN177" s="58"/>
      <c r="AO177" s="58"/>
      <c r="AP177" s="115">
        <f t="shared" si="90"/>
        <v>0</v>
      </c>
      <c r="AQ177" s="69"/>
      <c r="AR177" s="69"/>
      <c r="AS177" s="69"/>
      <c r="AT177" s="69"/>
      <c r="AU177" s="59">
        <f t="shared" si="91"/>
        <v>0</v>
      </c>
      <c r="AV177" s="60">
        <f t="shared" si="92"/>
        <v>0</v>
      </c>
      <c r="AW177" s="58"/>
      <c r="AX177" s="58"/>
      <c r="AY177" s="58"/>
      <c r="AZ177" s="60">
        <f t="shared" si="82"/>
        <v>0</v>
      </c>
      <c r="BA177" s="58"/>
      <c r="BB177" s="58"/>
      <c r="BC177" s="58"/>
      <c r="BD177" s="60">
        <f>SUM(Tableau1[[#This Row],[ticket/carte/abonnement périmé]:[Autres ou non précisé 5]])</f>
        <v>0</v>
      </c>
      <c r="BE177" s="58"/>
      <c r="BF177" s="58"/>
      <c r="BG177" s="58"/>
      <c r="BH177" s="61">
        <f t="shared" si="93"/>
        <v>0</v>
      </c>
      <c r="BI177" s="120"/>
      <c r="BJ177" s="120"/>
      <c r="BK177" s="62">
        <f t="shared" si="94"/>
        <v>0</v>
      </c>
      <c r="BL177" s="120"/>
      <c r="BM177" s="120"/>
      <c r="BN177" s="120"/>
      <c r="BO177" s="120"/>
      <c r="BP177" s="120"/>
      <c r="BQ177" s="63"/>
      <c r="BR177" s="52">
        <f t="shared" si="95"/>
        <v>0</v>
      </c>
      <c r="BS177" s="52">
        <f t="shared" si="96"/>
        <v>0</v>
      </c>
      <c r="BT177" s="61">
        <f t="shared" si="97"/>
        <v>0</v>
      </c>
      <c r="BU177" s="64">
        <f t="shared" si="98"/>
        <v>0</v>
      </c>
      <c r="BV177" s="119">
        <f>SUM(Tableau1[[#This Row],[Achats confiserie]:[Achats boisson]])</f>
        <v>0</v>
      </c>
      <c r="BW177" s="58"/>
      <c r="BX177" s="69"/>
      <c r="BY177" s="58"/>
      <c r="BZ177" s="56">
        <f t="shared" si="99"/>
        <v>0</v>
      </c>
      <c r="CA177" s="66"/>
      <c r="CB177" s="66"/>
      <c r="CC177" s="56">
        <f t="shared" si="100"/>
        <v>0</v>
      </c>
      <c r="CD177" s="55"/>
      <c r="CE177" s="65"/>
      <c r="CF177" s="55"/>
      <c r="CG177" s="55"/>
      <c r="CH177" s="67">
        <f t="shared" si="101"/>
        <v>0</v>
      </c>
      <c r="CI177" s="68">
        <f t="shared" si="117"/>
        <v>0</v>
      </c>
      <c r="CJ177" s="55"/>
      <c r="CK177" s="55"/>
      <c r="CL177" s="55"/>
      <c r="CM177" s="55"/>
      <c r="CN177" s="55"/>
      <c r="CO177" s="68">
        <f t="shared" si="102"/>
        <v>0</v>
      </c>
      <c r="CP177" s="75">
        <f>SUM(Tableau1[[#This Row],[Fourniture eau]:[Energie (non précisé)]])</f>
        <v>0</v>
      </c>
      <c r="CQ177" s="55"/>
      <c r="CR177" s="55"/>
      <c r="CS177" s="55"/>
      <c r="CT177" s="55"/>
      <c r="CU177" s="55"/>
      <c r="CV177" s="55">
        <v>0</v>
      </c>
      <c r="CW177" s="55"/>
      <c r="CX177" s="68">
        <f>SUM(Tableau1[[#This Row],[Sous-traitance]:[Autres ou non précisé 12]])</f>
        <v>0</v>
      </c>
      <c r="CY177" s="65"/>
      <c r="CZ177" s="65"/>
      <c r="DA177" s="65"/>
      <c r="DB177" s="65"/>
      <c r="DC177" s="55"/>
      <c r="DD177" s="68">
        <f t="shared" si="83"/>
        <v>0</v>
      </c>
      <c r="DE177" s="55"/>
      <c r="DF177" s="65"/>
      <c r="DG177" s="65"/>
      <c r="DH177" s="65"/>
      <c r="DI177" s="68">
        <f>SUM(Tableau1[[#This Row],[Entretien et réparation matériel de projection]:[Autres ou non précisé 14]])</f>
        <v>0</v>
      </c>
      <c r="DJ177" s="58"/>
      <c r="DK177" s="58"/>
      <c r="DL177" s="69"/>
      <c r="DM177" s="68">
        <f t="shared" si="103"/>
        <v>0</v>
      </c>
      <c r="DN177" s="58"/>
      <c r="DO177" s="58"/>
      <c r="DP177" s="68">
        <f t="shared" si="104"/>
        <v>0</v>
      </c>
      <c r="DQ177" s="65"/>
      <c r="DR177" s="65"/>
      <c r="DS177" s="68">
        <f t="shared" si="105"/>
        <v>0</v>
      </c>
      <c r="DT177" s="65"/>
      <c r="DU177" s="65"/>
      <c r="DV177" s="65"/>
      <c r="DW177" s="68">
        <f>SUM(Tableau1[[#This Row],[Comission et courtage sur achats]:[Autres ou honoraires
 non précisé ]])</f>
        <v>0</v>
      </c>
      <c r="DX177" s="57"/>
      <c r="DY177" s="57"/>
      <c r="DZ177" s="65"/>
      <c r="EA177" s="65"/>
      <c r="EB177" s="65"/>
      <c r="EC177" s="68">
        <f t="shared" si="106"/>
        <v>0</v>
      </c>
      <c r="ED177" s="69"/>
      <c r="EE177" s="69"/>
      <c r="EF177" s="69"/>
      <c r="EG177" s="69"/>
      <c r="EH177" s="69"/>
      <c r="EI177" s="84">
        <f>SUM(Tableau1[[#This Row],[Transports sur films]:[autres ]])</f>
        <v>0</v>
      </c>
      <c r="EJ177" s="132">
        <v>0</v>
      </c>
      <c r="EK177" s="132"/>
      <c r="EL177" s="68">
        <f t="shared" si="107"/>
        <v>0</v>
      </c>
      <c r="EM177" s="65"/>
      <c r="EN177" s="65">
        <v>0</v>
      </c>
      <c r="EO177" s="65"/>
      <c r="EP177" s="65"/>
      <c r="EQ177" s="65"/>
      <c r="ER177" s="65"/>
      <c r="ES177" s="65"/>
      <c r="ET177" s="68">
        <f t="shared" si="108"/>
        <v>0</v>
      </c>
      <c r="EU177" s="65"/>
      <c r="EV177" s="65"/>
      <c r="EW177" s="65"/>
      <c r="EX177" s="65"/>
      <c r="EY177" s="65"/>
      <c r="EZ177" s="68">
        <f t="shared" si="85"/>
        <v>0</v>
      </c>
      <c r="FA177" s="65"/>
      <c r="FB177" s="65"/>
      <c r="FC177" s="70">
        <f t="shared" si="84"/>
        <v>0</v>
      </c>
      <c r="FD177" s="65"/>
      <c r="FE177" s="71">
        <f t="shared" si="109"/>
        <v>0</v>
      </c>
      <c r="FF177" s="72">
        <f t="shared" si="110"/>
        <v>0</v>
      </c>
      <c r="FG177" s="65"/>
      <c r="FH177" s="65"/>
      <c r="FI177" s="65"/>
      <c r="FJ177" s="56">
        <f t="shared" si="111"/>
        <v>0</v>
      </c>
      <c r="FK177" s="65"/>
      <c r="FL177" s="65"/>
      <c r="FM177" s="65"/>
      <c r="FN177" s="65"/>
      <c r="FO177" s="67">
        <f t="shared" si="112"/>
        <v>0</v>
      </c>
      <c r="FP177" s="57"/>
      <c r="FQ177" s="73"/>
      <c r="FR177" s="73"/>
      <c r="FS177" s="71">
        <f t="shared" si="113"/>
        <v>0</v>
      </c>
      <c r="FT177" s="91"/>
      <c r="FU177" s="91"/>
      <c r="FV177" s="67">
        <f>SUM(Tableau1[[#This Row],[Droits d''auteurs SACEM + cotisations SACEM]:[Autres ou non préciés]])</f>
        <v>0</v>
      </c>
      <c r="FW177" s="75">
        <f t="shared" si="114"/>
        <v>0</v>
      </c>
      <c r="FX177" s="74">
        <v>0</v>
      </c>
      <c r="FY177" s="74"/>
      <c r="FZ177" s="74"/>
      <c r="GA177" s="74"/>
      <c r="GB177" s="71">
        <f t="shared" si="115"/>
        <v>0</v>
      </c>
      <c r="GC177" s="92"/>
      <c r="GD177" s="92"/>
      <c r="GE177" s="67">
        <f t="shared" si="116"/>
        <v>0</v>
      </c>
      <c r="GF177" s="66"/>
      <c r="GG177" s="66"/>
      <c r="GH177" s="66"/>
      <c r="GI177" s="66"/>
      <c r="GJ177" s="77"/>
    </row>
    <row r="178" spans="1:192" ht="18.600000000000001" customHeight="1" x14ac:dyDescent="0.25">
      <c r="A178" s="89"/>
      <c r="B178" s="17"/>
      <c r="C178" s="50"/>
      <c r="D178" s="140"/>
      <c r="E178" s="51"/>
      <c r="F178" s="139">
        <f t="shared" si="120"/>
        <v>1</v>
      </c>
      <c r="G178" s="49"/>
      <c r="H178" s="50"/>
      <c r="I178" s="122"/>
      <c r="J178" s="49"/>
      <c r="K178" s="50"/>
      <c r="L178" s="50"/>
      <c r="M178" s="90"/>
      <c r="N178" s="50"/>
      <c r="O178" s="50"/>
      <c r="P178" s="90"/>
      <c r="Q178" s="52">
        <f t="shared" si="86"/>
        <v>0</v>
      </c>
      <c r="R178" s="52">
        <f t="shared" si="87"/>
        <v>0</v>
      </c>
      <c r="S178" s="53">
        <f t="shared" si="88"/>
        <v>0</v>
      </c>
      <c r="T178" s="54">
        <f t="shared" si="89"/>
        <v>0</v>
      </c>
      <c r="U178" s="115">
        <f>SUM(Tableau1[[#This Row],[Vente confiserie]:[Vente boisson]])</f>
        <v>0</v>
      </c>
      <c r="V178" s="55"/>
      <c r="W178" s="55"/>
      <c r="X178" s="135">
        <f>SUM(Tableau1[[#This Row],[Vente lunette]:[Location lunette]])</f>
        <v>0</v>
      </c>
      <c r="Y178" s="55"/>
      <c r="Z178" s="55"/>
      <c r="AA178" s="55"/>
      <c r="AB178" s="55"/>
      <c r="AC178" s="56">
        <f t="shared" si="118"/>
        <v>0</v>
      </c>
      <c r="AD178" s="57"/>
      <c r="AE178" s="57"/>
      <c r="AF178" s="57"/>
      <c r="AG178" s="57"/>
      <c r="AH178" s="57"/>
      <c r="AI178" s="57"/>
      <c r="AJ178" s="118">
        <f>(Tableau1[[#This Row],[Recette guichet ]]*1.1275177)-Tableau1[[#This Row],[Recette guichet ]]</f>
        <v>0</v>
      </c>
      <c r="AK178" s="57"/>
      <c r="AL178" s="56">
        <f t="shared" si="119"/>
        <v>0</v>
      </c>
      <c r="AM178" s="58"/>
      <c r="AN178" s="58"/>
      <c r="AO178" s="58"/>
      <c r="AP178" s="115">
        <f t="shared" si="90"/>
        <v>0</v>
      </c>
      <c r="AQ178" s="69"/>
      <c r="AR178" s="69"/>
      <c r="AS178" s="69"/>
      <c r="AT178" s="69"/>
      <c r="AU178" s="59">
        <f t="shared" si="91"/>
        <v>0</v>
      </c>
      <c r="AV178" s="60">
        <f t="shared" si="92"/>
        <v>0</v>
      </c>
      <c r="AW178" s="58"/>
      <c r="AX178" s="58"/>
      <c r="AY178" s="58"/>
      <c r="AZ178" s="60">
        <f t="shared" si="82"/>
        <v>0</v>
      </c>
      <c r="BA178" s="58"/>
      <c r="BB178" s="58"/>
      <c r="BC178" s="58"/>
      <c r="BD178" s="60">
        <f>SUM(Tableau1[[#This Row],[ticket/carte/abonnement périmé]:[Autres ou non précisé 5]])</f>
        <v>0</v>
      </c>
      <c r="BE178" s="58"/>
      <c r="BF178" s="58"/>
      <c r="BG178" s="58"/>
      <c r="BH178" s="61">
        <f t="shared" si="93"/>
        <v>0</v>
      </c>
      <c r="BI178" s="120"/>
      <c r="BJ178" s="120"/>
      <c r="BK178" s="62">
        <f t="shared" si="94"/>
        <v>0</v>
      </c>
      <c r="BL178" s="120"/>
      <c r="BM178" s="120"/>
      <c r="BN178" s="120"/>
      <c r="BO178" s="120"/>
      <c r="BP178" s="120"/>
      <c r="BQ178" s="63"/>
      <c r="BR178" s="52">
        <f t="shared" si="95"/>
        <v>0</v>
      </c>
      <c r="BS178" s="52">
        <f t="shared" si="96"/>
        <v>0</v>
      </c>
      <c r="BT178" s="61">
        <f t="shared" si="97"/>
        <v>0</v>
      </c>
      <c r="BU178" s="64">
        <f t="shared" si="98"/>
        <v>0</v>
      </c>
      <c r="BV178" s="119">
        <f>SUM(Tableau1[[#This Row],[Achats confiserie]:[Achats boisson]])</f>
        <v>0</v>
      </c>
      <c r="BW178" s="58"/>
      <c r="BX178" s="69"/>
      <c r="BY178" s="58"/>
      <c r="BZ178" s="56">
        <f t="shared" si="99"/>
        <v>0</v>
      </c>
      <c r="CA178" s="66"/>
      <c r="CB178" s="66"/>
      <c r="CC178" s="56">
        <f t="shared" si="100"/>
        <v>0</v>
      </c>
      <c r="CD178" s="55"/>
      <c r="CE178" s="65"/>
      <c r="CF178" s="55"/>
      <c r="CG178" s="55"/>
      <c r="CH178" s="67">
        <f t="shared" si="101"/>
        <v>0</v>
      </c>
      <c r="CI178" s="68">
        <f t="shared" si="117"/>
        <v>0</v>
      </c>
      <c r="CJ178" s="55"/>
      <c r="CK178" s="55"/>
      <c r="CL178" s="55"/>
      <c r="CM178" s="55"/>
      <c r="CN178" s="55"/>
      <c r="CO178" s="68">
        <f t="shared" si="102"/>
        <v>0</v>
      </c>
      <c r="CP178" s="75">
        <f>SUM(Tableau1[[#This Row],[Fourniture eau]:[Energie (non précisé)]])</f>
        <v>0</v>
      </c>
      <c r="CQ178" s="55"/>
      <c r="CR178" s="55"/>
      <c r="CS178" s="55"/>
      <c r="CT178" s="55"/>
      <c r="CU178" s="55"/>
      <c r="CV178" s="55">
        <v>0</v>
      </c>
      <c r="CW178" s="55"/>
      <c r="CX178" s="68">
        <f>SUM(Tableau1[[#This Row],[Sous-traitance]:[Autres ou non précisé 12]])</f>
        <v>0</v>
      </c>
      <c r="CY178" s="65"/>
      <c r="CZ178" s="65"/>
      <c r="DA178" s="65"/>
      <c r="DB178" s="65"/>
      <c r="DC178" s="55"/>
      <c r="DD178" s="68">
        <f t="shared" si="83"/>
        <v>0</v>
      </c>
      <c r="DE178" s="55"/>
      <c r="DF178" s="65"/>
      <c r="DG178" s="65"/>
      <c r="DH178" s="65"/>
      <c r="DI178" s="68">
        <f>SUM(Tableau1[[#This Row],[Entretien et réparation matériel de projection]:[Autres ou non précisé 14]])</f>
        <v>0</v>
      </c>
      <c r="DJ178" s="58"/>
      <c r="DK178" s="58"/>
      <c r="DL178" s="69"/>
      <c r="DM178" s="68">
        <f t="shared" si="103"/>
        <v>0</v>
      </c>
      <c r="DN178" s="58"/>
      <c r="DO178" s="58"/>
      <c r="DP178" s="68">
        <f t="shared" si="104"/>
        <v>0</v>
      </c>
      <c r="DQ178" s="65"/>
      <c r="DR178" s="65"/>
      <c r="DS178" s="68">
        <f t="shared" si="105"/>
        <v>0</v>
      </c>
      <c r="DT178" s="65"/>
      <c r="DU178" s="65"/>
      <c r="DV178" s="65"/>
      <c r="DW178" s="68">
        <f>SUM(Tableau1[[#This Row],[Comission et courtage sur achats]:[Autres ou honoraires
 non précisé ]])</f>
        <v>0</v>
      </c>
      <c r="DX178" s="57"/>
      <c r="DY178" s="57"/>
      <c r="DZ178" s="65"/>
      <c r="EA178" s="65"/>
      <c r="EB178" s="65"/>
      <c r="EC178" s="68">
        <f t="shared" si="106"/>
        <v>0</v>
      </c>
      <c r="ED178" s="69"/>
      <c r="EE178" s="69"/>
      <c r="EF178" s="69"/>
      <c r="EG178" s="69"/>
      <c r="EH178" s="69"/>
      <c r="EI178" s="84">
        <f>SUM(Tableau1[[#This Row],[Transports sur films]:[autres ]])</f>
        <v>0</v>
      </c>
      <c r="EJ178" s="132">
        <v>0</v>
      </c>
      <c r="EK178" s="132"/>
      <c r="EL178" s="68">
        <f t="shared" si="107"/>
        <v>0</v>
      </c>
      <c r="EM178" s="65"/>
      <c r="EN178" s="65">
        <v>0</v>
      </c>
      <c r="EO178" s="65"/>
      <c r="EP178" s="65"/>
      <c r="EQ178" s="65"/>
      <c r="ER178" s="65"/>
      <c r="ES178" s="65"/>
      <c r="ET178" s="68">
        <f t="shared" si="108"/>
        <v>0</v>
      </c>
      <c r="EU178" s="65"/>
      <c r="EV178" s="65"/>
      <c r="EW178" s="65"/>
      <c r="EX178" s="65"/>
      <c r="EY178" s="65"/>
      <c r="EZ178" s="68">
        <f t="shared" si="85"/>
        <v>0</v>
      </c>
      <c r="FA178" s="65"/>
      <c r="FB178" s="65"/>
      <c r="FC178" s="70">
        <f t="shared" si="84"/>
        <v>0</v>
      </c>
      <c r="FD178" s="65"/>
      <c r="FE178" s="71">
        <f t="shared" si="109"/>
        <v>0</v>
      </c>
      <c r="FF178" s="72">
        <f t="shared" si="110"/>
        <v>0</v>
      </c>
      <c r="FG178" s="65"/>
      <c r="FH178" s="65"/>
      <c r="FI178" s="65"/>
      <c r="FJ178" s="56">
        <f t="shared" si="111"/>
        <v>0</v>
      </c>
      <c r="FK178" s="65"/>
      <c r="FL178" s="65"/>
      <c r="FM178" s="65"/>
      <c r="FN178" s="65"/>
      <c r="FO178" s="67">
        <f t="shared" si="112"/>
        <v>0</v>
      </c>
      <c r="FP178" s="57"/>
      <c r="FQ178" s="73"/>
      <c r="FR178" s="73"/>
      <c r="FS178" s="71">
        <f t="shared" si="113"/>
        <v>0</v>
      </c>
      <c r="FT178" s="91"/>
      <c r="FU178" s="91"/>
      <c r="FV178" s="67">
        <f>SUM(Tableau1[[#This Row],[Droits d''auteurs SACEM + cotisations SACEM]:[Autres ou non préciés]])</f>
        <v>0</v>
      </c>
      <c r="FW178" s="75">
        <f t="shared" si="114"/>
        <v>0</v>
      </c>
      <c r="FX178" s="74">
        <v>0</v>
      </c>
      <c r="FY178" s="74"/>
      <c r="FZ178" s="74"/>
      <c r="GA178" s="74"/>
      <c r="GB178" s="71">
        <f t="shared" si="115"/>
        <v>0</v>
      </c>
      <c r="GC178" s="92"/>
      <c r="GD178" s="92"/>
      <c r="GE178" s="67">
        <f t="shared" si="116"/>
        <v>0</v>
      </c>
      <c r="GF178" s="66"/>
      <c r="GG178" s="66"/>
      <c r="GH178" s="66"/>
      <c r="GI178" s="66"/>
      <c r="GJ178" s="77"/>
    </row>
    <row r="179" spans="1:192" ht="18.600000000000001" customHeight="1" x14ac:dyDescent="0.25">
      <c r="A179" s="89"/>
      <c r="B179" s="17"/>
      <c r="C179" s="50"/>
      <c r="D179" s="140"/>
      <c r="E179" s="51"/>
      <c r="F179" s="139">
        <f t="shared" si="120"/>
        <v>1</v>
      </c>
      <c r="G179" s="49"/>
      <c r="H179" s="50"/>
      <c r="I179" s="122"/>
      <c r="J179" s="49"/>
      <c r="K179" s="50"/>
      <c r="L179" s="50"/>
      <c r="M179" s="90"/>
      <c r="N179" s="50"/>
      <c r="O179" s="50"/>
      <c r="P179" s="90"/>
      <c r="Q179" s="52">
        <f t="shared" si="86"/>
        <v>0</v>
      </c>
      <c r="R179" s="52">
        <f t="shared" si="87"/>
        <v>0</v>
      </c>
      <c r="S179" s="53">
        <f t="shared" si="88"/>
        <v>0</v>
      </c>
      <c r="T179" s="54">
        <f t="shared" si="89"/>
        <v>0</v>
      </c>
      <c r="U179" s="115">
        <f>SUM(Tableau1[[#This Row],[Vente confiserie]:[Vente boisson]])</f>
        <v>0</v>
      </c>
      <c r="V179" s="55"/>
      <c r="W179" s="55"/>
      <c r="X179" s="135">
        <f>SUM(Tableau1[[#This Row],[Vente lunette]:[Location lunette]])</f>
        <v>0</v>
      </c>
      <c r="Y179" s="55"/>
      <c r="Z179" s="55"/>
      <c r="AA179" s="55"/>
      <c r="AB179" s="55"/>
      <c r="AC179" s="56">
        <f t="shared" si="118"/>
        <v>0</v>
      </c>
      <c r="AD179" s="57"/>
      <c r="AE179" s="57"/>
      <c r="AF179" s="57"/>
      <c r="AG179" s="57"/>
      <c r="AH179" s="57"/>
      <c r="AI179" s="57"/>
      <c r="AJ179" s="118">
        <f>(Tableau1[[#This Row],[Recette guichet ]]*1.1275177)-Tableau1[[#This Row],[Recette guichet ]]</f>
        <v>0</v>
      </c>
      <c r="AK179" s="57"/>
      <c r="AL179" s="56">
        <f t="shared" si="119"/>
        <v>0</v>
      </c>
      <c r="AM179" s="58"/>
      <c r="AN179" s="58"/>
      <c r="AO179" s="58"/>
      <c r="AP179" s="115">
        <f t="shared" si="90"/>
        <v>0</v>
      </c>
      <c r="AQ179" s="69"/>
      <c r="AR179" s="69"/>
      <c r="AS179" s="69"/>
      <c r="AT179" s="69"/>
      <c r="AU179" s="59">
        <f t="shared" si="91"/>
        <v>0</v>
      </c>
      <c r="AV179" s="60">
        <f t="shared" si="92"/>
        <v>0</v>
      </c>
      <c r="AW179" s="58"/>
      <c r="AX179" s="58"/>
      <c r="AY179" s="58"/>
      <c r="AZ179" s="60">
        <f t="shared" si="82"/>
        <v>0</v>
      </c>
      <c r="BA179" s="58"/>
      <c r="BB179" s="58"/>
      <c r="BC179" s="58"/>
      <c r="BD179" s="60">
        <f>SUM(Tableau1[[#This Row],[ticket/carte/abonnement périmé]:[Autres ou non précisé 5]])</f>
        <v>0</v>
      </c>
      <c r="BE179" s="58"/>
      <c r="BF179" s="58"/>
      <c r="BG179" s="58"/>
      <c r="BH179" s="61">
        <f t="shared" si="93"/>
        <v>0</v>
      </c>
      <c r="BI179" s="120"/>
      <c r="BJ179" s="120"/>
      <c r="BK179" s="62">
        <f t="shared" si="94"/>
        <v>0</v>
      </c>
      <c r="BL179" s="120"/>
      <c r="BM179" s="120"/>
      <c r="BN179" s="120"/>
      <c r="BO179" s="120"/>
      <c r="BP179" s="120"/>
      <c r="BQ179" s="63"/>
      <c r="BR179" s="52">
        <f t="shared" si="95"/>
        <v>0</v>
      </c>
      <c r="BS179" s="52">
        <f t="shared" si="96"/>
        <v>0</v>
      </c>
      <c r="BT179" s="61">
        <f t="shared" si="97"/>
        <v>0</v>
      </c>
      <c r="BU179" s="64">
        <f t="shared" si="98"/>
        <v>0</v>
      </c>
      <c r="BV179" s="119">
        <f>SUM(Tableau1[[#This Row],[Achats confiserie]:[Achats boisson]])</f>
        <v>0</v>
      </c>
      <c r="BW179" s="58"/>
      <c r="BX179" s="69"/>
      <c r="BY179" s="58"/>
      <c r="BZ179" s="56">
        <f t="shared" si="99"/>
        <v>0</v>
      </c>
      <c r="CA179" s="66"/>
      <c r="CB179" s="66"/>
      <c r="CC179" s="56">
        <f t="shared" si="100"/>
        <v>0</v>
      </c>
      <c r="CD179" s="55"/>
      <c r="CE179" s="65"/>
      <c r="CF179" s="55"/>
      <c r="CG179" s="55"/>
      <c r="CH179" s="67">
        <f t="shared" si="101"/>
        <v>0</v>
      </c>
      <c r="CI179" s="68">
        <f t="shared" si="117"/>
        <v>0</v>
      </c>
      <c r="CJ179" s="55"/>
      <c r="CK179" s="55"/>
      <c r="CL179" s="55"/>
      <c r="CM179" s="55"/>
      <c r="CN179" s="55"/>
      <c r="CO179" s="68">
        <f t="shared" si="102"/>
        <v>0</v>
      </c>
      <c r="CP179" s="75">
        <f>SUM(Tableau1[[#This Row],[Fourniture eau]:[Energie (non précisé)]])</f>
        <v>0</v>
      </c>
      <c r="CQ179" s="55"/>
      <c r="CR179" s="55"/>
      <c r="CS179" s="55"/>
      <c r="CT179" s="55"/>
      <c r="CU179" s="55"/>
      <c r="CV179" s="55">
        <v>0</v>
      </c>
      <c r="CW179" s="55"/>
      <c r="CX179" s="68">
        <f>SUM(Tableau1[[#This Row],[Sous-traitance]:[Autres ou non précisé 12]])</f>
        <v>0</v>
      </c>
      <c r="CY179" s="65"/>
      <c r="CZ179" s="65"/>
      <c r="DA179" s="65"/>
      <c r="DB179" s="65"/>
      <c r="DC179" s="55"/>
      <c r="DD179" s="68">
        <f t="shared" si="83"/>
        <v>0</v>
      </c>
      <c r="DE179" s="55"/>
      <c r="DF179" s="65"/>
      <c r="DG179" s="65"/>
      <c r="DH179" s="65"/>
      <c r="DI179" s="68">
        <f>SUM(Tableau1[[#This Row],[Entretien et réparation matériel de projection]:[Autres ou non précisé 14]])</f>
        <v>0</v>
      </c>
      <c r="DJ179" s="58"/>
      <c r="DK179" s="58"/>
      <c r="DL179" s="69"/>
      <c r="DM179" s="68">
        <f t="shared" si="103"/>
        <v>0</v>
      </c>
      <c r="DN179" s="58"/>
      <c r="DO179" s="58"/>
      <c r="DP179" s="68">
        <f t="shared" si="104"/>
        <v>0</v>
      </c>
      <c r="DQ179" s="65"/>
      <c r="DR179" s="65"/>
      <c r="DS179" s="68">
        <f t="shared" si="105"/>
        <v>0</v>
      </c>
      <c r="DT179" s="65"/>
      <c r="DU179" s="65"/>
      <c r="DV179" s="65"/>
      <c r="DW179" s="68">
        <f>SUM(Tableau1[[#This Row],[Comission et courtage sur achats]:[Autres ou honoraires
 non précisé ]])</f>
        <v>0</v>
      </c>
      <c r="DX179" s="57"/>
      <c r="DY179" s="57"/>
      <c r="DZ179" s="65"/>
      <c r="EA179" s="65"/>
      <c r="EB179" s="65"/>
      <c r="EC179" s="68">
        <f t="shared" si="106"/>
        <v>0</v>
      </c>
      <c r="ED179" s="69"/>
      <c r="EE179" s="69"/>
      <c r="EF179" s="69"/>
      <c r="EG179" s="69"/>
      <c r="EH179" s="69"/>
      <c r="EI179" s="84">
        <f>SUM(Tableau1[[#This Row],[Transports sur films]:[autres ]])</f>
        <v>0</v>
      </c>
      <c r="EJ179" s="132">
        <v>0</v>
      </c>
      <c r="EK179" s="132"/>
      <c r="EL179" s="68">
        <f t="shared" si="107"/>
        <v>0</v>
      </c>
      <c r="EM179" s="65"/>
      <c r="EN179" s="65">
        <v>0</v>
      </c>
      <c r="EO179" s="65"/>
      <c r="EP179" s="65"/>
      <c r="EQ179" s="65"/>
      <c r="ER179" s="65"/>
      <c r="ES179" s="65"/>
      <c r="ET179" s="68">
        <f t="shared" si="108"/>
        <v>0</v>
      </c>
      <c r="EU179" s="65"/>
      <c r="EV179" s="65"/>
      <c r="EW179" s="65"/>
      <c r="EX179" s="65"/>
      <c r="EY179" s="65"/>
      <c r="EZ179" s="68">
        <f t="shared" si="85"/>
        <v>0</v>
      </c>
      <c r="FA179" s="65"/>
      <c r="FB179" s="65"/>
      <c r="FC179" s="70">
        <f t="shared" si="84"/>
        <v>0</v>
      </c>
      <c r="FD179" s="65"/>
      <c r="FE179" s="71">
        <f t="shared" si="109"/>
        <v>0</v>
      </c>
      <c r="FF179" s="72">
        <f t="shared" si="110"/>
        <v>0</v>
      </c>
      <c r="FG179" s="65"/>
      <c r="FH179" s="65"/>
      <c r="FI179" s="65"/>
      <c r="FJ179" s="56">
        <f t="shared" si="111"/>
        <v>0</v>
      </c>
      <c r="FK179" s="65"/>
      <c r="FL179" s="65"/>
      <c r="FM179" s="65"/>
      <c r="FN179" s="65"/>
      <c r="FO179" s="67">
        <f t="shared" si="112"/>
        <v>0</v>
      </c>
      <c r="FP179" s="57"/>
      <c r="FQ179" s="73"/>
      <c r="FR179" s="73"/>
      <c r="FS179" s="71">
        <f t="shared" si="113"/>
        <v>0</v>
      </c>
      <c r="FT179" s="91"/>
      <c r="FU179" s="91"/>
      <c r="FV179" s="67">
        <f>SUM(Tableau1[[#This Row],[Droits d''auteurs SACEM + cotisations SACEM]:[Autres ou non préciés]])</f>
        <v>0</v>
      </c>
      <c r="FW179" s="75">
        <f t="shared" si="114"/>
        <v>0</v>
      </c>
      <c r="FX179" s="74">
        <v>0</v>
      </c>
      <c r="FY179" s="74"/>
      <c r="FZ179" s="74"/>
      <c r="GA179" s="74"/>
      <c r="GB179" s="71">
        <f t="shared" si="115"/>
        <v>0</v>
      </c>
      <c r="GC179" s="92"/>
      <c r="GD179" s="92"/>
      <c r="GE179" s="67">
        <f t="shared" si="116"/>
        <v>0</v>
      </c>
      <c r="GF179" s="66"/>
      <c r="GG179" s="66"/>
      <c r="GH179" s="66"/>
      <c r="GI179" s="66"/>
      <c r="GJ179" s="77"/>
    </row>
    <row r="180" spans="1:192" ht="18.600000000000001" customHeight="1" x14ac:dyDescent="0.25">
      <c r="A180" s="89"/>
      <c r="B180" s="17"/>
      <c r="C180" s="50"/>
      <c r="D180" s="140"/>
      <c r="E180" s="51"/>
      <c r="F180" s="139">
        <f t="shared" si="120"/>
        <v>1</v>
      </c>
      <c r="G180" s="49"/>
      <c r="H180" s="50"/>
      <c r="I180" s="122"/>
      <c r="J180" s="49"/>
      <c r="K180" s="50"/>
      <c r="L180" s="50"/>
      <c r="M180" s="90"/>
      <c r="N180" s="50"/>
      <c r="O180" s="50"/>
      <c r="P180" s="90"/>
      <c r="Q180" s="52">
        <f t="shared" si="86"/>
        <v>0</v>
      </c>
      <c r="R180" s="52">
        <f t="shared" si="87"/>
        <v>0</v>
      </c>
      <c r="S180" s="53">
        <f t="shared" si="88"/>
        <v>0</v>
      </c>
      <c r="T180" s="54">
        <f t="shared" si="89"/>
        <v>0</v>
      </c>
      <c r="U180" s="115">
        <f>SUM(Tableau1[[#This Row],[Vente confiserie]:[Vente boisson]])</f>
        <v>0</v>
      </c>
      <c r="V180" s="55"/>
      <c r="W180" s="55"/>
      <c r="X180" s="135">
        <f>SUM(Tableau1[[#This Row],[Vente lunette]:[Location lunette]])</f>
        <v>0</v>
      </c>
      <c r="Y180" s="55"/>
      <c r="Z180" s="55"/>
      <c r="AA180" s="55"/>
      <c r="AB180" s="55"/>
      <c r="AC180" s="56">
        <f t="shared" si="118"/>
        <v>0</v>
      </c>
      <c r="AD180" s="57"/>
      <c r="AE180" s="57"/>
      <c r="AF180" s="57"/>
      <c r="AG180" s="57"/>
      <c r="AH180" s="57"/>
      <c r="AI180" s="57"/>
      <c r="AJ180" s="118">
        <f>(Tableau1[[#This Row],[Recette guichet ]]*1.1275177)-Tableau1[[#This Row],[Recette guichet ]]</f>
        <v>0</v>
      </c>
      <c r="AK180" s="57"/>
      <c r="AL180" s="56">
        <f t="shared" si="119"/>
        <v>0</v>
      </c>
      <c r="AM180" s="58"/>
      <c r="AN180" s="58"/>
      <c r="AO180" s="58"/>
      <c r="AP180" s="115">
        <f t="shared" si="90"/>
        <v>0</v>
      </c>
      <c r="AQ180" s="69"/>
      <c r="AR180" s="69"/>
      <c r="AS180" s="69"/>
      <c r="AT180" s="69"/>
      <c r="AU180" s="59">
        <f t="shared" si="91"/>
        <v>0</v>
      </c>
      <c r="AV180" s="60">
        <f t="shared" si="92"/>
        <v>0</v>
      </c>
      <c r="AW180" s="58"/>
      <c r="AX180" s="58"/>
      <c r="AY180" s="58"/>
      <c r="AZ180" s="60">
        <f t="shared" si="82"/>
        <v>0</v>
      </c>
      <c r="BA180" s="58"/>
      <c r="BB180" s="58"/>
      <c r="BC180" s="58"/>
      <c r="BD180" s="60">
        <f>SUM(Tableau1[[#This Row],[ticket/carte/abonnement périmé]:[Autres ou non précisé 5]])</f>
        <v>0</v>
      </c>
      <c r="BE180" s="58"/>
      <c r="BF180" s="58"/>
      <c r="BG180" s="58"/>
      <c r="BH180" s="61">
        <f t="shared" si="93"/>
        <v>0</v>
      </c>
      <c r="BI180" s="120"/>
      <c r="BJ180" s="120"/>
      <c r="BK180" s="62">
        <f t="shared" si="94"/>
        <v>0</v>
      </c>
      <c r="BL180" s="120"/>
      <c r="BM180" s="120"/>
      <c r="BN180" s="120"/>
      <c r="BO180" s="120"/>
      <c r="BP180" s="120"/>
      <c r="BQ180" s="63"/>
      <c r="BR180" s="52">
        <f t="shared" si="95"/>
        <v>0</v>
      </c>
      <c r="BS180" s="52">
        <f t="shared" si="96"/>
        <v>0</v>
      </c>
      <c r="BT180" s="61">
        <f t="shared" si="97"/>
        <v>0</v>
      </c>
      <c r="BU180" s="64">
        <f t="shared" si="98"/>
        <v>0</v>
      </c>
      <c r="BV180" s="119">
        <f>SUM(Tableau1[[#This Row],[Achats confiserie]:[Achats boisson]])</f>
        <v>0</v>
      </c>
      <c r="BW180" s="58"/>
      <c r="BX180" s="69"/>
      <c r="BY180" s="58"/>
      <c r="BZ180" s="56">
        <f t="shared" si="99"/>
        <v>0</v>
      </c>
      <c r="CA180" s="66"/>
      <c r="CB180" s="66"/>
      <c r="CC180" s="56">
        <f t="shared" si="100"/>
        <v>0</v>
      </c>
      <c r="CD180" s="55"/>
      <c r="CE180" s="65"/>
      <c r="CF180" s="55"/>
      <c r="CG180" s="55"/>
      <c r="CH180" s="67">
        <f t="shared" si="101"/>
        <v>0</v>
      </c>
      <c r="CI180" s="68">
        <f t="shared" si="117"/>
        <v>0</v>
      </c>
      <c r="CJ180" s="55"/>
      <c r="CK180" s="55"/>
      <c r="CL180" s="55"/>
      <c r="CM180" s="55"/>
      <c r="CN180" s="55"/>
      <c r="CO180" s="68">
        <f t="shared" si="102"/>
        <v>0</v>
      </c>
      <c r="CP180" s="75">
        <f>SUM(Tableau1[[#This Row],[Fourniture eau]:[Energie (non précisé)]])</f>
        <v>0</v>
      </c>
      <c r="CQ180" s="55"/>
      <c r="CR180" s="55"/>
      <c r="CS180" s="55"/>
      <c r="CT180" s="55"/>
      <c r="CU180" s="55"/>
      <c r="CV180" s="55">
        <v>0</v>
      </c>
      <c r="CW180" s="55"/>
      <c r="CX180" s="68">
        <f>SUM(Tableau1[[#This Row],[Sous-traitance]:[Autres ou non précisé 12]])</f>
        <v>0</v>
      </c>
      <c r="CY180" s="65"/>
      <c r="CZ180" s="65"/>
      <c r="DA180" s="65"/>
      <c r="DB180" s="65"/>
      <c r="DC180" s="55"/>
      <c r="DD180" s="68">
        <f t="shared" si="83"/>
        <v>0</v>
      </c>
      <c r="DE180" s="55"/>
      <c r="DF180" s="65"/>
      <c r="DG180" s="65"/>
      <c r="DH180" s="65"/>
      <c r="DI180" s="68">
        <f>SUM(Tableau1[[#This Row],[Entretien et réparation matériel de projection]:[Autres ou non précisé 14]])</f>
        <v>0</v>
      </c>
      <c r="DJ180" s="58"/>
      <c r="DK180" s="58"/>
      <c r="DL180" s="69"/>
      <c r="DM180" s="68">
        <f t="shared" si="103"/>
        <v>0</v>
      </c>
      <c r="DN180" s="58"/>
      <c r="DO180" s="58"/>
      <c r="DP180" s="68">
        <f t="shared" si="104"/>
        <v>0</v>
      </c>
      <c r="DQ180" s="65"/>
      <c r="DR180" s="65"/>
      <c r="DS180" s="68">
        <f t="shared" si="105"/>
        <v>0</v>
      </c>
      <c r="DT180" s="65"/>
      <c r="DU180" s="65"/>
      <c r="DV180" s="65"/>
      <c r="DW180" s="68">
        <f>SUM(Tableau1[[#This Row],[Comission et courtage sur achats]:[Autres ou honoraires
 non précisé ]])</f>
        <v>0</v>
      </c>
      <c r="DX180" s="57"/>
      <c r="DY180" s="57"/>
      <c r="DZ180" s="65"/>
      <c r="EA180" s="65"/>
      <c r="EB180" s="65"/>
      <c r="EC180" s="68">
        <f t="shared" si="106"/>
        <v>0</v>
      </c>
      <c r="ED180" s="69"/>
      <c r="EE180" s="69"/>
      <c r="EF180" s="69"/>
      <c r="EG180" s="69"/>
      <c r="EH180" s="69"/>
      <c r="EI180" s="84">
        <f>SUM(Tableau1[[#This Row],[Transports sur films]:[autres ]])</f>
        <v>0</v>
      </c>
      <c r="EJ180" s="132">
        <v>0</v>
      </c>
      <c r="EK180" s="132"/>
      <c r="EL180" s="68">
        <f t="shared" si="107"/>
        <v>0</v>
      </c>
      <c r="EM180" s="65"/>
      <c r="EN180" s="65">
        <v>0</v>
      </c>
      <c r="EO180" s="65"/>
      <c r="EP180" s="65"/>
      <c r="EQ180" s="65"/>
      <c r="ER180" s="65"/>
      <c r="ES180" s="65"/>
      <c r="ET180" s="68">
        <f t="shared" si="108"/>
        <v>0</v>
      </c>
      <c r="EU180" s="65"/>
      <c r="EV180" s="65"/>
      <c r="EW180" s="65"/>
      <c r="EX180" s="65"/>
      <c r="EY180" s="65"/>
      <c r="EZ180" s="68">
        <f t="shared" si="85"/>
        <v>0</v>
      </c>
      <c r="FA180" s="65"/>
      <c r="FB180" s="65"/>
      <c r="FC180" s="70">
        <f t="shared" si="84"/>
        <v>0</v>
      </c>
      <c r="FD180" s="65"/>
      <c r="FE180" s="71">
        <f t="shared" si="109"/>
        <v>0</v>
      </c>
      <c r="FF180" s="72">
        <f t="shared" si="110"/>
        <v>0</v>
      </c>
      <c r="FG180" s="65"/>
      <c r="FH180" s="65"/>
      <c r="FI180" s="65"/>
      <c r="FJ180" s="56">
        <f t="shared" si="111"/>
        <v>0</v>
      </c>
      <c r="FK180" s="65"/>
      <c r="FL180" s="65"/>
      <c r="FM180" s="65"/>
      <c r="FN180" s="65"/>
      <c r="FO180" s="67">
        <f t="shared" si="112"/>
        <v>0</v>
      </c>
      <c r="FP180" s="57"/>
      <c r="FQ180" s="73"/>
      <c r="FR180" s="73"/>
      <c r="FS180" s="71">
        <f t="shared" si="113"/>
        <v>0</v>
      </c>
      <c r="FT180" s="91"/>
      <c r="FU180" s="91"/>
      <c r="FV180" s="67">
        <f>SUM(Tableau1[[#This Row],[Droits d''auteurs SACEM + cotisations SACEM]:[Autres ou non préciés]])</f>
        <v>0</v>
      </c>
      <c r="FW180" s="75">
        <f t="shared" si="114"/>
        <v>0</v>
      </c>
      <c r="FX180" s="74">
        <v>0</v>
      </c>
      <c r="FY180" s="74"/>
      <c r="FZ180" s="74"/>
      <c r="GA180" s="74"/>
      <c r="GB180" s="71">
        <f t="shared" si="115"/>
        <v>0</v>
      </c>
      <c r="GC180" s="92"/>
      <c r="GD180" s="92"/>
      <c r="GE180" s="67">
        <f t="shared" si="116"/>
        <v>0</v>
      </c>
      <c r="GF180" s="66"/>
      <c r="GG180" s="66"/>
      <c r="GH180" s="66"/>
      <c r="GI180" s="66"/>
      <c r="GJ180" s="77"/>
    </row>
    <row r="181" spans="1:192" ht="18.600000000000001" customHeight="1" x14ac:dyDescent="0.25">
      <c r="A181" s="89"/>
      <c r="B181" s="17"/>
      <c r="C181" s="50"/>
      <c r="D181" s="140"/>
      <c r="E181" s="51"/>
      <c r="F181" s="139">
        <f t="shared" si="120"/>
        <v>1</v>
      </c>
      <c r="G181" s="49"/>
      <c r="H181" s="50"/>
      <c r="I181" s="122"/>
      <c r="J181" s="49"/>
      <c r="K181" s="50"/>
      <c r="L181" s="50"/>
      <c r="M181" s="90"/>
      <c r="N181" s="50"/>
      <c r="O181" s="50"/>
      <c r="P181" s="90"/>
      <c r="Q181" s="52">
        <f t="shared" si="86"/>
        <v>0</v>
      </c>
      <c r="R181" s="52">
        <f t="shared" si="87"/>
        <v>0</v>
      </c>
      <c r="S181" s="53">
        <f t="shared" si="88"/>
        <v>0</v>
      </c>
      <c r="T181" s="54">
        <f t="shared" si="89"/>
        <v>0</v>
      </c>
      <c r="U181" s="115">
        <f>SUM(Tableau1[[#This Row],[Vente confiserie]:[Vente boisson]])</f>
        <v>0</v>
      </c>
      <c r="V181" s="55"/>
      <c r="W181" s="55"/>
      <c r="X181" s="135">
        <f>SUM(Tableau1[[#This Row],[Vente lunette]:[Location lunette]])</f>
        <v>0</v>
      </c>
      <c r="Y181" s="55"/>
      <c r="Z181" s="55"/>
      <c r="AA181" s="55"/>
      <c r="AB181" s="55"/>
      <c r="AC181" s="56">
        <f t="shared" si="118"/>
        <v>0</v>
      </c>
      <c r="AD181" s="57"/>
      <c r="AE181" s="57"/>
      <c r="AF181" s="57"/>
      <c r="AG181" s="57"/>
      <c r="AH181" s="57"/>
      <c r="AI181" s="57"/>
      <c r="AJ181" s="118">
        <f>(Tableau1[[#This Row],[Recette guichet ]]*1.1275177)-Tableau1[[#This Row],[Recette guichet ]]</f>
        <v>0</v>
      </c>
      <c r="AK181" s="57"/>
      <c r="AL181" s="56">
        <f t="shared" si="119"/>
        <v>0</v>
      </c>
      <c r="AM181" s="58"/>
      <c r="AN181" s="58"/>
      <c r="AO181" s="58"/>
      <c r="AP181" s="115">
        <f t="shared" si="90"/>
        <v>0</v>
      </c>
      <c r="AQ181" s="69"/>
      <c r="AR181" s="69"/>
      <c r="AS181" s="69"/>
      <c r="AT181" s="69"/>
      <c r="AU181" s="59">
        <f t="shared" si="91"/>
        <v>0</v>
      </c>
      <c r="AV181" s="60">
        <f t="shared" si="92"/>
        <v>0</v>
      </c>
      <c r="AW181" s="58"/>
      <c r="AX181" s="58"/>
      <c r="AY181" s="58"/>
      <c r="AZ181" s="60">
        <f t="shared" si="82"/>
        <v>0</v>
      </c>
      <c r="BA181" s="58"/>
      <c r="BB181" s="58"/>
      <c r="BC181" s="58"/>
      <c r="BD181" s="60">
        <f>SUM(Tableau1[[#This Row],[ticket/carte/abonnement périmé]:[Autres ou non précisé 5]])</f>
        <v>0</v>
      </c>
      <c r="BE181" s="58"/>
      <c r="BF181" s="58"/>
      <c r="BG181" s="58"/>
      <c r="BH181" s="61">
        <f t="shared" si="93"/>
        <v>0</v>
      </c>
      <c r="BI181" s="120"/>
      <c r="BJ181" s="120"/>
      <c r="BK181" s="62">
        <f t="shared" si="94"/>
        <v>0</v>
      </c>
      <c r="BL181" s="120"/>
      <c r="BM181" s="120"/>
      <c r="BN181" s="120"/>
      <c r="BO181" s="120"/>
      <c r="BP181" s="120"/>
      <c r="BQ181" s="63"/>
      <c r="BR181" s="52">
        <f t="shared" si="95"/>
        <v>0</v>
      </c>
      <c r="BS181" s="52">
        <f t="shared" si="96"/>
        <v>0</v>
      </c>
      <c r="BT181" s="61">
        <f t="shared" si="97"/>
        <v>0</v>
      </c>
      <c r="BU181" s="64">
        <f t="shared" si="98"/>
        <v>0</v>
      </c>
      <c r="BV181" s="119">
        <f>SUM(Tableau1[[#This Row],[Achats confiserie]:[Achats boisson]])</f>
        <v>0</v>
      </c>
      <c r="BW181" s="58"/>
      <c r="BX181" s="69"/>
      <c r="BY181" s="58"/>
      <c r="BZ181" s="56">
        <f t="shared" si="99"/>
        <v>0</v>
      </c>
      <c r="CA181" s="66"/>
      <c r="CB181" s="66"/>
      <c r="CC181" s="56">
        <f t="shared" si="100"/>
        <v>0</v>
      </c>
      <c r="CD181" s="55"/>
      <c r="CE181" s="65"/>
      <c r="CF181" s="55"/>
      <c r="CG181" s="55"/>
      <c r="CH181" s="67">
        <f t="shared" si="101"/>
        <v>0</v>
      </c>
      <c r="CI181" s="68">
        <f t="shared" si="117"/>
        <v>0</v>
      </c>
      <c r="CJ181" s="55"/>
      <c r="CK181" s="55"/>
      <c r="CL181" s="55"/>
      <c r="CM181" s="55"/>
      <c r="CN181" s="55"/>
      <c r="CO181" s="68">
        <f t="shared" si="102"/>
        <v>0</v>
      </c>
      <c r="CP181" s="75">
        <f>SUM(Tableau1[[#This Row],[Fourniture eau]:[Energie (non précisé)]])</f>
        <v>0</v>
      </c>
      <c r="CQ181" s="55"/>
      <c r="CR181" s="55"/>
      <c r="CS181" s="55"/>
      <c r="CT181" s="55"/>
      <c r="CU181" s="55"/>
      <c r="CV181" s="55">
        <v>0</v>
      </c>
      <c r="CW181" s="55"/>
      <c r="CX181" s="68">
        <f>SUM(Tableau1[[#This Row],[Sous-traitance]:[Autres ou non précisé 12]])</f>
        <v>0</v>
      </c>
      <c r="CY181" s="65"/>
      <c r="CZ181" s="65"/>
      <c r="DA181" s="65"/>
      <c r="DB181" s="65"/>
      <c r="DC181" s="55"/>
      <c r="DD181" s="68">
        <f t="shared" si="83"/>
        <v>0</v>
      </c>
      <c r="DE181" s="55"/>
      <c r="DF181" s="65"/>
      <c r="DG181" s="65"/>
      <c r="DH181" s="65"/>
      <c r="DI181" s="68">
        <f>SUM(Tableau1[[#This Row],[Entretien et réparation matériel de projection]:[Autres ou non précisé 14]])</f>
        <v>0</v>
      </c>
      <c r="DJ181" s="58"/>
      <c r="DK181" s="58"/>
      <c r="DL181" s="69"/>
      <c r="DM181" s="68">
        <f t="shared" si="103"/>
        <v>0</v>
      </c>
      <c r="DN181" s="58"/>
      <c r="DO181" s="58"/>
      <c r="DP181" s="68">
        <f t="shared" si="104"/>
        <v>0</v>
      </c>
      <c r="DQ181" s="65"/>
      <c r="DR181" s="65"/>
      <c r="DS181" s="68">
        <f t="shared" si="105"/>
        <v>0</v>
      </c>
      <c r="DT181" s="65"/>
      <c r="DU181" s="65"/>
      <c r="DV181" s="65"/>
      <c r="DW181" s="68">
        <f>SUM(Tableau1[[#This Row],[Comission et courtage sur achats]:[Autres ou honoraires
 non précisé ]])</f>
        <v>0</v>
      </c>
      <c r="DX181" s="57"/>
      <c r="DY181" s="57"/>
      <c r="DZ181" s="65"/>
      <c r="EA181" s="65"/>
      <c r="EB181" s="65"/>
      <c r="EC181" s="68">
        <f t="shared" si="106"/>
        <v>0</v>
      </c>
      <c r="ED181" s="69"/>
      <c r="EE181" s="69"/>
      <c r="EF181" s="69"/>
      <c r="EG181" s="69"/>
      <c r="EH181" s="69"/>
      <c r="EI181" s="84">
        <f>SUM(Tableau1[[#This Row],[Transports sur films]:[autres ]])</f>
        <v>0</v>
      </c>
      <c r="EJ181" s="132">
        <v>0</v>
      </c>
      <c r="EK181" s="132"/>
      <c r="EL181" s="68">
        <f t="shared" si="107"/>
        <v>0</v>
      </c>
      <c r="EM181" s="65"/>
      <c r="EN181" s="65">
        <v>0</v>
      </c>
      <c r="EO181" s="65"/>
      <c r="EP181" s="65"/>
      <c r="EQ181" s="65"/>
      <c r="ER181" s="65"/>
      <c r="ES181" s="65"/>
      <c r="ET181" s="68">
        <f t="shared" si="108"/>
        <v>0</v>
      </c>
      <c r="EU181" s="65"/>
      <c r="EV181" s="65"/>
      <c r="EW181" s="65"/>
      <c r="EX181" s="65"/>
      <c r="EY181" s="65"/>
      <c r="EZ181" s="68">
        <f t="shared" si="85"/>
        <v>0</v>
      </c>
      <c r="FA181" s="65"/>
      <c r="FB181" s="65"/>
      <c r="FC181" s="70">
        <f t="shared" si="84"/>
        <v>0</v>
      </c>
      <c r="FD181" s="65"/>
      <c r="FE181" s="71">
        <f t="shared" si="109"/>
        <v>0</v>
      </c>
      <c r="FF181" s="72">
        <f t="shared" si="110"/>
        <v>0</v>
      </c>
      <c r="FG181" s="65"/>
      <c r="FH181" s="65"/>
      <c r="FI181" s="65"/>
      <c r="FJ181" s="56">
        <f t="shared" si="111"/>
        <v>0</v>
      </c>
      <c r="FK181" s="65"/>
      <c r="FL181" s="65"/>
      <c r="FM181" s="65"/>
      <c r="FN181" s="65"/>
      <c r="FO181" s="67">
        <f t="shared" si="112"/>
        <v>0</v>
      </c>
      <c r="FP181" s="57"/>
      <c r="FQ181" s="73"/>
      <c r="FR181" s="73"/>
      <c r="FS181" s="71">
        <f t="shared" si="113"/>
        <v>0</v>
      </c>
      <c r="FT181" s="91"/>
      <c r="FU181" s="91"/>
      <c r="FV181" s="67">
        <f>SUM(Tableau1[[#This Row],[Droits d''auteurs SACEM + cotisations SACEM]:[Autres ou non préciés]])</f>
        <v>0</v>
      </c>
      <c r="FW181" s="75">
        <f t="shared" si="114"/>
        <v>0</v>
      </c>
      <c r="FX181" s="74">
        <v>0</v>
      </c>
      <c r="FY181" s="74"/>
      <c r="FZ181" s="74"/>
      <c r="GA181" s="74"/>
      <c r="GB181" s="71">
        <f t="shared" si="115"/>
        <v>0</v>
      </c>
      <c r="GC181" s="92"/>
      <c r="GD181" s="92"/>
      <c r="GE181" s="67">
        <f t="shared" si="116"/>
        <v>0</v>
      </c>
      <c r="GF181" s="66"/>
      <c r="GG181" s="66"/>
      <c r="GH181" s="66"/>
      <c r="GI181" s="66"/>
      <c r="GJ181" s="77"/>
    </row>
    <row r="182" spans="1:192" ht="18.600000000000001" customHeight="1" x14ac:dyDescent="0.25">
      <c r="A182" s="89"/>
      <c r="B182" s="17"/>
      <c r="C182" s="50"/>
      <c r="D182" s="140"/>
      <c r="E182" s="51"/>
      <c r="F182" s="139">
        <f t="shared" si="120"/>
        <v>1</v>
      </c>
      <c r="G182" s="49"/>
      <c r="H182" s="50"/>
      <c r="I182" s="122"/>
      <c r="J182" s="49"/>
      <c r="K182" s="50"/>
      <c r="L182" s="50"/>
      <c r="M182" s="90"/>
      <c r="N182" s="50"/>
      <c r="O182" s="50"/>
      <c r="P182" s="90"/>
      <c r="Q182" s="52">
        <f t="shared" si="86"/>
        <v>0</v>
      </c>
      <c r="R182" s="52">
        <f t="shared" si="87"/>
        <v>0</v>
      </c>
      <c r="S182" s="53">
        <f t="shared" si="88"/>
        <v>0</v>
      </c>
      <c r="T182" s="54">
        <f t="shared" si="89"/>
        <v>0</v>
      </c>
      <c r="U182" s="115">
        <f>SUM(Tableau1[[#This Row],[Vente confiserie]:[Vente boisson]])</f>
        <v>0</v>
      </c>
      <c r="V182" s="55"/>
      <c r="W182" s="55"/>
      <c r="X182" s="135">
        <f>SUM(Tableau1[[#This Row],[Vente lunette]:[Location lunette]])</f>
        <v>0</v>
      </c>
      <c r="Y182" s="55"/>
      <c r="Z182" s="55"/>
      <c r="AA182" s="55"/>
      <c r="AB182" s="55"/>
      <c r="AC182" s="56">
        <f t="shared" si="118"/>
        <v>0</v>
      </c>
      <c r="AD182" s="57"/>
      <c r="AE182" s="57"/>
      <c r="AF182" s="57"/>
      <c r="AG182" s="57"/>
      <c r="AH182" s="57"/>
      <c r="AI182" s="57"/>
      <c r="AJ182" s="118">
        <f>(Tableau1[[#This Row],[Recette guichet ]]*1.1275177)-Tableau1[[#This Row],[Recette guichet ]]</f>
        <v>0</v>
      </c>
      <c r="AK182" s="57"/>
      <c r="AL182" s="56">
        <f t="shared" si="119"/>
        <v>0</v>
      </c>
      <c r="AM182" s="58"/>
      <c r="AN182" s="58"/>
      <c r="AO182" s="58"/>
      <c r="AP182" s="115">
        <f t="shared" si="90"/>
        <v>0</v>
      </c>
      <c r="AQ182" s="69"/>
      <c r="AR182" s="69"/>
      <c r="AS182" s="69"/>
      <c r="AT182" s="69"/>
      <c r="AU182" s="59">
        <f t="shared" si="91"/>
        <v>0</v>
      </c>
      <c r="AV182" s="60">
        <f t="shared" si="92"/>
        <v>0</v>
      </c>
      <c r="AW182" s="58"/>
      <c r="AX182" s="58"/>
      <c r="AY182" s="58"/>
      <c r="AZ182" s="60">
        <f t="shared" si="82"/>
        <v>0</v>
      </c>
      <c r="BA182" s="58"/>
      <c r="BB182" s="58"/>
      <c r="BC182" s="58"/>
      <c r="BD182" s="60">
        <f>SUM(Tableau1[[#This Row],[ticket/carte/abonnement périmé]:[Autres ou non précisé 5]])</f>
        <v>0</v>
      </c>
      <c r="BE182" s="58"/>
      <c r="BF182" s="58"/>
      <c r="BG182" s="58"/>
      <c r="BH182" s="61">
        <f t="shared" si="93"/>
        <v>0</v>
      </c>
      <c r="BI182" s="120"/>
      <c r="BJ182" s="120"/>
      <c r="BK182" s="62">
        <f t="shared" si="94"/>
        <v>0</v>
      </c>
      <c r="BL182" s="120"/>
      <c r="BM182" s="120"/>
      <c r="BN182" s="120"/>
      <c r="BO182" s="120"/>
      <c r="BP182" s="120"/>
      <c r="BQ182" s="63"/>
      <c r="BR182" s="52">
        <f t="shared" si="95"/>
        <v>0</v>
      </c>
      <c r="BS182" s="52">
        <f t="shared" si="96"/>
        <v>0</v>
      </c>
      <c r="BT182" s="61">
        <f t="shared" si="97"/>
        <v>0</v>
      </c>
      <c r="BU182" s="64">
        <f t="shared" si="98"/>
        <v>0</v>
      </c>
      <c r="BV182" s="119">
        <f>SUM(Tableau1[[#This Row],[Achats confiserie]:[Achats boisson]])</f>
        <v>0</v>
      </c>
      <c r="BW182" s="58"/>
      <c r="BX182" s="69"/>
      <c r="BY182" s="58"/>
      <c r="BZ182" s="56">
        <f t="shared" si="99"/>
        <v>0</v>
      </c>
      <c r="CA182" s="66"/>
      <c r="CB182" s="66"/>
      <c r="CC182" s="56">
        <f t="shared" si="100"/>
        <v>0</v>
      </c>
      <c r="CD182" s="55"/>
      <c r="CE182" s="65"/>
      <c r="CF182" s="55"/>
      <c r="CG182" s="55"/>
      <c r="CH182" s="67">
        <f t="shared" si="101"/>
        <v>0</v>
      </c>
      <c r="CI182" s="68">
        <f t="shared" si="117"/>
        <v>0</v>
      </c>
      <c r="CJ182" s="55"/>
      <c r="CK182" s="55"/>
      <c r="CL182" s="55"/>
      <c r="CM182" s="55"/>
      <c r="CN182" s="55"/>
      <c r="CO182" s="68">
        <f t="shared" si="102"/>
        <v>0</v>
      </c>
      <c r="CP182" s="75">
        <f>SUM(Tableau1[[#This Row],[Fourniture eau]:[Energie (non précisé)]])</f>
        <v>0</v>
      </c>
      <c r="CQ182" s="55"/>
      <c r="CR182" s="55"/>
      <c r="CS182" s="55"/>
      <c r="CT182" s="55"/>
      <c r="CU182" s="55"/>
      <c r="CV182" s="55">
        <v>0</v>
      </c>
      <c r="CW182" s="55"/>
      <c r="CX182" s="68">
        <f>SUM(Tableau1[[#This Row],[Sous-traitance]:[Autres ou non précisé 12]])</f>
        <v>0</v>
      </c>
      <c r="CY182" s="65"/>
      <c r="CZ182" s="65"/>
      <c r="DA182" s="65"/>
      <c r="DB182" s="65"/>
      <c r="DC182" s="55"/>
      <c r="DD182" s="68">
        <f t="shared" si="83"/>
        <v>0</v>
      </c>
      <c r="DE182" s="55"/>
      <c r="DF182" s="65"/>
      <c r="DG182" s="65"/>
      <c r="DH182" s="65"/>
      <c r="DI182" s="68">
        <f>SUM(Tableau1[[#This Row],[Entretien et réparation matériel de projection]:[Autres ou non précisé 14]])</f>
        <v>0</v>
      </c>
      <c r="DJ182" s="58"/>
      <c r="DK182" s="58"/>
      <c r="DL182" s="69"/>
      <c r="DM182" s="68">
        <f t="shared" si="103"/>
        <v>0</v>
      </c>
      <c r="DN182" s="58"/>
      <c r="DO182" s="58"/>
      <c r="DP182" s="68">
        <f t="shared" si="104"/>
        <v>0</v>
      </c>
      <c r="DQ182" s="65"/>
      <c r="DR182" s="65"/>
      <c r="DS182" s="68">
        <f t="shared" si="105"/>
        <v>0</v>
      </c>
      <c r="DT182" s="65"/>
      <c r="DU182" s="65"/>
      <c r="DV182" s="65"/>
      <c r="DW182" s="68">
        <f>SUM(Tableau1[[#This Row],[Comission et courtage sur achats]:[Autres ou honoraires
 non précisé ]])</f>
        <v>0</v>
      </c>
      <c r="DX182" s="57"/>
      <c r="DY182" s="57"/>
      <c r="DZ182" s="65"/>
      <c r="EA182" s="65"/>
      <c r="EB182" s="65"/>
      <c r="EC182" s="68">
        <f t="shared" si="106"/>
        <v>0</v>
      </c>
      <c r="ED182" s="69"/>
      <c r="EE182" s="69"/>
      <c r="EF182" s="69"/>
      <c r="EG182" s="69"/>
      <c r="EH182" s="69"/>
      <c r="EI182" s="84">
        <f>SUM(Tableau1[[#This Row],[Transports sur films]:[autres ]])</f>
        <v>0</v>
      </c>
      <c r="EJ182" s="132">
        <v>0</v>
      </c>
      <c r="EK182" s="132"/>
      <c r="EL182" s="68">
        <f t="shared" si="107"/>
        <v>0</v>
      </c>
      <c r="EM182" s="65"/>
      <c r="EN182" s="65">
        <v>0</v>
      </c>
      <c r="EO182" s="65"/>
      <c r="EP182" s="65"/>
      <c r="EQ182" s="65"/>
      <c r="ER182" s="65"/>
      <c r="ES182" s="65"/>
      <c r="ET182" s="68">
        <f t="shared" si="108"/>
        <v>0</v>
      </c>
      <c r="EU182" s="65"/>
      <c r="EV182" s="65"/>
      <c r="EW182" s="65"/>
      <c r="EX182" s="65"/>
      <c r="EY182" s="65"/>
      <c r="EZ182" s="68">
        <f t="shared" si="85"/>
        <v>0</v>
      </c>
      <c r="FA182" s="65"/>
      <c r="FB182" s="65"/>
      <c r="FC182" s="70">
        <f t="shared" si="84"/>
        <v>0</v>
      </c>
      <c r="FD182" s="65"/>
      <c r="FE182" s="71">
        <f t="shared" si="109"/>
        <v>0</v>
      </c>
      <c r="FF182" s="72">
        <f t="shared" si="110"/>
        <v>0</v>
      </c>
      <c r="FG182" s="65"/>
      <c r="FH182" s="65"/>
      <c r="FI182" s="65"/>
      <c r="FJ182" s="56">
        <f t="shared" si="111"/>
        <v>0</v>
      </c>
      <c r="FK182" s="65"/>
      <c r="FL182" s="65"/>
      <c r="FM182" s="65"/>
      <c r="FN182" s="65"/>
      <c r="FO182" s="67">
        <f t="shared" si="112"/>
        <v>0</v>
      </c>
      <c r="FP182" s="57"/>
      <c r="FQ182" s="73"/>
      <c r="FR182" s="73"/>
      <c r="FS182" s="71">
        <f t="shared" si="113"/>
        <v>0</v>
      </c>
      <c r="FT182" s="91"/>
      <c r="FU182" s="91"/>
      <c r="FV182" s="67">
        <f>SUM(Tableau1[[#This Row],[Droits d''auteurs SACEM + cotisations SACEM]:[Autres ou non préciés]])</f>
        <v>0</v>
      </c>
      <c r="FW182" s="75">
        <f t="shared" si="114"/>
        <v>0</v>
      </c>
      <c r="FX182" s="74">
        <v>0</v>
      </c>
      <c r="FY182" s="74"/>
      <c r="FZ182" s="74"/>
      <c r="GA182" s="74"/>
      <c r="GB182" s="71">
        <f t="shared" si="115"/>
        <v>0</v>
      </c>
      <c r="GC182" s="92"/>
      <c r="GD182" s="92"/>
      <c r="GE182" s="67">
        <f t="shared" si="116"/>
        <v>0</v>
      </c>
      <c r="GF182" s="66"/>
      <c r="GG182" s="66"/>
      <c r="GH182" s="66"/>
      <c r="GI182" s="66"/>
      <c r="GJ182" s="77"/>
    </row>
    <row r="183" spans="1:192" ht="18.600000000000001" customHeight="1" x14ac:dyDescent="0.25">
      <c r="A183" s="89"/>
      <c r="B183" s="17"/>
      <c r="C183" s="50"/>
      <c r="D183" s="140"/>
      <c r="E183" s="51"/>
      <c r="F183" s="139">
        <f t="shared" si="120"/>
        <v>1</v>
      </c>
      <c r="G183" s="49"/>
      <c r="H183" s="50"/>
      <c r="I183" s="122"/>
      <c r="J183" s="49"/>
      <c r="K183" s="50"/>
      <c r="L183" s="50"/>
      <c r="M183" s="90"/>
      <c r="N183" s="50"/>
      <c r="O183" s="50"/>
      <c r="P183" s="90"/>
      <c r="Q183" s="52">
        <f t="shared" si="86"/>
        <v>0</v>
      </c>
      <c r="R183" s="52">
        <f t="shared" si="87"/>
        <v>0</v>
      </c>
      <c r="S183" s="53">
        <f t="shared" si="88"/>
        <v>0</v>
      </c>
      <c r="T183" s="54">
        <f t="shared" si="89"/>
        <v>0</v>
      </c>
      <c r="U183" s="115">
        <f>SUM(Tableau1[[#This Row],[Vente confiserie]:[Vente boisson]])</f>
        <v>0</v>
      </c>
      <c r="V183" s="55"/>
      <c r="W183" s="55"/>
      <c r="X183" s="135">
        <f>SUM(Tableau1[[#This Row],[Vente lunette]:[Location lunette]])</f>
        <v>0</v>
      </c>
      <c r="Y183" s="55"/>
      <c r="Z183" s="55"/>
      <c r="AA183" s="55"/>
      <c r="AB183" s="55"/>
      <c r="AC183" s="56">
        <f t="shared" si="118"/>
        <v>0</v>
      </c>
      <c r="AD183" s="57"/>
      <c r="AE183" s="57"/>
      <c r="AF183" s="57"/>
      <c r="AG183" s="57"/>
      <c r="AH183" s="57"/>
      <c r="AI183" s="57"/>
      <c r="AJ183" s="118">
        <f>(Tableau1[[#This Row],[Recette guichet ]]*1.1275177)-Tableau1[[#This Row],[Recette guichet ]]</f>
        <v>0</v>
      </c>
      <c r="AK183" s="57"/>
      <c r="AL183" s="56">
        <f t="shared" si="119"/>
        <v>0</v>
      </c>
      <c r="AM183" s="58"/>
      <c r="AN183" s="58"/>
      <c r="AO183" s="58"/>
      <c r="AP183" s="115">
        <f t="shared" si="90"/>
        <v>0</v>
      </c>
      <c r="AQ183" s="69"/>
      <c r="AR183" s="69"/>
      <c r="AS183" s="69"/>
      <c r="AT183" s="69"/>
      <c r="AU183" s="59">
        <f t="shared" si="91"/>
        <v>0</v>
      </c>
      <c r="AV183" s="60">
        <f t="shared" si="92"/>
        <v>0</v>
      </c>
      <c r="AW183" s="58"/>
      <c r="AX183" s="58"/>
      <c r="AY183" s="58"/>
      <c r="AZ183" s="60">
        <f t="shared" si="82"/>
        <v>0</v>
      </c>
      <c r="BA183" s="58"/>
      <c r="BB183" s="58"/>
      <c r="BC183" s="58"/>
      <c r="BD183" s="60">
        <f>SUM(Tableau1[[#This Row],[ticket/carte/abonnement périmé]:[Autres ou non précisé 5]])</f>
        <v>0</v>
      </c>
      <c r="BE183" s="58"/>
      <c r="BF183" s="58"/>
      <c r="BG183" s="58"/>
      <c r="BH183" s="61">
        <f t="shared" si="93"/>
        <v>0</v>
      </c>
      <c r="BI183" s="120"/>
      <c r="BJ183" s="120"/>
      <c r="BK183" s="62">
        <f t="shared" si="94"/>
        <v>0</v>
      </c>
      <c r="BL183" s="120"/>
      <c r="BM183" s="120"/>
      <c r="BN183" s="120"/>
      <c r="BO183" s="120"/>
      <c r="BP183" s="120"/>
      <c r="BQ183" s="63"/>
      <c r="BR183" s="52">
        <f t="shared" si="95"/>
        <v>0</v>
      </c>
      <c r="BS183" s="52">
        <f t="shared" si="96"/>
        <v>0</v>
      </c>
      <c r="BT183" s="61">
        <f t="shared" si="97"/>
        <v>0</v>
      </c>
      <c r="BU183" s="64">
        <f t="shared" si="98"/>
        <v>0</v>
      </c>
      <c r="BV183" s="119">
        <f>SUM(Tableau1[[#This Row],[Achats confiserie]:[Achats boisson]])</f>
        <v>0</v>
      </c>
      <c r="BW183" s="58"/>
      <c r="BX183" s="69"/>
      <c r="BY183" s="58"/>
      <c r="BZ183" s="56">
        <f t="shared" si="99"/>
        <v>0</v>
      </c>
      <c r="CA183" s="66"/>
      <c r="CB183" s="66"/>
      <c r="CC183" s="56">
        <f t="shared" si="100"/>
        <v>0</v>
      </c>
      <c r="CD183" s="55"/>
      <c r="CE183" s="65"/>
      <c r="CF183" s="55"/>
      <c r="CG183" s="55"/>
      <c r="CH183" s="67">
        <f t="shared" si="101"/>
        <v>0</v>
      </c>
      <c r="CI183" s="68">
        <f t="shared" si="117"/>
        <v>0</v>
      </c>
      <c r="CJ183" s="55"/>
      <c r="CK183" s="55"/>
      <c r="CL183" s="55"/>
      <c r="CM183" s="55"/>
      <c r="CN183" s="55"/>
      <c r="CO183" s="68">
        <f t="shared" si="102"/>
        <v>0</v>
      </c>
      <c r="CP183" s="75">
        <f>SUM(Tableau1[[#This Row],[Fourniture eau]:[Energie (non précisé)]])</f>
        <v>0</v>
      </c>
      <c r="CQ183" s="55"/>
      <c r="CR183" s="55"/>
      <c r="CS183" s="55"/>
      <c r="CT183" s="55"/>
      <c r="CU183" s="55"/>
      <c r="CV183" s="55">
        <v>0</v>
      </c>
      <c r="CW183" s="55"/>
      <c r="CX183" s="68">
        <f>SUM(Tableau1[[#This Row],[Sous-traitance]:[Autres ou non précisé 12]])</f>
        <v>0</v>
      </c>
      <c r="CY183" s="65"/>
      <c r="CZ183" s="65"/>
      <c r="DA183" s="65"/>
      <c r="DB183" s="65"/>
      <c r="DC183" s="55"/>
      <c r="DD183" s="68">
        <f t="shared" si="83"/>
        <v>0</v>
      </c>
      <c r="DE183" s="55"/>
      <c r="DF183" s="65"/>
      <c r="DG183" s="65"/>
      <c r="DH183" s="65"/>
      <c r="DI183" s="68">
        <f>SUM(Tableau1[[#This Row],[Entretien et réparation matériel de projection]:[Autres ou non précisé 14]])</f>
        <v>0</v>
      </c>
      <c r="DJ183" s="58"/>
      <c r="DK183" s="58"/>
      <c r="DL183" s="69"/>
      <c r="DM183" s="68">
        <f t="shared" si="103"/>
        <v>0</v>
      </c>
      <c r="DN183" s="58"/>
      <c r="DO183" s="58"/>
      <c r="DP183" s="68">
        <f t="shared" si="104"/>
        <v>0</v>
      </c>
      <c r="DQ183" s="65"/>
      <c r="DR183" s="65"/>
      <c r="DS183" s="68">
        <f t="shared" si="105"/>
        <v>0</v>
      </c>
      <c r="DT183" s="65"/>
      <c r="DU183" s="65"/>
      <c r="DV183" s="65"/>
      <c r="DW183" s="68">
        <f>SUM(Tableau1[[#This Row],[Comission et courtage sur achats]:[Autres ou honoraires
 non précisé ]])</f>
        <v>0</v>
      </c>
      <c r="DX183" s="57"/>
      <c r="DY183" s="57"/>
      <c r="DZ183" s="65"/>
      <c r="EA183" s="65"/>
      <c r="EB183" s="65"/>
      <c r="EC183" s="68">
        <f t="shared" si="106"/>
        <v>0</v>
      </c>
      <c r="ED183" s="69"/>
      <c r="EE183" s="69"/>
      <c r="EF183" s="69"/>
      <c r="EG183" s="69"/>
      <c r="EH183" s="69"/>
      <c r="EI183" s="84">
        <f>SUM(Tableau1[[#This Row],[Transports sur films]:[autres ]])</f>
        <v>0</v>
      </c>
      <c r="EJ183" s="132">
        <v>0</v>
      </c>
      <c r="EK183" s="132"/>
      <c r="EL183" s="68">
        <f t="shared" si="107"/>
        <v>0</v>
      </c>
      <c r="EM183" s="65"/>
      <c r="EN183" s="65">
        <v>0</v>
      </c>
      <c r="EO183" s="65"/>
      <c r="EP183" s="65"/>
      <c r="EQ183" s="65"/>
      <c r="ER183" s="65"/>
      <c r="ES183" s="65"/>
      <c r="ET183" s="68">
        <f t="shared" si="108"/>
        <v>0</v>
      </c>
      <c r="EU183" s="65"/>
      <c r="EV183" s="65"/>
      <c r="EW183" s="65"/>
      <c r="EX183" s="65"/>
      <c r="EY183" s="65"/>
      <c r="EZ183" s="68">
        <f t="shared" si="85"/>
        <v>0</v>
      </c>
      <c r="FA183" s="65"/>
      <c r="FB183" s="65"/>
      <c r="FC183" s="70">
        <f t="shared" si="84"/>
        <v>0</v>
      </c>
      <c r="FD183" s="65"/>
      <c r="FE183" s="71">
        <f t="shared" si="109"/>
        <v>0</v>
      </c>
      <c r="FF183" s="72">
        <f t="shared" si="110"/>
        <v>0</v>
      </c>
      <c r="FG183" s="65"/>
      <c r="FH183" s="65"/>
      <c r="FI183" s="65"/>
      <c r="FJ183" s="56">
        <f t="shared" si="111"/>
        <v>0</v>
      </c>
      <c r="FK183" s="65"/>
      <c r="FL183" s="65"/>
      <c r="FM183" s="65"/>
      <c r="FN183" s="65"/>
      <c r="FO183" s="67">
        <f t="shared" si="112"/>
        <v>0</v>
      </c>
      <c r="FP183" s="57"/>
      <c r="FQ183" s="73"/>
      <c r="FR183" s="73"/>
      <c r="FS183" s="71">
        <f t="shared" si="113"/>
        <v>0</v>
      </c>
      <c r="FT183" s="91"/>
      <c r="FU183" s="91"/>
      <c r="FV183" s="67">
        <f>SUM(Tableau1[[#This Row],[Droits d''auteurs SACEM + cotisations SACEM]:[Autres ou non préciés]])</f>
        <v>0</v>
      </c>
      <c r="FW183" s="75">
        <f t="shared" si="114"/>
        <v>0</v>
      </c>
      <c r="FX183" s="74">
        <v>0</v>
      </c>
      <c r="FY183" s="74"/>
      <c r="FZ183" s="74"/>
      <c r="GA183" s="74"/>
      <c r="GB183" s="71">
        <f t="shared" si="115"/>
        <v>0</v>
      </c>
      <c r="GC183" s="92"/>
      <c r="GD183" s="92"/>
      <c r="GE183" s="67">
        <f t="shared" si="116"/>
        <v>0</v>
      </c>
      <c r="GF183" s="66"/>
      <c r="GG183" s="66"/>
      <c r="GH183" s="66"/>
      <c r="GI183" s="66"/>
      <c r="GJ183" s="77"/>
    </row>
    <row r="184" spans="1:192" ht="18.600000000000001" customHeight="1" x14ac:dyDescent="0.25">
      <c r="A184" s="89"/>
      <c r="B184" s="17"/>
      <c r="C184" s="50"/>
      <c r="D184" s="140"/>
      <c r="E184" s="51"/>
      <c r="F184" s="139">
        <f t="shared" si="120"/>
        <v>1</v>
      </c>
      <c r="G184" s="49"/>
      <c r="H184" s="50"/>
      <c r="I184" s="122"/>
      <c r="J184" s="49"/>
      <c r="K184" s="50"/>
      <c r="L184" s="50"/>
      <c r="M184" s="90"/>
      <c r="N184" s="50"/>
      <c r="O184" s="50"/>
      <c r="P184" s="90"/>
      <c r="Q184" s="52">
        <f t="shared" si="86"/>
        <v>0</v>
      </c>
      <c r="R184" s="52">
        <f t="shared" si="87"/>
        <v>0</v>
      </c>
      <c r="S184" s="53">
        <f t="shared" si="88"/>
        <v>0</v>
      </c>
      <c r="T184" s="54">
        <f t="shared" si="89"/>
        <v>0</v>
      </c>
      <c r="U184" s="115">
        <f>SUM(Tableau1[[#This Row],[Vente confiserie]:[Vente boisson]])</f>
        <v>0</v>
      </c>
      <c r="V184" s="55"/>
      <c r="W184" s="55"/>
      <c r="X184" s="135">
        <f>SUM(Tableau1[[#This Row],[Vente lunette]:[Location lunette]])</f>
        <v>0</v>
      </c>
      <c r="Y184" s="55"/>
      <c r="Z184" s="55"/>
      <c r="AA184" s="55"/>
      <c r="AB184" s="55"/>
      <c r="AC184" s="56">
        <f t="shared" si="118"/>
        <v>0</v>
      </c>
      <c r="AD184" s="57"/>
      <c r="AE184" s="57"/>
      <c r="AF184" s="57"/>
      <c r="AG184" s="57"/>
      <c r="AH184" s="57"/>
      <c r="AI184" s="57"/>
      <c r="AJ184" s="118">
        <f>(Tableau1[[#This Row],[Recette guichet ]]*1.1275177)-Tableau1[[#This Row],[Recette guichet ]]</f>
        <v>0</v>
      </c>
      <c r="AK184" s="57"/>
      <c r="AL184" s="56">
        <f t="shared" si="119"/>
        <v>0</v>
      </c>
      <c r="AM184" s="58"/>
      <c r="AN184" s="58"/>
      <c r="AO184" s="58"/>
      <c r="AP184" s="115">
        <f t="shared" si="90"/>
        <v>0</v>
      </c>
      <c r="AQ184" s="69"/>
      <c r="AR184" s="69"/>
      <c r="AS184" s="69"/>
      <c r="AT184" s="69"/>
      <c r="AU184" s="59">
        <f t="shared" si="91"/>
        <v>0</v>
      </c>
      <c r="AV184" s="60">
        <f t="shared" si="92"/>
        <v>0</v>
      </c>
      <c r="AW184" s="58"/>
      <c r="AX184" s="58"/>
      <c r="AY184" s="58"/>
      <c r="AZ184" s="60">
        <f t="shared" ref="AZ184:AZ247" si="121">SUM(BA184:BC184)</f>
        <v>0</v>
      </c>
      <c r="BA184" s="58"/>
      <c r="BB184" s="58"/>
      <c r="BC184" s="58"/>
      <c r="BD184" s="60">
        <f>SUM(Tableau1[[#This Row],[ticket/carte/abonnement périmé]:[Autres ou non précisé 5]])</f>
        <v>0</v>
      </c>
      <c r="BE184" s="58"/>
      <c r="BF184" s="58"/>
      <c r="BG184" s="58"/>
      <c r="BH184" s="61">
        <f t="shared" si="93"/>
        <v>0</v>
      </c>
      <c r="BI184" s="120"/>
      <c r="BJ184" s="120"/>
      <c r="BK184" s="62">
        <f t="shared" si="94"/>
        <v>0</v>
      </c>
      <c r="BL184" s="120"/>
      <c r="BM184" s="120"/>
      <c r="BN184" s="120"/>
      <c r="BO184" s="120"/>
      <c r="BP184" s="120"/>
      <c r="BQ184" s="63"/>
      <c r="BR184" s="52">
        <f t="shared" si="95"/>
        <v>0</v>
      </c>
      <c r="BS184" s="52">
        <f t="shared" si="96"/>
        <v>0</v>
      </c>
      <c r="BT184" s="61">
        <f t="shared" si="97"/>
        <v>0</v>
      </c>
      <c r="BU184" s="64">
        <f t="shared" si="98"/>
        <v>0</v>
      </c>
      <c r="BV184" s="119">
        <f>SUM(Tableau1[[#This Row],[Achats confiserie]:[Achats boisson]])</f>
        <v>0</v>
      </c>
      <c r="BW184" s="58"/>
      <c r="BX184" s="69"/>
      <c r="BY184" s="58"/>
      <c r="BZ184" s="56">
        <f t="shared" si="99"/>
        <v>0</v>
      </c>
      <c r="CA184" s="66"/>
      <c r="CB184" s="66"/>
      <c r="CC184" s="56">
        <f t="shared" si="100"/>
        <v>0</v>
      </c>
      <c r="CD184" s="55"/>
      <c r="CE184" s="65"/>
      <c r="CF184" s="55"/>
      <c r="CG184" s="55"/>
      <c r="CH184" s="67">
        <f t="shared" si="101"/>
        <v>0</v>
      </c>
      <c r="CI184" s="68">
        <f t="shared" si="117"/>
        <v>0</v>
      </c>
      <c r="CJ184" s="55"/>
      <c r="CK184" s="55"/>
      <c r="CL184" s="55"/>
      <c r="CM184" s="55"/>
      <c r="CN184" s="55"/>
      <c r="CO184" s="68">
        <f t="shared" si="102"/>
        <v>0</v>
      </c>
      <c r="CP184" s="75">
        <f>SUM(Tableau1[[#This Row],[Fourniture eau]:[Energie (non précisé)]])</f>
        <v>0</v>
      </c>
      <c r="CQ184" s="55"/>
      <c r="CR184" s="55"/>
      <c r="CS184" s="55"/>
      <c r="CT184" s="55"/>
      <c r="CU184" s="55"/>
      <c r="CV184" s="55">
        <v>0</v>
      </c>
      <c r="CW184" s="55"/>
      <c r="CX184" s="68">
        <f>SUM(Tableau1[[#This Row],[Sous-traitance]:[Autres ou non précisé 12]])</f>
        <v>0</v>
      </c>
      <c r="CY184" s="65"/>
      <c r="CZ184" s="65"/>
      <c r="DA184" s="65"/>
      <c r="DB184" s="65"/>
      <c r="DC184" s="55"/>
      <c r="DD184" s="68">
        <f t="shared" ref="DD184:DD247" si="122">SUM(DE184:DH184)</f>
        <v>0</v>
      </c>
      <c r="DE184" s="55"/>
      <c r="DF184" s="65"/>
      <c r="DG184" s="65"/>
      <c r="DH184" s="65"/>
      <c r="DI184" s="68">
        <f>SUM(Tableau1[[#This Row],[Entretien et réparation matériel de projection]:[Autres ou non précisé 14]])</f>
        <v>0</v>
      </c>
      <c r="DJ184" s="58"/>
      <c r="DK184" s="58"/>
      <c r="DL184" s="69"/>
      <c r="DM184" s="68">
        <f t="shared" si="103"/>
        <v>0</v>
      </c>
      <c r="DN184" s="58"/>
      <c r="DO184" s="58"/>
      <c r="DP184" s="68">
        <f t="shared" si="104"/>
        <v>0</v>
      </c>
      <c r="DQ184" s="65"/>
      <c r="DR184" s="65"/>
      <c r="DS184" s="68">
        <f t="shared" si="105"/>
        <v>0</v>
      </c>
      <c r="DT184" s="65"/>
      <c r="DU184" s="65"/>
      <c r="DV184" s="65"/>
      <c r="DW184" s="68">
        <f>SUM(Tableau1[[#This Row],[Comission et courtage sur achats]:[Autres ou honoraires
 non précisé ]])</f>
        <v>0</v>
      </c>
      <c r="DX184" s="57"/>
      <c r="DY184" s="57"/>
      <c r="DZ184" s="65"/>
      <c r="EA184" s="65"/>
      <c r="EB184" s="65"/>
      <c r="EC184" s="68">
        <f t="shared" si="106"/>
        <v>0</v>
      </c>
      <c r="ED184" s="69"/>
      <c r="EE184" s="69"/>
      <c r="EF184" s="69"/>
      <c r="EG184" s="69"/>
      <c r="EH184" s="69"/>
      <c r="EI184" s="84">
        <f>SUM(Tableau1[[#This Row],[Transports sur films]:[autres ]])</f>
        <v>0</v>
      </c>
      <c r="EJ184" s="132">
        <v>0</v>
      </c>
      <c r="EK184" s="132"/>
      <c r="EL184" s="68">
        <f t="shared" si="107"/>
        <v>0</v>
      </c>
      <c r="EM184" s="65"/>
      <c r="EN184" s="65">
        <v>0</v>
      </c>
      <c r="EO184" s="65"/>
      <c r="EP184" s="65"/>
      <c r="EQ184" s="65"/>
      <c r="ER184" s="65"/>
      <c r="ES184" s="65"/>
      <c r="ET184" s="68">
        <f t="shared" si="108"/>
        <v>0</v>
      </c>
      <c r="EU184" s="65"/>
      <c r="EV184" s="65"/>
      <c r="EW184" s="65"/>
      <c r="EX184" s="65"/>
      <c r="EY184" s="65"/>
      <c r="EZ184" s="68">
        <f t="shared" si="85"/>
        <v>0</v>
      </c>
      <c r="FA184" s="65"/>
      <c r="FB184" s="65"/>
      <c r="FC184" s="70">
        <f t="shared" ref="FC184:FC247" si="123">SUM(FD184:FD184)</f>
        <v>0</v>
      </c>
      <c r="FD184" s="65"/>
      <c r="FE184" s="71">
        <f t="shared" si="109"/>
        <v>0</v>
      </c>
      <c r="FF184" s="72">
        <f t="shared" si="110"/>
        <v>0</v>
      </c>
      <c r="FG184" s="65"/>
      <c r="FH184" s="65"/>
      <c r="FI184" s="65"/>
      <c r="FJ184" s="56">
        <f t="shared" si="111"/>
        <v>0</v>
      </c>
      <c r="FK184" s="65"/>
      <c r="FL184" s="65"/>
      <c r="FM184" s="65"/>
      <c r="FN184" s="65"/>
      <c r="FO184" s="67">
        <f t="shared" si="112"/>
        <v>0</v>
      </c>
      <c r="FP184" s="57"/>
      <c r="FQ184" s="73"/>
      <c r="FR184" s="73"/>
      <c r="FS184" s="71">
        <f t="shared" si="113"/>
        <v>0</v>
      </c>
      <c r="FT184" s="91"/>
      <c r="FU184" s="91"/>
      <c r="FV184" s="67">
        <f>SUM(Tableau1[[#This Row],[Droits d''auteurs SACEM + cotisations SACEM]:[Autres ou non préciés]])</f>
        <v>0</v>
      </c>
      <c r="FW184" s="75">
        <f t="shared" si="114"/>
        <v>0</v>
      </c>
      <c r="FX184" s="74">
        <v>0</v>
      </c>
      <c r="FY184" s="74"/>
      <c r="FZ184" s="74"/>
      <c r="GA184" s="74"/>
      <c r="GB184" s="71">
        <f t="shared" si="115"/>
        <v>0</v>
      </c>
      <c r="GC184" s="92"/>
      <c r="GD184" s="92"/>
      <c r="GE184" s="67">
        <f t="shared" si="116"/>
        <v>0</v>
      </c>
      <c r="GF184" s="66"/>
      <c r="GG184" s="66"/>
      <c r="GH184" s="66"/>
      <c r="GI184" s="66"/>
      <c r="GJ184" s="77"/>
    </row>
    <row r="185" spans="1:192" ht="18.600000000000001" customHeight="1" x14ac:dyDescent="0.25">
      <c r="A185" s="89"/>
      <c r="B185" s="17"/>
      <c r="C185" s="50"/>
      <c r="D185" s="140"/>
      <c r="E185" s="51"/>
      <c r="F185" s="139">
        <f t="shared" si="120"/>
        <v>1</v>
      </c>
      <c r="G185" s="49"/>
      <c r="H185" s="50"/>
      <c r="I185" s="122"/>
      <c r="J185" s="49"/>
      <c r="K185" s="50"/>
      <c r="L185" s="50"/>
      <c r="M185" s="90"/>
      <c r="N185" s="50"/>
      <c r="O185" s="50"/>
      <c r="P185" s="90"/>
      <c r="Q185" s="52">
        <f t="shared" si="86"/>
        <v>0</v>
      </c>
      <c r="R185" s="52">
        <f t="shared" si="87"/>
        <v>0</v>
      </c>
      <c r="S185" s="53">
        <f t="shared" si="88"/>
        <v>0</v>
      </c>
      <c r="T185" s="54">
        <f t="shared" si="89"/>
        <v>0</v>
      </c>
      <c r="U185" s="115">
        <f>SUM(Tableau1[[#This Row],[Vente confiserie]:[Vente boisson]])</f>
        <v>0</v>
      </c>
      <c r="V185" s="55"/>
      <c r="W185" s="55"/>
      <c r="X185" s="135">
        <f>SUM(Tableau1[[#This Row],[Vente lunette]:[Location lunette]])</f>
        <v>0</v>
      </c>
      <c r="Y185" s="55"/>
      <c r="Z185" s="55"/>
      <c r="AA185" s="55"/>
      <c r="AB185" s="55"/>
      <c r="AC185" s="56">
        <f t="shared" si="118"/>
        <v>0</v>
      </c>
      <c r="AD185" s="57"/>
      <c r="AE185" s="57"/>
      <c r="AF185" s="57"/>
      <c r="AG185" s="57"/>
      <c r="AH185" s="57"/>
      <c r="AI185" s="57"/>
      <c r="AJ185" s="118">
        <f>(Tableau1[[#This Row],[Recette guichet ]]*1.1275177)-Tableau1[[#This Row],[Recette guichet ]]</f>
        <v>0</v>
      </c>
      <c r="AK185" s="57"/>
      <c r="AL185" s="56">
        <f t="shared" si="119"/>
        <v>0</v>
      </c>
      <c r="AM185" s="58"/>
      <c r="AN185" s="58"/>
      <c r="AO185" s="58"/>
      <c r="AP185" s="115">
        <f t="shared" si="90"/>
        <v>0</v>
      </c>
      <c r="AQ185" s="69"/>
      <c r="AR185" s="69"/>
      <c r="AS185" s="69"/>
      <c r="AT185" s="69"/>
      <c r="AU185" s="59">
        <f t="shared" si="91"/>
        <v>0</v>
      </c>
      <c r="AV185" s="60">
        <f t="shared" si="92"/>
        <v>0</v>
      </c>
      <c r="AW185" s="58"/>
      <c r="AX185" s="58"/>
      <c r="AY185" s="58"/>
      <c r="AZ185" s="60">
        <f t="shared" si="121"/>
        <v>0</v>
      </c>
      <c r="BA185" s="58"/>
      <c r="BB185" s="58"/>
      <c r="BC185" s="58"/>
      <c r="BD185" s="60">
        <f>SUM(Tableau1[[#This Row],[ticket/carte/abonnement périmé]:[Autres ou non précisé 5]])</f>
        <v>0</v>
      </c>
      <c r="BE185" s="58"/>
      <c r="BF185" s="58"/>
      <c r="BG185" s="58"/>
      <c r="BH185" s="61">
        <f t="shared" si="93"/>
        <v>0</v>
      </c>
      <c r="BI185" s="120"/>
      <c r="BJ185" s="120"/>
      <c r="BK185" s="62">
        <f t="shared" si="94"/>
        <v>0</v>
      </c>
      <c r="BL185" s="120"/>
      <c r="BM185" s="120"/>
      <c r="BN185" s="120"/>
      <c r="BO185" s="120"/>
      <c r="BP185" s="120"/>
      <c r="BQ185" s="63"/>
      <c r="BR185" s="52">
        <f t="shared" si="95"/>
        <v>0</v>
      </c>
      <c r="BS185" s="52">
        <f t="shared" si="96"/>
        <v>0</v>
      </c>
      <c r="BT185" s="61">
        <f t="shared" si="97"/>
        <v>0</v>
      </c>
      <c r="BU185" s="64">
        <f t="shared" si="98"/>
        <v>0</v>
      </c>
      <c r="BV185" s="119">
        <f>SUM(Tableau1[[#This Row],[Achats confiserie]:[Achats boisson]])</f>
        <v>0</v>
      </c>
      <c r="BW185" s="58"/>
      <c r="BX185" s="69"/>
      <c r="BY185" s="58"/>
      <c r="BZ185" s="56">
        <f t="shared" si="99"/>
        <v>0</v>
      </c>
      <c r="CA185" s="66"/>
      <c r="CB185" s="66"/>
      <c r="CC185" s="56">
        <f t="shared" si="100"/>
        <v>0</v>
      </c>
      <c r="CD185" s="55"/>
      <c r="CE185" s="65"/>
      <c r="CF185" s="55"/>
      <c r="CG185" s="55"/>
      <c r="CH185" s="67">
        <f t="shared" si="101"/>
        <v>0</v>
      </c>
      <c r="CI185" s="68">
        <f t="shared" si="117"/>
        <v>0</v>
      </c>
      <c r="CJ185" s="55"/>
      <c r="CK185" s="55"/>
      <c r="CL185" s="55"/>
      <c r="CM185" s="55"/>
      <c r="CN185" s="55"/>
      <c r="CO185" s="68">
        <f t="shared" si="102"/>
        <v>0</v>
      </c>
      <c r="CP185" s="75">
        <f>SUM(Tableau1[[#This Row],[Fourniture eau]:[Energie (non précisé)]])</f>
        <v>0</v>
      </c>
      <c r="CQ185" s="55"/>
      <c r="CR185" s="55"/>
      <c r="CS185" s="55"/>
      <c r="CT185" s="55"/>
      <c r="CU185" s="55"/>
      <c r="CV185" s="55">
        <v>0</v>
      </c>
      <c r="CW185" s="55"/>
      <c r="CX185" s="68">
        <f>SUM(Tableau1[[#This Row],[Sous-traitance]:[Autres ou non précisé 12]])</f>
        <v>0</v>
      </c>
      <c r="CY185" s="65"/>
      <c r="CZ185" s="65"/>
      <c r="DA185" s="65"/>
      <c r="DB185" s="65"/>
      <c r="DC185" s="55"/>
      <c r="DD185" s="68">
        <f t="shared" si="122"/>
        <v>0</v>
      </c>
      <c r="DE185" s="55"/>
      <c r="DF185" s="65"/>
      <c r="DG185" s="65"/>
      <c r="DH185" s="65"/>
      <c r="DI185" s="68">
        <f>SUM(Tableau1[[#This Row],[Entretien et réparation matériel de projection]:[Autres ou non précisé 14]])</f>
        <v>0</v>
      </c>
      <c r="DJ185" s="58"/>
      <c r="DK185" s="58"/>
      <c r="DL185" s="69"/>
      <c r="DM185" s="68">
        <f t="shared" si="103"/>
        <v>0</v>
      </c>
      <c r="DN185" s="58"/>
      <c r="DO185" s="58"/>
      <c r="DP185" s="68">
        <f t="shared" si="104"/>
        <v>0</v>
      </c>
      <c r="DQ185" s="65"/>
      <c r="DR185" s="65"/>
      <c r="DS185" s="68">
        <f t="shared" si="105"/>
        <v>0</v>
      </c>
      <c r="DT185" s="65"/>
      <c r="DU185" s="65"/>
      <c r="DV185" s="65"/>
      <c r="DW185" s="68">
        <f>SUM(Tableau1[[#This Row],[Comission et courtage sur achats]:[Autres ou honoraires
 non précisé ]])</f>
        <v>0</v>
      </c>
      <c r="DX185" s="57"/>
      <c r="DY185" s="57"/>
      <c r="DZ185" s="65"/>
      <c r="EA185" s="65"/>
      <c r="EB185" s="65"/>
      <c r="EC185" s="68">
        <f t="shared" si="106"/>
        <v>0</v>
      </c>
      <c r="ED185" s="69"/>
      <c r="EE185" s="69"/>
      <c r="EF185" s="69"/>
      <c r="EG185" s="69"/>
      <c r="EH185" s="69"/>
      <c r="EI185" s="84">
        <f>SUM(Tableau1[[#This Row],[Transports sur films]:[autres ]])</f>
        <v>0</v>
      </c>
      <c r="EJ185" s="132">
        <v>0</v>
      </c>
      <c r="EK185" s="132"/>
      <c r="EL185" s="68">
        <f t="shared" si="107"/>
        <v>0</v>
      </c>
      <c r="EM185" s="65"/>
      <c r="EN185" s="65">
        <v>0</v>
      </c>
      <c r="EO185" s="65"/>
      <c r="EP185" s="65"/>
      <c r="EQ185" s="65"/>
      <c r="ER185" s="65"/>
      <c r="ES185" s="65"/>
      <c r="ET185" s="68">
        <f t="shared" si="108"/>
        <v>0</v>
      </c>
      <c r="EU185" s="65"/>
      <c r="EV185" s="65"/>
      <c r="EW185" s="65"/>
      <c r="EX185" s="65"/>
      <c r="EY185" s="65"/>
      <c r="EZ185" s="68">
        <f t="shared" si="85"/>
        <v>0</v>
      </c>
      <c r="FA185" s="65"/>
      <c r="FB185" s="65"/>
      <c r="FC185" s="70">
        <f t="shared" si="123"/>
        <v>0</v>
      </c>
      <c r="FD185" s="65"/>
      <c r="FE185" s="71">
        <f t="shared" si="109"/>
        <v>0</v>
      </c>
      <c r="FF185" s="72">
        <f t="shared" si="110"/>
        <v>0</v>
      </c>
      <c r="FG185" s="65"/>
      <c r="FH185" s="65"/>
      <c r="FI185" s="65"/>
      <c r="FJ185" s="56">
        <f t="shared" si="111"/>
        <v>0</v>
      </c>
      <c r="FK185" s="65"/>
      <c r="FL185" s="65"/>
      <c r="FM185" s="65"/>
      <c r="FN185" s="65"/>
      <c r="FO185" s="67">
        <f t="shared" si="112"/>
        <v>0</v>
      </c>
      <c r="FP185" s="57"/>
      <c r="FQ185" s="73"/>
      <c r="FR185" s="73"/>
      <c r="FS185" s="71">
        <f t="shared" si="113"/>
        <v>0</v>
      </c>
      <c r="FT185" s="91"/>
      <c r="FU185" s="91"/>
      <c r="FV185" s="67">
        <f>SUM(Tableau1[[#This Row],[Droits d''auteurs SACEM + cotisations SACEM]:[Autres ou non préciés]])</f>
        <v>0</v>
      </c>
      <c r="FW185" s="75">
        <f t="shared" si="114"/>
        <v>0</v>
      </c>
      <c r="FX185" s="74">
        <v>0</v>
      </c>
      <c r="FY185" s="74"/>
      <c r="FZ185" s="74"/>
      <c r="GA185" s="74"/>
      <c r="GB185" s="71">
        <f t="shared" si="115"/>
        <v>0</v>
      </c>
      <c r="GC185" s="92"/>
      <c r="GD185" s="92"/>
      <c r="GE185" s="67">
        <f t="shared" si="116"/>
        <v>0</v>
      </c>
      <c r="GF185" s="66"/>
      <c r="GG185" s="66"/>
      <c r="GH185" s="66"/>
      <c r="GI185" s="66"/>
      <c r="GJ185" s="77"/>
    </row>
    <row r="186" spans="1:192" ht="18.600000000000001" customHeight="1" x14ac:dyDescent="0.25">
      <c r="A186" s="89"/>
      <c r="B186" s="17"/>
      <c r="C186" s="50"/>
      <c r="D186" s="140"/>
      <c r="E186" s="51"/>
      <c r="F186" s="139">
        <f t="shared" si="120"/>
        <v>1</v>
      </c>
      <c r="G186" s="49"/>
      <c r="H186" s="50"/>
      <c r="I186" s="122"/>
      <c r="J186" s="49"/>
      <c r="K186" s="50"/>
      <c r="L186" s="50"/>
      <c r="M186" s="90"/>
      <c r="N186" s="50"/>
      <c r="O186" s="50"/>
      <c r="P186" s="90"/>
      <c r="Q186" s="52">
        <f t="shared" si="86"/>
        <v>0</v>
      </c>
      <c r="R186" s="52">
        <f t="shared" si="87"/>
        <v>0</v>
      </c>
      <c r="S186" s="53">
        <f t="shared" si="88"/>
        <v>0</v>
      </c>
      <c r="T186" s="54">
        <f t="shared" si="89"/>
        <v>0</v>
      </c>
      <c r="U186" s="115">
        <f>SUM(Tableau1[[#This Row],[Vente confiserie]:[Vente boisson]])</f>
        <v>0</v>
      </c>
      <c r="V186" s="55"/>
      <c r="W186" s="55"/>
      <c r="X186" s="135">
        <f>SUM(Tableau1[[#This Row],[Vente lunette]:[Location lunette]])</f>
        <v>0</v>
      </c>
      <c r="Y186" s="55"/>
      <c r="Z186" s="55"/>
      <c r="AA186" s="55"/>
      <c r="AB186" s="55"/>
      <c r="AC186" s="56">
        <f t="shared" si="118"/>
        <v>0</v>
      </c>
      <c r="AD186" s="57"/>
      <c r="AE186" s="57"/>
      <c r="AF186" s="57"/>
      <c r="AG186" s="57"/>
      <c r="AH186" s="57"/>
      <c r="AI186" s="57"/>
      <c r="AJ186" s="118">
        <f>(Tableau1[[#This Row],[Recette guichet ]]*1.1275177)-Tableau1[[#This Row],[Recette guichet ]]</f>
        <v>0</v>
      </c>
      <c r="AK186" s="57"/>
      <c r="AL186" s="56">
        <f t="shared" si="119"/>
        <v>0</v>
      </c>
      <c r="AM186" s="58"/>
      <c r="AN186" s="58"/>
      <c r="AO186" s="58"/>
      <c r="AP186" s="115">
        <f t="shared" si="90"/>
        <v>0</v>
      </c>
      <c r="AQ186" s="69"/>
      <c r="AR186" s="69"/>
      <c r="AS186" s="69"/>
      <c r="AT186" s="69"/>
      <c r="AU186" s="59">
        <f t="shared" si="91"/>
        <v>0</v>
      </c>
      <c r="AV186" s="60">
        <f t="shared" si="92"/>
        <v>0</v>
      </c>
      <c r="AW186" s="58"/>
      <c r="AX186" s="58"/>
      <c r="AY186" s="58"/>
      <c r="AZ186" s="60">
        <f t="shared" si="121"/>
        <v>0</v>
      </c>
      <c r="BA186" s="58"/>
      <c r="BB186" s="58"/>
      <c r="BC186" s="58"/>
      <c r="BD186" s="60">
        <f>SUM(Tableau1[[#This Row],[ticket/carte/abonnement périmé]:[Autres ou non précisé 5]])</f>
        <v>0</v>
      </c>
      <c r="BE186" s="58"/>
      <c r="BF186" s="58"/>
      <c r="BG186" s="58"/>
      <c r="BH186" s="61">
        <f t="shared" si="93"/>
        <v>0</v>
      </c>
      <c r="BI186" s="120"/>
      <c r="BJ186" s="120"/>
      <c r="BK186" s="62">
        <f t="shared" si="94"/>
        <v>0</v>
      </c>
      <c r="BL186" s="120"/>
      <c r="BM186" s="120"/>
      <c r="BN186" s="120"/>
      <c r="BO186" s="120"/>
      <c r="BP186" s="120"/>
      <c r="BQ186" s="63"/>
      <c r="BR186" s="52">
        <f t="shared" si="95"/>
        <v>0</v>
      </c>
      <c r="BS186" s="52">
        <f t="shared" si="96"/>
        <v>0</v>
      </c>
      <c r="BT186" s="61">
        <f t="shared" si="97"/>
        <v>0</v>
      </c>
      <c r="BU186" s="64">
        <f t="shared" si="98"/>
        <v>0</v>
      </c>
      <c r="BV186" s="119">
        <f>SUM(Tableau1[[#This Row],[Achats confiserie]:[Achats boisson]])</f>
        <v>0</v>
      </c>
      <c r="BW186" s="58"/>
      <c r="BX186" s="69"/>
      <c r="BY186" s="58"/>
      <c r="BZ186" s="56">
        <f t="shared" si="99"/>
        <v>0</v>
      </c>
      <c r="CA186" s="66"/>
      <c r="CB186" s="66"/>
      <c r="CC186" s="56">
        <f t="shared" si="100"/>
        <v>0</v>
      </c>
      <c r="CD186" s="55"/>
      <c r="CE186" s="65"/>
      <c r="CF186" s="55"/>
      <c r="CG186" s="55"/>
      <c r="CH186" s="67">
        <f t="shared" si="101"/>
        <v>0</v>
      </c>
      <c r="CI186" s="68">
        <f t="shared" si="117"/>
        <v>0</v>
      </c>
      <c r="CJ186" s="55"/>
      <c r="CK186" s="55"/>
      <c r="CL186" s="55"/>
      <c r="CM186" s="55"/>
      <c r="CN186" s="55"/>
      <c r="CO186" s="68">
        <f t="shared" si="102"/>
        <v>0</v>
      </c>
      <c r="CP186" s="75">
        <f>SUM(Tableau1[[#This Row],[Fourniture eau]:[Energie (non précisé)]])</f>
        <v>0</v>
      </c>
      <c r="CQ186" s="55"/>
      <c r="CR186" s="55"/>
      <c r="CS186" s="55"/>
      <c r="CT186" s="55"/>
      <c r="CU186" s="55"/>
      <c r="CV186" s="55">
        <v>0</v>
      </c>
      <c r="CW186" s="55"/>
      <c r="CX186" s="68">
        <f>SUM(Tableau1[[#This Row],[Sous-traitance]:[Autres ou non précisé 12]])</f>
        <v>0</v>
      </c>
      <c r="CY186" s="65"/>
      <c r="CZ186" s="65"/>
      <c r="DA186" s="65"/>
      <c r="DB186" s="65"/>
      <c r="DC186" s="55"/>
      <c r="DD186" s="68">
        <f t="shared" si="122"/>
        <v>0</v>
      </c>
      <c r="DE186" s="55"/>
      <c r="DF186" s="65"/>
      <c r="DG186" s="65"/>
      <c r="DH186" s="65"/>
      <c r="DI186" s="68">
        <f>SUM(Tableau1[[#This Row],[Entretien et réparation matériel de projection]:[Autres ou non précisé 14]])</f>
        <v>0</v>
      </c>
      <c r="DJ186" s="58"/>
      <c r="DK186" s="58"/>
      <c r="DL186" s="69"/>
      <c r="DM186" s="68">
        <f t="shared" si="103"/>
        <v>0</v>
      </c>
      <c r="DN186" s="58"/>
      <c r="DO186" s="58"/>
      <c r="DP186" s="68">
        <f t="shared" si="104"/>
        <v>0</v>
      </c>
      <c r="DQ186" s="65"/>
      <c r="DR186" s="65"/>
      <c r="DS186" s="68">
        <f t="shared" si="105"/>
        <v>0</v>
      </c>
      <c r="DT186" s="65"/>
      <c r="DU186" s="65"/>
      <c r="DV186" s="65"/>
      <c r="DW186" s="68">
        <f>SUM(Tableau1[[#This Row],[Comission et courtage sur achats]:[Autres ou honoraires
 non précisé ]])</f>
        <v>0</v>
      </c>
      <c r="DX186" s="57"/>
      <c r="DY186" s="57"/>
      <c r="DZ186" s="65"/>
      <c r="EA186" s="65"/>
      <c r="EB186" s="65"/>
      <c r="EC186" s="68">
        <f t="shared" si="106"/>
        <v>0</v>
      </c>
      <c r="ED186" s="69"/>
      <c r="EE186" s="69"/>
      <c r="EF186" s="69"/>
      <c r="EG186" s="69"/>
      <c r="EH186" s="69"/>
      <c r="EI186" s="84">
        <f>SUM(Tableau1[[#This Row],[Transports sur films]:[autres ]])</f>
        <v>0</v>
      </c>
      <c r="EJ186" s="132">
        <v>0</v>
      </c>
      <c r="EK186" s="132"/>
      <c r="EL186" s="68">
        <f t="shared" si="107"/>
        <v>0</v>
      </c>
      <c r="EM186" s="65"/>
      <c r="EN186" s="65">
        <v>0</v>
      </c>
      <c r="EO186" s="65"/>
      <c r="EP186" s="65"/>
      <c r="EQ186" s="65"/>
      <c r="ER186" s="65"/>
      <c r="ES186" s="65"/>
      <c r="ET186" s="68">
        <f t="shared" si="108"/>
        <v>0</v>
      </c>
      <c r="EU186" s="65"/>
      <c r="EV186" s="65"/>
      <c r="EW186" s="65"/>
      <c r="EX186" s="65"/>
      <c r="EY186" s="65"/>
      <c r="EZ186" s="68">
        <f t="shared" si="85"/>
        <v>0</v>
      </c>
      <c r="FA186" s="65"/>
      <c r="FB186" s="65"/>
      <c r="FC186" s="70">
        <f t="shared" si="123"/>
        <v>0</v>
      </c>
      <c r="FD186" s="65"/>
      <c r="FE186" s="71">
        <f t="shared" si="109"/>
        <v>0</v>
      </c>
      <c r="FF186" s="72">
        <f t="shared" si="110"/>
        <v>0</v>
      </c>
      <c r="FG186" s="65"/>
      <c r="FH186" s="65"/>
      <c r="FI186" s="65"/>
      <c r="FJ186" s="56">
        <f t="shared" si="111"/>
        <v>0</v>
      </c>
      <c r="FK186" s="65"/>
      <c r="FL186" s="65"/>
      <c r="FM186" s="65"/>
      <c r="FN186" s="65"/>
      <c r="FO186" s="67">
        <f t="shared" si="112"/>
        <v>0</v>
      </c>
      <c r="FP186" s="57"/>
      <c r="FQ186" s="73"/>
      <c r="FR186" s="73"/>
      <c r="FS186" s="71">
        <f t="shared" si="113"/>
        <v>0</v>
      </c>
      <c r="FT186" s="91"/>
      <c r="FU186" s="91"/>
      <c r="FV186" s="67">
        <f>SUM(Tableau1[[#This Row],[Droits d''auteurs SACEM + cotisations SACEM]:[Autres ou non préciés]])</f>
        <v>0</v>
      </c>
      <c r="FW186" s="75">
        <f t="shared" si="114"/>
        <v>0</v>
      </c>
      <c r="FX186" s="74">
        <v>0</v>
      </c>
      <c r="FY186" s="74"/>
      <c r="FZ186" s="74"/>
      <c r="GA186" s="74"/>
      <c r="GB186" s="71">
        <f t="shared" si="115"/>
        <v>0</v>
      </c>
      <c r="GC186" s="92"/>
      <c r="GD186" s="92"/>
      <c r="GE186" s="67">
        <f t="shared" si="116"/>
        <v>0</v>
      </c>
      <c r="GF186" s="66"/>
      <c r="GG186" s="66"/>
      <c r="GH186" s="66"/>
      <c r="GI186" s="66"/>
      <c r="GJ186" s="77"/>
    </row>
    <row r="187" spans="1:192" ht="18.600000000000001" customHeight="1" x14ac:dyDescent="0.25">
      <c r="A187" s="89"/>
      <c r="B187" s="17"/>
      <c r="C187" s="50"/>
      <c r="D187" s="140"/>
      <c r="E187" s="51"/>
      <c r="F187" s="139">
        <f t="shared" si="120"/>
        <v>1</v>
      </c>
      <c r="G187" s="49"/>
      <c r="H187" s="50"/>
      <c r="I187" s="122"/>
      <c r="J187" s="49"/>
      <c r="K187" s="50"/>
      <c r="L187" s="50"/>
      <c r="M187" s="90"/>
      <c r="N187" s="50"/>
      <c r="O187" s="50"/>
      <c r="P187" s="90"/>
      <c r="Q187" s="52">
        <f t="shared" si="86"/>
        <v>0</v>
      </c>
      <c r="R187" s="52">
        <f t="shared" si="87"/>
        <v>0</v>
      </c>
      <c r="S187" s="53">
        <f t="shared" si="88"/>
        <v>0</v>
      </c>
      <c r="T187" s="54">
        <f t="shared" si="89"/>
        <v>0</v>
      </c>
      <c r="U187" s="115">
        <f>SUM(Tableau1[[#This Row],[Vente confiserie]:[Vente boisson]])</f>
        <v>0</v>
      </c>
      <c r="V187" s="55"/>
      <c r="W187" s="55"/>
      <c r="X187" s="135">
        <f>SUM(Tableau1[[#This Row],[Vente lunette]:[Location lunette]])</f>
        <v>0</v>
      </c>
      <c r="Y187" s="55"/>
      <c r="Z187" s="55"/>
      <c r="AA187" s="55"/>
      <c r="AB187" s="55"/>
      <c r="AC187" s="56">
        <f t="shared" si="118"/>
        <v>0</v>
      </c>
      <c r="AD187" s="57"/>
      <c r="AE187" s="57"/>
      <c r="AF187" s="57"/>
      <c r="AG187" s="57"/>
      <c r="AH187" s="57"/>
      <c r="AI187" s="57"/>
      <c r="AJ187" s="118">
        <f>(Tableau1[[#This Row],[Recette guichet ]]*1.1275177)-Tableau1[[#This Row],[Recette guichet ]]</f>
        <v>0</v>
      </c>
      <c r="AK187" s="57"/>
      <c r="AL187" s="56">
        <f t="shared" si="119"/>
        <v>0</v>
      </c>
      <c r="AM187" s="58"/>
      <c r="AN187" s="58"/>
      <c r="AO187" s="58"/>
      <c r="AP187" s="115">
        <f t="shared" si="90"/>
        <v>0</v>
      </c>
      <c r="AQ187" s="69"/>
      <c r="AR187" s="69"/>
      <c r="AS187" s="69"/>
      <c r="AT187" s="69"/>
      <c r="AU187" s="59">
        <f t="shared" si="91"/>
        <v>0</v>
      </c>
      <c r="AV187" s="60">
        <f t="shared" si="92"/>
        <v>0</v>
      </c>
      <c r="AW187" s="58"/>
      <c r="AX187" s="58"/>
      <c r="AY187" s="58"/>
      <c r="AZ187" s="60">
        <f t="shared" si="121"/>
        <v>0</v>
      </c>
      <c r="BA187" s="58"/>
      <c r="BB187" s="58"/>
      <c r="BC187" s="58"/>
      <c r="BD187" s="60">
        <f>SUM(Tableau1[[#This Row],[ticket/carte/abonnement périmé]:[Autres ou non précisé 5]])</f>
        <v>0</v>
      </c>
      <c r="BE187" s="58"/>
      <c r="BF187" s="58"/>
      <c r="BG187" s="58"/>
      <c r="BH187" s="61">
        <f t="shared" si="93"/>
        <v>0</v>
      </c>
      <c r="BI187" s="120"/>
      <c r="BJ187" s="120"/>
      <c r="BK187" s="62">
        <f t="shared" si="94"/>
        <v>0</v>
      </c>
      <c r="BL187" s="120"/>
      <c r="BM187" s="120"/>
      <c r="BN187" s="120"/>
      <c r="BO187" s="120"/>
      <c r="BP187" s="120"/>
      <c r="BQ187" s="63"/>
      <c r="BR187" s="52">
        <f t="shared" si="95"/>
        <v>0</v>
      </c>
      <c r="BS187" s="52">
        <f t="shared" si="96"/>
        <v>0</v>
      </c>
      <c r="BT187" s="61">
        <f t="shared" si="97"/>
        <v>0</v>
      </c>
      <c r="BU187" s="64">
        <f t="shared" si="98"/>
        <v>0</v>
      </c>
      <c r="BV187" s="119">
        <f>SUM(Tableau1[[#This Row],[Achats confiserie]:[Achats boisson]])</f>
        <v>0</v>
      </c>
      <c r="BW187" s="58"/>
      <c r="BX187" s="69"/>
      <c r="BY187" s="58"/>
      <c r="BZ187" s="56">
        <f t="shared" si="99"/>
        <v>0</v>
      </c>
      <c r="CA187" s="66"/>
      <c r="CB187" s="66"/>
      <c r="CC187" s="56">
        <f t="shared" si="100"/>
        <v>0</v>
      </c>
      <c r="CD187" s="55"/>
      <c r="CE187" s="65"/>
      <c r="CF187" s="55"/>
      <c r="CG187" s="55"/>
      <c r="CH187" s="67">
        <f t="shared" si="101"/>
        <v>0</v>
      </c>
      <c r="CI187" s="68">
        <f t="shared" si="117"/>
        <v>0</v>
      </c>
      <c r="CJ187" s="55"/>
      <c r="CK187" s="55"/>
      <c r="CL187" s="55"/>
      <c r="CM187" s="55"/>
      <c r="CN187" s="55"/>
      <c r="CO187" s="68">
        <f t="shared" si="102"/>
        <v>0</v>
      </c>
      <c r="CP187" s="75">
        <f>SUM(Tableau1[[#This Row],[Fourniture eau]:[Energie (non précisé)]])</f>
        <v>0</v>
      </c>
      <c r="CQ187" s="55"/>
      <c r="CR187" s="55"/>
      <c r="CS187" s="55"/>
      <c r="CT187" s="55"/>
      <c r="CU187" s="55"/>
      <c r="CV187" s="55">
        <v>0</v>
      </c>
      <c r="CW187" s="55"/>
      <c r="CX187" s="68">
        <f>SUM(Tableau1[[#This Row],[Sous-traitance]:[Autres ou non précisé 12]])</f>
        <v>0</v>
      </c>
      <c r="CY187" s="65"/>
      <c r="CZ187" s="65"/>
      <c r="DA187" s="65"/>
      <c r="DB187" s="65"/>
      <c r="DC187" s="55"/>
      <c r="DD187" s="68">
        <f t="shared" si="122"/>
        <v>0</v>
      </c>
      <c r="DE187" s="55"/>
      <c r="DF187" s="65"/>
      <c r="DG187" s="65"/>
      <c r="DH187" s="65"/>
      <c r="DI187" s="68">
        <f>SUM(Tableau1[[#This Row],[Entretien et réparation matériel de projection]:[Autres ou non précisé 14]])</f>
        <v>0</v>
      </c>
      <c r="DJ187" s="58"/>
      <c r="DK187" s="58"/>
      <c r="DL187" s="69"/>
      <c r="DM187" s="68">
        <f t="shared" si="103"/>
        <v>0</v>
      </c>
      <c r="DN187" s="58"/>
      <c r="DO187" s="58"/>
      <c r="DP187" s="68">
        <f t="shared" si="104"/>
        <v>0</v>
      </c>
      <c r="DQ187" s="65"/>
      <c r="DR187" s="65"/>
      <c r="DS187" s="68">
        <f t="shared" si="105"/>
        <v>0</v>
      </c>
      <c r="DT187" s="65"/>
      <c r="DU187" s="65"/>
      <c r="DV187" s="65"/>
      <c r="DW187" s="68">
        <f>SUM(Tableau1[[#This Row],[Comission et courtage sur achats]:[Autres ou honoraires
 non précisé ]])</f>
        <v>0</v>
      </c>
      <c r="DX187" s="57"/>
      <c r="DY187" s="57"/>
      <c r="DZ187" s="65"/>
      <c r="EA187" s="65"/>
      <c r="EB187" s="65"/>
      <c r="EC187" s="68">
        <f t="shared" si="106"/>
        <v>0</v>
      </c>
      <c r="ED187" s="69"/>
      <c r="EE187" s="69"/>
      <c r="EF187" s="69"/>
      <c r="EG187" s="69"/>
      <c r="EH187" s="69"/>
      <c r="EI187" s="84">
        <f>SUM(Tableau1[[#This Row],[Transports sur films]:[autres ]])</f>
        <v>0</v>
      </c>
      <c r="EJ187" s="132">
        <v>0</v>
      </c>
      <c r="EK187" s="132"/>
      <c r="EL187" s="68">
        <f t="shared" si="107"/>
        <v>0</v>
      </c>
      <c r="EM187" s="65"/>
      <c r="EN187" s="65">
        <v>0</v>
      </c>
      <c r="EO187" s="65"/>
      <c r="EP187" s="65"/>
      <c r="EQ187" s="65"/>
      <c r="ER187" s="65"/>
      <c r="ES187" s="65"/>
      <c r="ET187" s="68">
        <f t="shared" si="108"/>
        <v>0</v>
      </c>
      <c r="EU187" s="65"/>
      <c r="EV187" s="65"/>
      <c r="EW187" s="65"/>
      <c r="EX187" s="65"/>
      <c r="EY187" s="65"/>
      <c r="EZ187" s="68">
        <f t="shared" ref="EZ187:EZ250" si="124">SUM(FA187:FB187)</f>
        <v>0</v>
      </c>
      <c r="FA187" s="65"/>
      <c r="FB187" s="65"/>
      <c r="FC187" s="70">
        <f t="shared" si="123"/>
        <v>0</v>
      </c>
      <c r="FD187" s="65"/>
      <c r="FE187" s="71">
        <f t="shared" si="109"/>
        <v>0</v>
      </c>
      <c r="FF187" s="72">
        <f t="shared" si="110"/>
        <v>0</v>
      </c>
      <c r="FG187" s="65"/>
      <c r="FH187" s="65"/>
      <c r="FI187" s="65"/>
      <c r="FJ187" s="56">
        <f t="shared" si="111"/>
        <v>0</v>
      </c>
      <c r="FK187" s="65"/>
      <c r="FL187" s="65"/>
      <c r="FM187" s="65"/>
      <c r="FN187" s="65"/>
      <c r="FO187" s="67">
        <f t="shared" si="112"/>
        <v>0</v>
      </c>
      <c r="FP187" s="57"/>
      <c r="FQ187" s="73"/>
      <c r="FR187" s="73"/>
      <c r="FS187" s="71">
        <f t="shared" si="113"/>
        <v>0</v>
      </c>
      <c r="FT187" s="91"/>
      <c r="FU187" s="91"/>
      <c r="FV187" s="67">
        <f>SUM(Tableau1[[#This Row],[Droits d''auteurs SACEM + cotisations SACEM]:[Autres ou non préciés]])</f>
        <v>0</v>
      </c>
      <c r="FW187" s="75">
        <f t="shared" si="114"/>
        <v>0</v>
      </c>
      <c r="FX187" s="74">
        <v>0</v>
      </c>
      <c r="FY187" s="74"/>
      <c r="FZ187" s="74"/>
      <c r="GA187" s="74"/>
      <c r="GB187" s="71">
        <f t="shared" si="115"/>
        <v>0</v>
      </c>
      <c r="GC187" s="92"/>
      <c r="GD187" s="92"/>
      <c r="GE187" s="67">
        <f t="shared" si="116"/>
        <v>0</v>
      </c>
      <c r="GF187" s="66"/>
      <c r="GG187" s="66"/>
      <c r="GH187" s="66"/>
      <c r="GI187" s="66"/>
      <c r="GJ187" s="77"/>
    </row>
    <row r="188" spans="1:192" ht="18.600000000000001" customHeight="1" x14ac:dyDescent="0.25">
      <c r="A188" s="89"/>
      <c r="B188" s="17"/>
      <c r="C188" s="50"/>
      <c r="D188" s="140"/>
      <c r="E188" s="51"/>
      <c r="F188" s="139">
        <f t="shared" si="120"/>
        <v>1</v>
      </c>
      <c r="G188" s="49"/>
      <c r="H188" s="50"/>
      <c r="I188" s="122"/>
      <c r="J188" s="49"/>
      <c r="K188" s="50"/>
      <c r="L188" s="50"/>
      <c r="M188" s="90"/>
      <c r="N188" s="50"/>
      <c r="O188" s="50"/>
      <c r="P188" s="90"/>
      <c r="Q188" s="52">
        <f t="shared" si="86"/>
        <v>0</v>
      </c>
      <c r="R188" s="52">
        <f t="shared" si="87"/>
        <v>0</v>
      </c>
      <c r="S188" s="53">
        <f t="shared" si="88"/>
        <v>0</v>
      </c>
      <c r="T188" s="54">
        <f t="shared" si="89"/>
        <v>0</v>
      </c>
      <c r="U188" s="115">
        <f>SUM(Tableau1[[#This Row],[Vente confiserie]:[Vente boisson]])</f>
        <v>0</v>
      </c>
      <c r="V188" s="55"/>
      <c r="W188" s="55"/>
      <c r="X188" s="135">
        <f>SUM(Tableau1[[#This Row],[Vente lunette]:[Location lunette]])</f>
        <v>0</v>
      </c>
      <c r="Y188" s="55"/>
      <c r="Z188" s="55"/>
      <c r="AA188" s="55"/>
      <c r="AB188" s="55"/>
      <c r="AC188" s="56">
        <f t="shared" si="118"/>
        <v>0</v>
      </c>
      <c r="AD188" s="57"/>
      <c r="AE188" s="57"/>
      <c r="AF188" s="57"/>
      <c r="AG188" s="57"/>
      <c r="AH188" s="57"/>
      <c r="AI188" s="57"/>
      <c r="AJ188" s="118">
        <f>(Tableau1[[#This Row],[Recette guichet ]]*1.1275177)-Tableau1[[#This Row],[Recette guichet ]]</f>
        <v>0</v>
      </c>
      <c r="AK188" s="57"/>
      <c r="AL188" s="56">
        <f t="shared" si="119"/>
        <v>0</v>
      </c>
      <c r="AM188" s="58"/>
      <c r="AN188" s="58"/>
      <c r="AO188" s="58"/>
      <c r="AP188" s="115">
        <f t="shared" si="90"/>
        <v>0</v>
      </c>
      <c r="AQ188" s="69"/>
      <c r="AR188" s="69"/>
      <c r="AS188" s="69"/>
      <c r="AT188" s="69"/>
      <c r="AU188" s="59">
        <f t="shared" si="91"/>
        <v>0</v>
      </c>
      <c r="AV188" s="60">
        <f t="shared" si="92"/>
        <v>0</v>
      </c>
      <c r="AW188" s="58"/>
      <c r="AX188" s="58"/>
      <c r="AY188" s="58"/>
      <c r="AZ188" s="60">
        <f t="shared" si="121"/>
        <v>0</v>
      </c>
      <c r="BA188" s="58"/>
      <c r="BB188" s="58"/>
      <c r="BC188" s="58"/>
      <c r="BD188" s="60">
        <f>SUM(Tableau1[[#This Row],[ticket/carte/abonnement périmé]:[Autres ou non précisé 5]])</f>
        <v>0</v>
      </c>
      <c r="BE188" s="58"/>
      <c r="BF188" s="58"/>
      <c r="BG188" s="58"/>
      <c r="BH188" s="61">
        <f t="shared" si="93"/>
        <v>0</v>
      </c>
      <c r="BI188" s="120"/>
      <c r="BJ188" s="120"/>
      <c r="BK188" s="62">
        <f t="shared" si="94"/>
        <v>0</v>
      </c>
      <c r="BL188" s="120"/>
      <c r="BM188" s="120"/>
      <c r="BN188" s="120"/>
      <c r="BO188" s="120"/>
      <c r="BP188" s="120"/>
      <c r="BQ188" s="63"/>
      <c r="BR188" s="52">
        <f t="shared" si="95"/>
        <v>0</v>
      </c>
      <c r="BS188" s="52">
        <f t="shared" si="96"/>
        <v>0</v>
      </c>
      <c r="BT188" s="61">
        <f t="shared" si="97"/>
        <v>0</v>
      </c>
      <c r="BU188" s="64">
        <f t="shared" si="98"/>
        <v>0</v>
      </c>
      <c r="BV188" s="119">
        <f>SUM(Tableau1[[#This Row],[Achats confiserie]:[Achats boisson]])</f>
        <v>0</v>
      </c>
      <c r="BW188" s="58"/>
      <c r="BX188" s="69"/>
      <c r="BY188" s="58"/>
      <c r="BZ188" s="56">
        <f t="shared" si="99"/>
        <v>0</v>
      </c>
      <c r="CA188" s="66"/>
      <c r="CB188" s="66"/>
      <c r="CC188" s="56">
        <f t="shared" si="100"/>
        <v>0</v>
      </c>
      <c r="CD188" s="55"/>
      <c r="CE188" s="65"/>
      <c r="CF188" s="55"/>
      <c r="CG188" s="55"/>
      <c r="CH188" s="67">
        <f t="shared" si="101"/>
        <v>0</v>
      </c>
      <c r="CI188" s="68">
        <f t="shared" si="117"/>
        <v>0</v>
      </c>
      <c r="CJ188" s="55"/>
      <c r="CK188" s="55"/>
      <c r="CL188" s="55"/>
      <c r="CM188" s="55"/>
      <c r="CN188" s="55"/>
      <c r="CO188" s="68">
        <f t="shared" si="102"/>
        <v>0</v>
      </c>
      <c r="CP188" s="75">
        <f>SUM(Tableau1[[#This Row],[Fourniture eau]:[Energie (non précisé)]])</f>
        <v>0</v>
      </c>
      <c r="CQ188" s="55"/>
      <c r="CR188" s="55"/>
      <c r="CS188" s="55"/>
      <c r="CT188" s="55"/>
      <c r="CU188" s="55"/>
      <c r="CV188" s="55">
        <v>0</v>
      </c>
      <c r="CW188" s="55"/>
      <c r="CX188" s="68">
        <f>SUM(Tableau1[[#This Row],[Sous-traitance]:[Autres ou non précisé 12]])</f>
        <v>0</v>
      </c>
      <c r="CY188" s="65"/>
      <c r="CZ188" s="65"/>
      <c r="DA188" s="65"/>
      <c r="DB188" s="65"/>
      <c r="DC188" s="55"/>
      <c r="DD188" s="68">
        <f t="shared" si="122"/>
        <v>0</v>
      </c>
      <c r="DE188" s="55"/>
      <c r="DF188" s="65"/>
      <c r="DG188" s="65"/>
      <c r="DH188" s="65"/>
      <c r="DI188" s="68">
        <f>SUM(Tableau1[[#This Row],[Entretien et réparation matériel de projection]:[Autres ou non précisé 14]])</f>
        <v>0</v>
      </c>
      <c r="DJ188" s="58"/>
      <c r="DK188" s="58"/>
      <c r="DL188" s="69"/>
      <c r="DM188" s="68">
        <f t="shared" si="103"/>
        <v>0</v>
      </c>
      <c r="DN188" s="58"/>
      <c r="DO188" s="58"/>
      <c r="DP188" s="68">
        <f t="shared" si="104"/>
        <v>0</v>
      </c>
      <c r="DQ188" s="65"/>
      <c r="DR188" s="65"/>
      <c r="DS188" s="68">
        <f t="shared" si="105"/>
        <v>0</v>
      </c>
      <c r="DT188" s="65"/>
      <c r="DU188" s="65"/>
      <c r="DV188" s="65"/>
      <c r="DW188" s="68">
        <f>SUM(Tableau1[[#This Row],[Comission et courtage sur achats]:[Autres ou honoraires
 non précisé ]])</f>
        <v>0</v>
      </c>
      <c r="DX188" s="57"/>
      <c r="DY188" s="57"/>
      <c r="DZ188" s="65"/>
      <c r="EA188" s="65"/>
      <c r="EB188" s="65"/>
      <c r="EC188" s="68">
        <f t="shared" si="106"/>
        <v>0</v>
      </c>
      <c r="ED188" s="69"/>
      <c r="EE188" s="69"/>
      <c r="EF188" s="69"/>
      <c r="EG188" s="69"/>
      <c r="EH188" s="69"/>
      <c r="EI188" s="84">
        <f>SUM(Tableau1[[#This Row],[Transports sur films]:[autres ]])</f>
        <v>0</v>
      </c>
      <c r="EJ188" s="132">
        <v>0</v>
      </c>
      <c r="EK188" s="132"/>
      <c r="EL188" s="68">
        <f t="shared" si="107"/>
        <v>0</v>
      </c>
      <c r="EM188" s="65"/>
      <c r="EN188" s="65">
        <v>0</v>
      </c>
      <c r="EO188" s="65"/>
      <c r="EP188" s="65"/>
      <c r="EQ188" s="65"/>
      <c r="ER188" s="65"/>
      <c r="ES188" s="65"/>
      <c r="ET188" s="68">
        <f t="shared" si="108"/>
        <v>0</v>
      </c>
      <c r="EU188" s="65"/>
      <c r="EV188" s="65"/>
      <c r="EW188" s="65"/>
      <c r="EX188" s="65"/>
      <c r="EY188" s="65"/>
      <c r="EZ188" s="68">
        <f t="shared" si="124"/>
        <v>0</v>
      </c>
      <c r="FA188" s="65"/>
      <c r="FB188" s="65"/>
      <c r="FC188" s="70">
        <f t="shared" si="123"/>
        <v>0</v>
      </c>
      <c r="FD188" s="65"/>
      <c r="FE188" s="71">
        <f t="shared" si="109"/>
        <v>0</v>
      </c>
      <c r="FF188" s="72">
        <f t="shared" si="110"/>
        <v>0</v>
      </c>
      <c r="FG188" s="65"/>
      <c r="FH188" s="65"/>
      <c r="FI188" s="65"/>
      <c r="FJ188" s="56">
        <f t="shared" si="111"/>
        <v>0</v>
      </c>
      <c r="FK188" s="65"/>
      <c r="FL188" s="65"/>
      <c r="FM188" s="65"/>
      <c r="FN188" s="65"/>
      <c r="FO188" s="67">
        <f t="shared" si="112"/>
        <v>0</v>
      </c>
      <c r="FP188" s="57"/>
      <c r="FQ188" s="73"/>
      <c r="FR188" s="73"/>
      <c r="FS188" s="71">
        <f t="shared" si="113"/>
        <v>0</v>
      </c>
      <c r="FT188" s="91"/>
      <c r="FU188" s="91"/>
      <c r="FV188" s="67">
        <f>SUM(Tableau1[[#This Row],[Droits d''auteurs SACEM + cotisations SACEM]:[Autres ou non préciés]])</f>
        <v>0</v>
      </c>
      <c r="FW188" s="75">
        <f t="shared" si="114"/>
        <v>0</v>
      </c>
      <c r="FX188" s="74">
        <v>0</v>
      </c>
      <c r="FY188" s="74"/>
      <c r="FZ188" s="74"/>
      <c r="GA188" s="74"/>
      <c r="GB188" s="71">
        <f t="shared" si="115"/>
        <v>0</v>
      </c>
      <c r="GC188" s="92"/>
      <c r="GD188" s="92"/>
      <c r="GE188" s="67">
        <f t="shared" si="116"/>
        <v>0</v>
      </c>
      <c r="GF188" s="66"/>
      <c r="GG188" s="66"/>
      <c r="GH188" s="66"/>
      <c r="GI188" s="66"/>
      <c r="GJ188" s="77"/>
    </row>
    <row r="189" spans="1:192" ht="18.600000000000001" customHeight="1" x14ac:dyDescent="0.25">
      <c r="A189" s="89"/>
      <c r="B189" s="17"/>
      <c r="C189" s="50"/>
      <c r="D189" s="140"/>
      <c r="E189" s="51"/>
      <c r="F189" s="139">
        <f t="shared" si="120"/>
        <v>1</v>
      </c>
      <c r="G189" s="49"/>
      <c r="H189" s="50"/>
      <c r="I189" s="122"/>
      <c r="J189" s="49"/>
      <c r="K189" s="50"/>
      <c r="L189" s="50"/>
      <c r="M189" s="90"/>
      <c r="N189" s="50"/>
      <c r="O189" s="50"/>
      <c r="P189" s="90"/>
      <c r="Q189" s="52">
        <f t="shared" si="86"/>
        <v>0</v>
      </c>
      <c r="R189" s="52">
        <f t="shared" si="87"/>
        <v>0</v>
      </c>
      <c r="S189" s="53">
        <f t="shared" si="88"/>
        <v>0</v>
      </c>
      <c r="T189" s="54">
        <f t="shared" si="89"/>
        <v>0</v>
      </c>
      <c r="U189" s="115">
        <f>SUM(Tableau1[[#This Row],[Vente confiserie]:[Vente boisson]])</f>
        <v>0</v>
      </c>
      <c r="V189" s="55"/>
      <c r="W189" s="55"/>
      <c r="X189" s="135">
        <f>SUM(Tableau1[[#This Row],[Vente lunette]:[Location lunette]])</f>
        <v>0</v>
      </c>
      <c r="Y189" s="55"/>
      <c r="Z189" s="55"/>
      <c r="AA189" s="55"/>
      <c r="AB189" s="55"/>
      <c r="AC189" s="56">
        <f t="shared" si="118"/>
        <v>0</v>
      </c>
      <c r="AD189" s="57"/>
      <c r="AE189" s="57"/>
      <c r="AF189" s="57"/>
      <c r="AG189" s="57"/>
      <c r="AH189" s="57"/>
      <c r="AI189" s="57"/>
      <c r="AJ189" s="118">
        <f>(Tableau1[[#This Row],[Recette guichet ]]*1.1275177)-Tableau1[[#This Row],[Recette guichet ]]</f>
        <v>0</v>
      </c>
      <c r="AK189" s="57"/>
      <c r="AL189" s="56">
        <f t="shared" si="119"/>
        <v>0</v>
      </c>
      <c r="AM189" s="58"/>
      <c r="AN189" s="58"/>
      <c r="AO189" s="58"/>
      <c r="AP189" s="115">
        <f t="shared" si="90"/>
        <v>0</v>
      </c>
      <c r="AQ189" s="69"/>
      <c r="AR189" s="69"/>
      <c r="AS189" s="69"/>
      <c r="AT189" s="69"/>
      <c r="AU189" s="59">
        <f t="shared" si="91"/>
        <v>0</v>
      </c>
      <c r="AV189" s="60">
        <f t="shared" si="92"/>
        <v>0</v>
      </c>
      <c r="AW189" s="58"/>
      <c r="AX189" s="58"/>
      <c r="AY189" s="58"/>
      <c r="AZ189" s="60">
        <f t="shared" si="121"/>
        <v>0</v>
      </c>
      <c r="BA189" s="58"/>
      <c r="BB189" s="58"/>
      <c r="BC189" s="58"/>
      <c r="BD189" s="60">
        <f>SUM(Tableau1[[#This Row],[ticket/carte/abonnement périmé]:[Autres ou non précisé 5]])</f>
        <v>0</v>
      </c>
      <c r="BE189" s="58"/>
      <c r="BF189" s="58"/>
      <c r="BG189" s="58"/>
      <c r="BH189" s="61">
        <f t="shared" si="93"/>
        <v>0</v>
      </c>
      <c r="BI189" s="120"/>
      <c r="BJ189" s="120"/>
      <c r="BK189" s="62">
        <f t="shared" si="94"/>
        <v>0</v>
      </c>
      <c r="BL189" s="120"/>
      <c r="BM189" s="120"/>
      <c r="BN189" s="120"/>
      <c r="BO189" s="120"/>
      <c r="BP189" s="120"/>
      <c r="BQ189" s="63"/>
      <c r="BR189" s="52">
        <f t="shared" si="95"/>
        <v>0</v>
      </c>
      <c r="BS189" s="52">
        <f t="shared" si="96"/>
        <v>0</v>
      </c>
      <c r="BT189" s="61">
        <f t="shared" si="97"/>
        <v>0</v>
      </c>
      <c r="BU189" s="64">
        <f t="shared" si="98"/>
        <v>0</v>
      </c>
      <c r="BV189" s="119">
        <f>SUM(Tableau1[[#This Row],[Achats confiserie]:[Achats boisson]])</f>
        <v>0</v>
      </c>
      <c r="BW189" s="58"/>
      <c r="BX189" s="69"/>
      <c r="BY189" s="58"/>
      <c r="BZ189" s="56">
        <f t="shared" si="99"/>
        <v>0</v>
      </c>
      <c r="CA189" s="66"/>
      <c r="CB189" s="66"/>
      <c r="CC189" s="56">
        <f t="shared" si="100"/>
        <v>0</v>
      </c>
      <c r="CD189" s="55"/>
      <c r="CE189" s="65"/>
      <c r="CF189" s="55"/>
      <c r="CG189" s="55"/>
      <c r="CH189" s="67">
        <f t="shared" si="101"/>
        <v>0</v>
      </c>
      <c r="CI189" s="68">
        <f t="shared" si="117"/>
        <v>0</v>
      </c>
      <c r="CJ189" s="55"/>
      <c r="CK189" s="55"/>
      <c r="CL189" s="55"/>
      <c r="CM189" s="55"/>
      <c r="CN189" s="55"/>
      <c r="CO189" s="68">
        <f t="shared" si="102"/>
        <v>0</v>
      </c>
      <c r="CP189" s="75">
        <f>SUM(Tableau1[[#This Row],[Fourniture eau]:[Energie (non précisé)]])</f>
        <v>0</v>
      </c>
      <c r="CQ189" s="55"/>
      <c r="CR189" s="55"/>
      <c r="CS189" s="55"/>
      <c r="CT189" s="55"/>
      <c r="CU189" s="55"/>
      <c r="CV189" s="55">
        <v>0</v>
      </c>
      <c r="CW189" s="55"/>
      <c r="CX189" s="68">
        <f>SUM(Tableau1[[#This Row],[Sous-traitance]:[Autres ou non précisé 12]])</f>
        <v>0</v>
      </c>
      <c r="CY189" s="65"/>
      <c r="CZ189" s="65"/>
      <c r="DA189" s="65"/>
      <c r="DB189" s="65"/>
      <c r="DC189" s="55"/>
      <c r="DD189" s="68">
        <f t="shared" si="122"/>
        <v>0</v>
      </c>
      <c r="DE189" s="55"/>
      <c r="DF189" s="65"/>
      <c r="DG189" s="65"/>
      <c r="DH189" s="65"/>
      <c r="DI189" s="68">
        <f>SUM(Tableau1[[#This Row],[Entretien et réparation matériel de projection]:[Autres ou non précisé 14]])</f>
        <v>0</v>
      </c>
      <c r="DJ189" s="58"/>
      <c r="DK189" s="58"/>
      <c r="DL189" s="69"/>
      <c r="DM189" s="68">
        <f t="shared" si="103"/>
        <v>0</v>
      </c>
      <c r="DN189" s="58"/>
      <c r="DO189" s="58"/>
      <c r="DP189" s="68">
        <f t="shared" si="104"/>
        <v>0</v>
      </c>
      <c r="DQ189" s="65"/>
      <c r="DR189" s="65"/>
      <c r="DS189" s="68">
        <f t="shared" si="105"/>
        <v>0</v>
      </c>
      <c r="DT189" s="65"/>
      <c r="DU189" s="65"/>
      <c r="DV189" s="65"/>
      <c r="DW189" s="68">
        <f>SUM(Tableau1[[#This Row],[Comission et courtage sur achats]:[Autres ou honoraires
 non précisé ]])</f>
        <v>0</v>
      </c>
      <c r="DX189" s="57"/>
      <c r="DY189" s="57"/>
      <c r="DZ189" s="65"/>
      <c r="EA189" s="65"/>
      <c r="EB189" s="65"/>
      <c r="EC189" s="68">
        <f t="shared" si="106"/>
        <v>0</v>
      </c>
      <c r="ED189" s="69"/>
      <c r="EE189" s="69"/>
      <c r="EF189" s="69"/>
      <c r="EG189" s="69"/>
      <c r="EH189" s="69"/>
      <c r="EI189" s="84">
        <f>SUM(Tableau1[[#This Row],[Transports sur films]:[autres ]])</f>
        <v>0</v>
      </c>
      <c r="EJ189" s="132">
        <v>0</v>
      </c>
      <c r="EK189" s="132"/>
      <c r="EL189" s="68">
        <f t="shared" si="107"/>
        <v>0</v>
      </c>
      <c r="EM189" s="65"/>
      <c r="EN189" s="65">
        <v>0</v>
      </c>
      <c r="EO189" s="65"/>
      <c r="EP189" s="65"/>
      <c r="EQ189" s="65"/>
      <c r="ER189" s="65"/>
      <c r="ES189" s="65"/>
      <c r="ET189" s="68">
        <f t="shared" si="108"/>
        <v>0</v>
      </c>
      <c r="EU189" s="65"/>
      <c r="EV189" s="65"/>
      <c r="EW189" s="65"/>
      <c r="EX189" s="65"/>
      <c r="EY189" s="65"/>
      <c r="EZ189" s="68">
        <f t="shared" si="124"/>
        <v>0</v>
      </c>
      <c r="FA189" s="65"/>
      <c r="FB189" s="65"/>
      <c r="FC189" s="70">
        <f t="shared" si="123"/>
        <v>0</v>
      </c>
      <c r="FD189" s="65"/>
      <c r="FE189" s="71">
        <f t="shared" si="109"/>
        <v>0</v>
      </c>
      <c r="FF189" s="72">
        <f t="shared" si="110"/>
        <v>0</v>
      </c>
      <c r="FG189" s="65"/>
      <c r="FH189" s="65"/>
      <c r="FI189" s="65"/>
      <c r="FJ189" s="56">
        <f t="shared" si="111"/>
        <v>0</v>
      </c>
      <c r="FK189" s="65"/>
      <c r="FL189" s="65"/>
      <c r="FM189" s="65"/>
      <c r="FN189" s="65"/>
      <c r="FO189" s="67">
        <f t="shared" si="112"/>
        <v>0</v>
      </c>
      <c r="FP189" s="57"/>
      <c r="FQ189" s="73"/>
      <c r="FR189" s="73"/>
      <c r="FS189" s="71">
        <f t="shared" si="113"/>
        <v>0</v>
      </c>
      <c r="FT189" s="91"/>
      <c r="FU189" s="91"/>
      <c r="FV189" s="67">
        <f>SUM(Tableau1[[#This Row],[Droits d''auteurs SACEM + cotisations SACEM]:[Autres ou non préciés]])</f>
        <v>0</v>
      </c>
      <c r="FW189" s="75">
        <f t="shared" si="114"/>
        <v>0</v>
      </c>
      <c r="FX189" s="74">
        <v>0</v>
      </c>
      <c r="FY189" s="74"/>
      <c r="FZ189" s="74"/>
      <c r="GA189" s="74"/>
      <c r="GB189" s="71">
        <f t="shared" si="115"/>
        <v>0</v>
      </c>
      <c r="GC189" s="92"/>
      <c r="GD189" s="92"/>
      <c r="GE189" s="67">
        <f t="shared" si="116"/>
        <v>0</v>
      </c>
      <c r="GF189" s="66"/>
      <c r="GG189" s="66"/>
      <c r="GH189" s="66"/>
      <c r="GI189" s="66"/>
      <c r="GJ189" s="77"/>
    </row>
    <row r="190" spans="1:192" ht="18.600000000000001" customHeight="1" x14ac:dyDescent="0.25">
      <c r="A190" s="89"/>
      <c r="B190" s="17"/>
      <c r="C190" s="50"/>
      <c r="D190" s="140"/>
      <c r="E190" s="51"/>
      <c r="F190" s="139">
        <f t="shared" si="120"/>
        <v>1</v>
      </c>
      <c r="G190" s="49"/>
      <c r="H190" s="50"/>
      <c r="I190" s="122"/>
      <c r="J190" s="49"/>
      <c r="K190" s="50"/>
      <c r="L190" s="50"/>
      <c r="M190" s="90"/>
      <c r="N190" s="50"/>
      <c r="O190" s="50"/>
      <c r="P190" s="90"/>
      <c r="Q190" s="52">
        <f t="shared" si="86"/>
        <v>0</v>
      </c>
      <c r="R190" s="52">
        <f t="shared" si="87"/>
        <v>0</v>
      </c>
      <c r="S190" s="53">
        <f t="shared" si="88"/>
        <v>0</v>
      </c>
      <c r="T190" s="54">
        <f t="shared" si="89"/>
        <v>0</v>
      </c>
      <c r="U190" s="115">
        <f>SUM(Tableau1[[#This Row],[Vente confiserie]:[Vente boisson]])</f>
        <v>0</v>
      </c>
      <c r="V190" s="55"/>
      <c r="W190" s="55"/>
      <c r="X190" s="135">
        <f>SUM(Tableau1[[#This Row],[Vente lunette]:[Location lunette]])</f>
        <v>0</v>
      </c>
      <c r="Y190" s="55"/>
      <c r="Z190" s="55"/>
      <c r="AA190" s="55"/>
      <c r="AB190" s="55"/>
      <c r="AC190" s="56">
        <f t="shared" si="118"/>
        <v>0</v>
      </c>
      <c r="AD190" s="57"/>
      <c r="AE190" s="57"/>
      <c r="AF190" s="57"/>
      <c r="AG190" s="57"/>
      <c r="AH190" s="57"/>
      <c r="AI190" s="57"/>
      <c r="AJ190" s="118">
        <f>(Tableau1[[#This Row],[Recette guichet ]]*1.1275177)-Tableau1[[#This Row],[Recette guichet ]]</f>
        <v>0</v>
      </c>
      <c r="AK190" s="57"/>
      <c r="AL190" s="56">
        <f t="shared" si="119"/>
        <v>0</v>
      </c>
      <c r="AM190" s="58"/>
      <c r="AN190" s="58"/>
      <c r="AO190" s="58"/>
      <c r="AP190" s="115">
        <f t="shared" si="90"/>
        <v>0</v>
      </c>
      <c r="AQ190" s="69"/>
      <c r="AR190" s="69"/>
      <c r="AS190" s="69"/>
      <c r="AT190" s="69"/>
      <c r="AU190" s="59">
        <f t="shared" si="91"/>
        <v>0</v>
      </c>
      <c r="AV190" s="60">
        <f t="shared" si="92"/>
        <v>0</v>
      </c>
      <c r="AW190" s="58"/>
      <c r="AX190" s="58"/>
      <c r="AY190" s="58"/>
      <c r="AZ190" s="60">
        <f t="shared" si="121"/>
        <v>0</v>
      </c>
      <c r="BA190" s="58"/>
      <c r="BB190" s="58"/>
      <c r="BC190" s="58"/>
      <c r="BD190" s="60">
        <f>SUM(Tableau1[[#This Row],[ticket/carte/abonnement périmé]:[Autres ou non précisé 5]])</f>
        <v>0</v>
      </c>
      <c r="BE190" s="58"/>
      <c r="BF190" s="58"/>
      <c r="BG190" s="58"/>
      <c r="BH190" s="61">
        <f t="shared" si="93"/>
        <v>0</v>
      </c>
      <c r="BI190" s="120"/>
      <c r="BJ190" s="120"/>
      <c r="BK190" s="62">
        <f t="shared" si="94"/>
        <v>0</v>
      </c>
      <c r="BL190" s="120"/>
      <c r="BM190" s="120"/>
      <c r="BN190" s="120"/>
      <c r="BO190" s="120"/>
      <c r="BP190" s="120"/>
      <c r="BQ190" s="63"/>
      <c r="BR190" s="52">
        <f t="shared" si="95"/>
        <v>0</v>
      </c>
      <c r="BS190" s="52">
        <f t="shared" si="96"/>
        <v>0</v>
      </c>
      <c r="BT190" s="61">
        <f t="shared" si="97"/>
        <v>0</v>
      </c>
      <c r="BU190" s="64">
        <f t="shared" si="98"/>
        <v>0</v>
      </c>
      <c r="BV190" s="119">
        <f>SUM(Tableau1[[#This Row],[Achats confiserie]:[Achats boisson]])</f>
        <v>0</v>
      </c>
      <c r="BW190" s="58"/>
      <c r="BX190" s="69"/>
      <c r="BY190" s="58"/>
      <c r="BZ190" s="56">
        <f t="shared" si="99"/>
        <v>0</v>
      </c>
      <c r="CA190" s="66"/>
      <c r="CB190" s="66"/>
      <c r="CC190" s="56">
        <f t="shared" si="100"/>
        <v>0</v>
      </c>
      <c r="CD190" s="55"/>
      <c r="CE190" s="65"/>
      <c r="CF190" s="55"/>
      <c r="CG190" s="55"/>
      <c r="CH190" s="67">
        <f t="shared" si="101"/>
        <v>0</v>
      </c>
      <c r="CI190" s="68">
        <f t="shared" si="117"/>
        <v>0</v>
      </c>
      <c r="CJ190" s="55"/>
      <c r="CK190" s="55"/>
      <c r="CL190" s="55"/>
      <c r="CM190" s="55"/>
      <c r="CN190" s="55"/>
      <c r="CO190" s="68">
        <f t="shared" si="102"/>
        <v>0</v>
      </c>
      <c r="CP190" s="75">
        <f>SUM(Tableau1[[#This Row],[Fourniture eau]:[Energie (non précisé)]])</f>
        <v>0</v>
      </c>
      <c r="CQ190" s="55"/>
      <c r="CR190" s="55"/>
      <c r="CS190" s="55"/>
      <c r="CT190" s="55"/>
      <c r="CU190" s="55"/>
      <c r="CV190" s="55">
        <v>0</v>
      </c>
      <c r="CW190" s="55"/>
      <c r="CX190" s="68">
        <f>SUM(Tableau1[[#This Row],[Sous-traitance]:[Autres ou non précisé 12]])</f>
        <v>0</v>
      </c>
      <c r="CY190" s="65"/>
      <c r="CZ190" s="65"/>
      <c r="DA190" s="65"/>
      <c r="DB190" s="65"/>
      <c r="DC190" s="55"/>
      <c r="DD190" s="68">
        <f t="shared" si="122"/>
        <v>0</v>
      </c>
      <c r="DE190" s="55"/>
      <c r="DF190" s="65"/>
      <c r="DG190" s="65"/>
      <c r="DH190" s="65"/>
      <c r="DI190" s="68">
        <f>SUM(Tableau1[[#This Row],[Entretien et réparation matériel de projection]:[Autres ou non précisé 14]])</f>
        <v>0</v>
      </c>
      <c r="DJ190" s="58"/>
      <c r="DK190" s="58"/>
      <c r="DL190" s="69"/>
      <c r="DM190" s="68">
        <f t="shared" si="103"/>
        <v>0</v>
      </c>
      <c r="DN190" s="58"/>
      <c r="DO190" s="58"/>
      <c r="DP190" s="68">
        <f t="shared" si="104"/>
        <v>0</v>
      </c>
      <c r="DQ190" s="65"/>
      <c r="DR190" s="65"/>
      <c r="DS190" s="68">
        <f t="shared" si="105"/>
        <v>0</v>
      </c>
      <c r="DT190" s="65"/>
      <c r="DU190" s="65"/>
      <c r="DV190" s="65"/>
      <c r="DW190" s="68">
        <f>SUM(Tableau1[[#This Row],[Comission et courtage sur achats]:[Autres ou honoraires
 non précisé ]])</f>
        <v>0</v>
      </c>
      <c r="DX190" s="57"/>
      <c r="DY190" s="57"/>
      <c r="DZ190" s="65"/>
      <c r="EA190" s="65"/>
      <c r="EB190" s="65"/>
      <c r="EC190" s="68">
        <f t="shared" si="106"/>
        <v>0</v>
      </c>
      <c r="ED190" s="69"/>
      <c r="EE190" s="69"/>
      <c r="EF190" s="69"/>
      <c r="EG190" s="69"/>
      <c r="EH190" s="69"/>
      <c r="EI190" s="84">
        <f>SUM(Tableau1[[#This Row],[Transports sur films]:[autres ]])</f>
        <v>0</v>
      </c>
      <c r="EJ190" s="132">
        <v>0</v>
      </c>
      <c r="EK190" s="132"/>
      <c r="EL190" s="68">
        <f t="shared" si="107"/>
        <v>0</v>
      </c>
      <c r="EM190" s="65"/>
      <c r="EN190" s="65">
        <v>0</v>
      </c>
      <c r="EO190" s="65"/>
      <c r="EP190" s="65"/>
      <c r="EQ190" s="65"/>
      <c r="ER190" s="65"/>
      <c r="ES190" s="65"/>
      <c r="ET190" s="68">
        <f t="shared" si="108"/>
        <v>0</v>
      </c>
      <c r="EU190" s="65"/>
      <c r="EV190" s="65"/>
      <c r="EW190" s="65"/>
      <c r="EX190" s="65"/>
      <c r="EY190" s="65"/>
      <c r="EZ190" s="68">
        <f t="shared" si="124"/>
        <v>0</v>
      </c>
      <c r="FA190" s="65"/>
      <c r="FB190" s="65"/>
      <c r="FC190" s="70">
        <f t="shared" si="123"/>
        <v>0</v>
      </c>
      <c r="FD190" s="65"/>
      <c r="FE190" s="71">
        <f t="shared" si="109"/>
        <v>0</v>
      </c>
      <c r="FF190" s="72">
        <f t="shared" si="110"/>
        <v>0</v>
      </c>
      <c r="FG190" s="65"/>
      <c r="FH190" s="65"/>
      <c r="FI190" s="65"/>
      <c r="FJ190" s="56">
        <f t="shared" si="111"/>
        <v>0</v>
      </c>
      <c r="FK190" s="65"/>
      <c r="FL190" s="65"/>
      <c r="FM190" s="65"/>
      <c r="FN190" s="65"/>
      <c r="FO190" s="67">
        <f t="shared" si="112"/>
        <v>0</v>
      </c>
      <c r="FP190" s="57"/>
      <c r="FQ190" s="73"/>
      <c r="FR190" s="73"/>
      <c r="FS190" s="71">
        <f t="shared" si="113"/>
        <v>0</v>
      </c>
      <c r="FT190" s="91"/>
      <c r="FU190" s="91"/>
      <c r="FV190" s="67">
        <f>SUM(Tableau1[[#This Row],[Droits d''auteurs SACEM + cotisations SACEM]:[Autres ou non préciés]])</f>
        <v>0</v>
      </c>
      <c r="FW190" s="75">
        <f t="shared" si="114"/>
        <v>0</v>
      </c>
      <c r="FX190" s="74">
        <v>0</v>
      </c>
      <c r="FY190" s="74"/>
      <c r="FZ190" s="74"/>
      <c r="GA190" s="74"/>
      <c r="GB190" s="71">
        <f t="shared" si="115"/>
        <v>0</v>
      </c>
      <c r="GC190" s="92"/>
      <c r="GD190" s="92"/>
      <c r="GE190" s="67">
        <f t="shared" si="116"/>
        <v>0</v>
      </c>
      <c r="GF190" s="66"/>
      <c r="GG190" s="66"/>
      <c r="GH190" s="66"/>
      <c r="GI190" s="66"/>
      <c r="GJ190" s="77"/>
    </row>
    <row r="191" spans="1:192" ht="18.600000000000001" customHeight="1" x14ac:dyDescent="0.25">
      <c r="A191" s="89"/>
      <c r="B191" s="17"/>
      <c r="C191" s="50"/>
      <c r="D191" s="140"/>
      <c r="E191" s="51"/>
      <c r="F191" s="139">
        <f t="shared" si="120"/>
        <v>1</v>
      </c>
      <c r="G191" s="49"/>
      <c r="H191" s="50"/>
      <c r="I191" s="122"/>
      <c r="J191" s="49"/>
      <c r="K191" s="50"/>
      <c r="L191" s="50"/>
      <c r="M191" s="90"/>
      <c r="N191" s="50"/>
      <c r="O191" s="50"/>
      <c r="P191" s="90"/>
      <c r="Q191" s="52">
        <f t="shared" si="86"/>
        <v>0</v>
      </c>
      <c r="R191" s="52">
        <f t="shared" si="87"/>
        <v>0</v>
      </c>
      <c r="S191" s="53">
        <f t="shared" si="88"/>
        <v>0</v>
      </c>
      <c r="T191" s="54">
        <f t="shared" si="89"/>
        <v>0</v>
      </c>
      <c r="U191" s="115">
        <f>SUM(Tableau1[[#This Row],[Vente confiserie]:[Vente boisson]])</f>
        <v>0</v>
      </c>
      <c r="V191" s="55"/>
      <c r="W191" s="55"/>
      <c r="X191" s="135">
        <f>SUM(Tableau1[[#This Row],[Vente lunette]:[Location lunette]])</f>
        <v>0</v>
      </c>
      <c r="Y191" s="55"/>
      <c r="Z191" s="55"/>
      <c r="AA191" s="55"/>
      <c r="AB191" s="55"/>
      <c r="AC191" s="56">
        <f t="shared" si="118"/>
        <v>0</v>
      </c>
      <c r="AD191" s="57"/>
      <c r="AE191" s="57"/>
      <c r="AF191" s="57"/>
      <c r="AG191" s="57"/>
      <c r="AH191" s="57"/>
      <c r="AI191" s="57"/>
      <c r="AJ191" s="118">
        <f>(Tableau1[[#This Row],[Recette guichet ]]*1.1275177)-Tableau1[[#This Row],[Recette guichet ]]</f>
        <v>0</v>
      </c>
      <c r="AK191" s="57"/>
      <c r="AL191" s="56">
        <f t="shared" si="119"/>
        <v>0</v>
      </c>
      <c r="AM191" s="58"/>
      <c r="AN191" s="58"/>
      <c r="AO191" s="58"/>
      <c r="AP191" s="115">
        <f t="shared" si="90"/>
        <v>0</v>
      </c>
      <c r="AQ191" s="69"/>
      <c r="AR191" s="69"/>
      <c r="AS191" s="69"/>
      <c r="AT191" s="69"/>
      <c r="AU191" s="59">
        <f t="shared" si="91"/>
        <v>0</v>
      </c>
      <c r="AV191" s="60">
        <f t="shared" si="92"/>
        <v>0</v>
      </c>
      <c r="AW191" s="58"/>
      <c r="AX191" s="58"/>
      <c r="AY191" s="58"/>
      <c r="AZ191" s="60">
        <f t="shared" si="121"/>
        <v>0</v>
      </c>
      <c r="BA191" s="58"/>
      <c r="BB191" s="58"/>
      <c r="BC191" s="58"/>
      <c r="BD191" s="60">
        <f>SUM(Tableau1[[#This Row],[ticket/carte/abonnement périmé]:[Autres ou non précisé 5]])</f>
        <v>0</v>
      </c>
      <c r="BE191" s="58"/>
      <c r="BF191" s="58"/>
      <c r="BG191" s="58"/>
      <c r="BH191" s="61">
        <f t="shared" si="93"/>
        <v>0</v>
      </c>
      <c r="BI191" s="120"/>
      <c r="BJ191" s="120"/>
      <c r="BK191" s="62">
        <f t="shared" si="94"/>
        <v>0</v>
      </c>
      <c r="BL191" s="120"/>
      <c r="BM191" s="120"/>
      <c r="BN191" s="120"/>
      <c r="BO191" s="120"/>
      <c r="BP191" s="120"/>
      <c r="BQ191" s="63"/>
      <c r="BR191" s="52">
        <f t="shared" si="95"/>
        <v>0</v>
      </c>
      <c r="BS191" s="52">
        <f t="shared" si="96"/>
        <v>0</v>
      </c>
      <c r="BT191" s="61">
        <f t="shared" si="97"/>
        <v>0</v>
      </c>
      <c r="BU191" s="64">
        <f t="shared" si="98"/>
        <v>0</v>
      </c>
      <c r="BV191" s="119">
        <f>SUM(Tableau1[[#This Row],[Achats confiserie]:[Achats boisson]])</f>
        <v>0</v>
      </c>
      <c r="BW191" s="58"/>
      <c r="BX191" s="69"/>
      <c r="BY191" s="58"/>
      <c r="BZ191" s="56">
        <f t="shared" si="99"/>
        <v>0</v>
      </c>
      <c r="CA191" s="66"/>
      <c r="CB191" s="66"/>
      <c r="CC191" s="56">
        <f t="shared" si="100"/>
        <v>0</v>
      </c>
      <c r="CD191" s="55"/>
      <c r="CE191" s="65"/>
      <c r="CF191" s="55"/>
      <c r="CG191" s="55"/>
      <c r="CH191" s="67">
        <f t="shared" si="101"/>
        <v>0</v>
      </c>
      <c r="CI191" s="68">
        <f t="shared" si="117"/>
        <v>0</v>
      </c>
      <c r="CJ191" s="55"/>
      <c r="CK191" s="55"/>
      <c r="CL191" s="55"/>
      <c r="CM191" s="55"/>
      <c r="CN191" s="55"/>
      <c r="CO191" s="68">
        <f t="shared" si="102"/>
        <v>0</v>
      </c>
      <c r="CP191" s="75">
        <f>SUM(Tableau1[[#This Row],[Fourniture eau]:[Energie (non précisé)]])</f>
        <v>0</v>
      </c>
      <c r="CQ191" s="55"/>
      <c r="CR191" s="55"/>
      <c r="CS191" s="55"/>
      <c r="CT191" s="55"/>
      <c r="CU191" s="55"/>
      <c r="CV191" s="55">
        <v>0</v>
      </c>
      <c r="CW191" s="55"/>
      <c r="CX191" s="68">
        <f>SUM(Tableau1[[#This Row],[Sous-traitance]:[Autres ou non précisé 12]])</f>
        <v>0</v>
      </c>
      <c r="CY191" s="65"/>
      <c r="CZ191" s="65"/>
      <c r="DA191" s="65"/>
      <c r="DB191" s="65"/>
      <c r="DC191" s="55"/>
      <c r="DD191" s="68">
        <f t="shared" si="122"/>
        <v>0</v>
      </c>
      <c r="DE191" s="55"/>
      <c r="DF191" s="65"/>
      <c r="DG191" s="65"/>
      <c r="DH191" s="65"/>
      <c r="DI191" s="68">
        <f>SUM(Tableau1[[#This Row],[Entretien et réparation matériel de projection]:[Autres ou non précisé 14]])</f>
        <v>0</v>
      </c>
      <c r="DJ191" s="58"/>
      <c r="DK191" s="58"/>
      <c r="DL191" s="69"/>
      <c r="DM191" s="68">
        <f t="shared" si="103"/>
        <v>0</v>
      </c>
      <c r="DN191" s="58"/>
      <c r="DO191" s="58"/>
      <c r="DP191" s="68">
        <f t="shared" si="104"/>
        <v>0</v>
      </c>
      <c r="DQ191" s="65"/>
      <c r="DR191" s="65"/>
      <c r="DS191" s="68">
        <f t="shared" si="105"/>
        <v>0</v>
      </c>
      <c r="DT191" s="65"/>
      <c r="DU191" s="65"/>
      <c r="DV191" s="65"/>
      <c r="DW191" s="68">
        <f>SUM(Tableau1[[#This Row],[Comission et courtage sur achats]:[Autres ou honoraires
 non précisé ]])</f>
        <v>0</v>
      </c>
      <c r="DX191" s="57"/>
      <c r="DY191" s="57"/>
      <c r="DZ191" s="65"/>
      <c r="EA191" s="65"/>
      <c r="EB191" s="65"/>
      <c r="EC191" s="68">
        <f t="shared" si="106"/>
        <v>0</v>
      </c>
      <c r="ED191" s="69"/>
      <c r="EE191" s="69"/>
      <c r="EF191" s="69"/>
      <c r="EG191" s="69"/>
      <c r="EH191" s="69"/>
      <c r="EI191" s="84">
        <f>SUM(Tableau1[[#This Row],[Transports sur films]:[autres ]])</f>
        <v>0</v>
      </c>
      <c r="EJ191" s="132">
        <v>0</v>
      </c>
      <c r="EK191" s="132"/>
      <c r="EL191" s="68">
        <f t="shared" si="107"/>
        <v>0</v>
      </c>
      <c r="EM191" s="65"/>
      <c r="EN191" s="65">
        <v>0</v>
      </c>
      <c r="EO191" s="65"/>
      <c r="EP191" s="65"/>
      <c r="EQ191" s="65"/>
      <c r="ER191" s="65"/>
      <c r="ES191" s="65"/>
      <c r="ET191" s="68">
        <f t="shared" si="108"/>
        <v>0</v>
      </c>
      <c r="EU191" s="65"/>
      <c r="EV191" s="65"/>
      <c r="EW191" s="65"/>
      <c r="EX191" s="65"/>
      <c r="EY191" s="65"/>
      <c r="EZ191" s="68">
        <f t="shared" si="124"/>
        <v>0</v>
      </c>
      <c r="FA191" s="65"/>
      <c r="FB191" s="65"/>
      <c r="FC191" s="70">
        <f t="shared" si="123"/>
        <v>0</v>
      </c>
      <c r="FD191" s="65"/>
      <c r="FE191" s="71">
        <f t="shared" si="109"/>
        <v>0</v>
      </c>
      <c r="FF191" s="72">
        <f t="shared" si="110"/>
        <v>0</v>
      </c>
      <c r="FG191" s="65"/>
      <c r="FH191" s="65"/>
      <c r="FI191" s="65"/>
      <c r="FJ191" s="56">
        <f t="shared" si="111"/>
        <v>0</v>
      </c>
      <c r="FK191" s="65"/>
      <c r="FL191" s="65"/>
      <c r="FM191" s="65"/>
      <c r="FN191" s="65"/>
      <c r="FO191" s="67">
        <f t="shared" si="112"/>
        <v>0</v>
      </c>
      <c r="FP191" s="57"/>
      <c r="FQ191" s="73"/>
      <c r="FR191" s="73"/>
      <c r="FS191" s="71">
        <f t="shared" si="113"/>
        <v>0</v>
      </c>
      <c r="FT191" s="91"/>
      <c r="FU191" s="91"/>
      <c r="FV191" s="67">
        <f>SUM(Tableau1[[#This Row],[Droits d''auteurs SACEM + cotisations SACEM]:[Autres ou non préciés]])</f>
        <v>0</v>
      </c>
      <c r="FW191" s="75">
        <f t="shared" si="114"/>
        <v>0</v>
      </c>
      <c r="FX191" s="74">
        <v>0</v>
      </c>
      <c r="FY191" s="74"/>
      <c r="FZ191" s="74"/>
      <c r="GA191" s="74"/>
      <c r="GB191" s="71">
        <f t="shared" si="115"/>
        <v>0</v>
      </c>
      <c r="GC191" s="92"/>
      <c r="GD191" s="92"/>
      <c r="GE191" s="67">
        <f t="shared" si="116"/>
        <v>0</v>
      </c>
      <c r="GF191" s="66"/>
      <c r="GG191" s="66"/>
      <c r="GH191" s="66"/>
      <c r="GI191" s="66"/>
      <c r="GJ191" s="77"/>
    </row>
    <row r="192" spans="1:192" ht="18.600000000000001" customHeight="1" x14ac:dyDescent="0.25">
      <c r="A192" s="89"/>
      <c r="B192" s="17"/>
      <c r="C192" s="50"/>
      <c r="D192" s="140"/>
      <c r="E192" s="51"/>
      <c r="F192" s="139">
        <f t="shared" si="120"/>
        <v>1</v>
      </c>
      <c r="G192" s="49"/>
      <c r="H192" s="50"/>
      <c r="I192" s="122"/>
      <c r="J192" s="49"/>
      <c r="K192" s="50"/>
      <c r="L192" s="50"/>
      <c r="M192" s="90"/>
      <c r="N192" s="50"/>
      <c r="O192" s="50"/>
      <c r="P192" s="90"/>
      <c r="Q192" s="52">
        <f t="shared" si="86"/>
        <v>0</v>
      </c>
      <c r="R192" s="52">
        <f t="shared" si="87"/>
        <v>0</v>
      </c>
      <c r="S192" s="53">
        <f t="shared" si="88"/>
        <v>0</v>
      </c>
      <c r="T192" s="54">
        <f t="shared" si="89"/>
        <v>0</v>
      </c>
      <c r="U192" s="115">
        <f>SUM(Tableau1[[#This Row],[Vente confiserie]:[Vente boisson]])</f>
        <v>0</v>
      </c>
      <c r="V192" s="55"/>
      <c r="W192" s="55"/>
      <c r="X192" s="135">
        <f>SUM(Tableau1[[#This Row],[Vente lunette]:[Location lunette]])</f>
        <v>0</v>
      </c>
      <c r="Y192" s="55"/>
      <c r="Z192" s="55"/>
      <c r="AA192" s="55"/>
      <c r="AB192" s="55"/>
      <c r="AC192" s="56">
        <f t="shared" si="118"/>
        <v>0</v>
      </c>
      <c r="AD192" s="57"/>
      <c r="AE192" s="57"/>
      <c r="AF192" s="57"/>
      <c r="AG192" s="57"/>
      <c r="AH192" s="57"/>
      <c r="AI192" s="57"/>
      <c r="AJ192" s="118">
        <f>(Tableau1[[#This Row],[Recette guichet ]]*1.1275177)-Tableau1[[#This Row],[Recette guichet ]]</f>
        <v>0</v>
      </c>
      <c r="AK192" s="57"/>
      <c r="AL192" s="56">
        <f t="shared" si="119"/>
        <v>0</v>
      </c>
      <c r="AM192" s="58"/>
      <c r="AN192" s="58"/>
      <c r="AO192" s="58"/>
      <c r="AP192" s="115">
        <f t="shared" si="90"/>
        <v>0</v>
      </c>
      <c r="AQ192" s="69"/>
      <c r="AR192" s="69"/>
      <c r="AS192" s="69"/>
      <c r="AT192" s="69"/>
      <c r="AU192" s="59">
        <f t="shared" si="91"/>
        <v>0</v>
      </c>
      <c r="AV192" s="60">
        <f t="shared" si="92"/>
        <v>0</v>
      </c>
      <c r="AW192" s="58"/>
      <c r="AX192" s="58"/>
      <c r="AY192" s="58"/>
      <c r="AZ192" s="60">
        <f t="shared" si="121"/>
        <v>0</v>
      </c>
      <c r="BA192" s="58"/>
      <c r="BB192" s="58"/>
      <c r="BC192" s="58"/>
      <c r="BD192" s="60">
        <f>SUM(Tableau1[[#This Row],[ticket/carte/abonnement périmé]:[Autres ou non précisé 5]])</f>
        <v>0</v>
      </c>
      <c r="BE192" s="58"/>
      <c r="BF192" s="58"/>
      <c r="BG192" s="58"/>
      <c r="BH192" s="61">
        <f t="shared" si="93"/>
        <v>0</v>
      </c>
      <c r="BI192" s="120"/>
      <c r="BJ192" s="120"/>
      <c r="BK192" s="62">
        <f t="shared" si="94"/>
        <v>0</v>
      </c>
      <c r="BL192" s="120"/>
      <c r="BM192" s="120"/>
      <c r="BN192" s="120"/>
      <c r="BO192" s="120"/>
      <c r="BP192" s="120"/>
      <c r="BQ192" s="63"/>
      <c r="BR192" s="52">
        <f t="shared" si="95"/>
        <v>0</v>
      </c>
      <c r="BS192" s="52">
        <f t="shared" si="96"/>
        <v>0</v>
      </c>
      <c r="BT192" s="61">
        <f t="shared" si="97"/>
        <v>0</v>
      </c>
      <c r="BU192" s="64">
        <f t="shared" si="98"/>
        <v>0</v>
      </c>
      <c r="BV192" s="119">
        <f>SUM(Tableau1[[#This Row],[Achats confiserie]:[Achats boisson]])</f>
        <v>0</v>
      </c>
      <c r="BW192" s="58"/>
      <c r="BX192" s="69"/>
      <c r="BY192" s="58"/>
      <c r="BZ192" s="56">
        <f t="shared" si="99"/>
        <v>0</v>
      </c>
      <c r="CA192" s="66"/>
      <c r="CB192" s="66"/>
      <c r="CC192" s="56">
        <f t="shared" si="100"/>
        <v>0</v>
      </c>
      <c r="CD192" s="55"/>
      <c r="CE192" s="65"/>
      <c r="CF192" s="55"/>
      <c r="CG192" s="55"/>
      <c r="CH192" s="67">
        <f t="shared" si="101"/>
        <v>0</v>
      </c>
      <c r="CI192" s="68">
        <f t="shared" si="117"/>
        <v>0</v>
      </c>
      <c r="CJ192" s="55"/>
      <c r="CK192" s="55"/>
      <c r="CL192" s="55"/>
      <c r="CM192" s="55"/>
      <c r="CN192" s="55"/>
      <c r="CO192" s="68">
        <f t="shared" si="102"/>
        <v>0</v>
      </c>
      <c r="CP192" s="75">
        <f>SUM(Tableau1[[#This Row],[Fourniture eau]:[Energie (non précisé)]])</f>
        <v>0</v>
      </c>
      <c r="CQ192" s="55"/>
      <c r="CR192" s="55"/>
      <c r="CS192" s="55"/>
      <c r="CT192" s="55"/>
      <c r="CU192" s="55"/>
      <c r="CV192" s="55">
        <v>0</v>
      </c>
      <c r="CW192" s="55"/>
      <c r="CX192" s="68">
        <f>SUM(Tableau1[[#This Row],[Sous-traitance]:[Autres ou non précisé 12]])</f>
        <v>0</v>
      </c>
      <c r="CY192" s="65"/>
      <c r="CZ192" s="65"/>
      <c r="DA192" s="65"/>
      <c r="DB192" s="65"/>
      <c r="DC192" s="55"/>
      <c r="DD192" s="68">
        <f t="shared" si="122"/>
        <v>0</v>
      </c>
      <c r="DE192" s="55"/>
      <c r="DF192" s="65"/>
      <c r="DG192" s="65"/>
      <c r="DH192" s="65"/>
      <c r="DI192" s="68">
        <f>SUM(Tableau1[[#This Row],[Entretien et réparation matériel de projection]:[Autres ou non précisé 14]])</f>
        <v>0</v>
      </c>
      <c r="DJ192" s="58"/>
      <c r="DK192" s="58"/>
      <c r="DL192" s="69"/>
      <c r="DM192" s="68">
        <f t="shared" si="103"/>
        <v>0</v>
      </c>
      <c r="DN192" s="58"/>
      <c r="DO192" s="58"/>
      <c r="DP192" s="68">
        <f t="shared" si="104"/>
        <v>0</v>
      </c>
      <c r="DQ192" s="65"/>
      <c r="DR192" s="65"/>
      <c r="DS192" s="68">
        <f t="shared" si="105"/>
        <v>0</v>
      </c>
      <c r="DT192" s="65"/>
      <c r="DU192" s="65"/>
      <c r="DV192" s="65"/>
      <c r="DW192" s="68">
        <f>SUM(Tableau1[[#This Row],[Comission et courtage sur achats]:[Autres ou honoraires
 non précisé ]])</f>
        <v>0</v>
      </c>
      <c r="DX192" s="57"/>
      <c r="DY192" s="57"/>
      <c r="DZ192" s="65"/>
      <c r="EA192" s="65"/>
      <c r="EB192" s="65"/>
      <c r="EC192" s="68">
        <f t="shared" si="106"/>
        <v>0</v>
      </c>
      <c r="ED192" s="69"/>
      <c r="EE192" s="69"/>
      <c r="EF192" s="69"/>
      <c r="EG192" s="69"/>
      <c r="EH192" s="69"/>
      <c r="EI192" s="84">
        <f>SUM(Tableau1[[#This Row],[Transports sur films]:[autres ]])</f>
        <v>0</v>
      </c>
      <c r="EJ192" s="132">
        <v>0</v>
      </c>
      <c r="EK192" s="132"/>
      <c r="EL192" s="68">
        <f t="shared" si="107"/>
        <v>0</v>
      </c>
      <c r="EM192" s="65"/>
      <c r="EN192" s="65">
        <v>0</v>
      </c>
      <c r="EO192" s="65"/>
      <c r="EP192" s="65"/>
      <c r="EQ192" s="65"/>
      <c r="ER192" s="65"/>
      <c r="ES192" s="65"/>
      <c r="ET192" s="68">
        <f t="shared" si="108"/>
        <v>0</v>
      </c>
      <c r="EU192" s="65"/>
      <c r="EV192" s="65"/>
      <c r="EW192" s="65"/>
      <c r="EX192" s="65"/>
      <c r="EY192" s="65"/>
      <c r="EZ192" s="68">
        <f t="shared" si="124"/>
        <v>0</v>
      </c>
      <c r="FA192" s="65"/>
      <c r="FB192" s="65"/>
      <c r="FC192" s="70">
        <f t="shared" si="123"/>
        <v>0</v>
      </c>
      <c r="FD192" s="65"/>
      <c r="FE192" s="71">
        <f t="shared" si="109"/>
        <v>0</v>
      </c>
      <c r="FF192" s="72">
        <f t="shared" si="110"/>
        <v>0</v>
      </c>
      <c r="FG192" s="65"/>
      <c r="FH192" s="65"/>
      <c r="FI192" s="65"/>
      <c r="FJ192" s="56">
        <f t="shared" si="111"/>
        <v>0</v>
      </c>
      <c r="FK192" s="65"/>
      <c r="FL192" s="65"/>
      <c r="FM192" s="65"/>
      <c r="FN192" s="65"/>
      <c r="FO192" s="67">
        <f t="shared" si="112"/>
        <v>0</v>
      </c>
      <c r="FP192" s="57"/>
      <c r="FQ192" s="73"/>
      <c r="FR192" s="73"/>
      <c r="FS192" s="71">
        <f t="shared" si="113"/>
        <v>0</v>
      </c>
      <c r="FT192" s="91"/>
      <c r="FU192" s="91"/>
      <c r="FV192" s="67">
        <f>SUM(Tableau1[[#This Row],[Droits d''auteurs SACEM + cotisations SACEM]:[Autres ou non préciés]])</f>
        <v>0</v>
      </c>
      <c r="FW192" s="75">
        <f t="shared" si="114"/>
        <v>0</v>
      </c>
      <c r="FX192" s="74">
        <v>0</v>
      </c>
      <c r="FY192" s="74"/>
      <c r="FZ192" s="74"/>
      <c r="GA192" s="74"/>
      <c r="GB192" s="71">
        <f t="shared" si="115"/>
        <v>0</v>
      </c>
      <c r="GC192" s="92"/>
      <c r="GD192" s="92"/>
      <c r="GE192" s="67">
        <f t="shared" si="116"/>
        <v>0</v>
      </c>
      <c r="GF192" s="66"/>
      <c r="GG192" s="66"/>
      <c r="GH192" s="66"/>
      <c r="GI192" s="66"/>
      <c r="GJ192" s="77"/>
    </row>
    <row r="193" spans="1:192" ht="18.600000000000001" customHeight="1" x14ac:dyDescent="0.25">
      <c r="A193" s="89"/>
      <c r="B193" s="17"/>
      <c r="C193" s="50"/>
      <c r="D193" s="140"/>
      <c r="E193" s="51"/>
      <c r="F193" s="139">
        <f t="shared" si="120"/>
        <v>1</v>
      </c>
      <c r="G193" s="49"/>
      <c r="H193" s="50"/>
      <c r="I193" s="122"/>
      <c r="J193" s="49"/>
      <c r="K193" s="50"/>
      <c r="L193" s="50"/>
      <c r="M193" s="90"/>
      <c r="N193" s="50"/>
      <c r="O193" s="50"/>
      <c r="P193" s="90"/>
      <c r="Q193" s="52">
        <f t="shared" si="86"/>
        <v>0</v>
      </c>
      <c r="R193" s="52">
        <f t="shared" si="87"/>
        <v>0</v>
      </c>
      <c r="S193" s="53">
        <f t="shared" si="88"/>
        <v>0</v>
      </c>
      <c r="T193" s="54">
        <f t="shared" si="89"/>
        <v>0</v>
      </c>
      <c r="U193" s="115">
        <f>SUM(Tableau1[[#This Row],[Vente confiserie]:[Vente boisson]])</f>
        <v>0</v>
      </c>
      <c r="V193" s="55"/>
      <c r="W193" s="55"/>
      <c r="X193" s="135">
        <f>SUM(Tableau1[[#This Row],[Vente lunette]:[Location lunette]])</f>
        <v>0</v>
      </c>
      <c r="Y193" s="55"/>
      <c r="Z193" s="55"/>
      <c r="AA193" s="55"/>
      <c r="AB193" s="55"/>
      <c r="AC193" s="56">
        <f t="shared" si="118"/>
        <v>0</v>
      </c>
      <c r="AD193" s="57"/>
      <c r="AE193" s="57"/>
      <c r="AF193" s="57"/>
      <c r="AG193" s="57"/>
      <c r="AH193" s="57"/>
      <c r="AI193" s="57"/>
      <c r="AJ193" s="118">
        <f>(Tableau1[[#This Row],[Recette guichet ]]*1.1275177)-Tableau1[[#This Row],[Recette guichet ]]</f>
        <v>0</v>
      </c>
      <c r="AK193" s="57"/>
      <c r="AL193" s="56">
        <f t="shared" si="119"/>
        <v>0</v>
      </c>
      <c r="AM193" s="58"/>
      <c r="AN193" s="58"/>
      <c r="AO193" s="58"/>
      <c r="AP193" s="115">
        <f t="shared" si="90"/>
        <v>0</v>
      </c>
      <c r="AQ193" s="69"/>
      <c r="AR193" s="69"/>
      <c r="AS193" s="69"/>
      <c r="AT193" s="69"/>
      <c r="AU193" s="59">
        <f t="shared" si="91"/>
        <v>0</v>
      </c>
      <c r="AV193" s="60">
        <f t="shared" si="92"/>
        <v>0</v>
      </c>
      <c r="AW193" s="58"/>
      <c r="AX193" s="58"/>
      <c r="AY193" s="58"/>
      <c r="AZ193" s="60">
        <f t="shared" si="121"/>
        <v>0</v>
      </c>
      <c r="BA193" s="58"/>
      <c r="BB193" s="58"/>
      <c r="BC193" s="58"/>
      <c r="BD193" s="60">
        <f>SUM(Tableau1[[#This Row],[ticket/carte/abonnement périmé]:[Autres ou non précisé 5]])</f>
        <v>0</v>
      </c>
      <c r="BE193" s="58"/>
      <c r="BF193" s="58"/>
      <c r="BG193" s="58"/>
      <c r="BH193" s="61">
        <f t="shared" si="93"/>
        <v>0</v>
      </c>
      <c r="BI193" s="120"/>
      <c r="BJ193" s="120"/>
      <c r="BK193" s="62">
        <f t="shared" si="94"/>
        <v>0</v>
      </c>
      <c r="BL193" s="120"/>
      <c r="BM193" s="120"/>
      <c r="BN193" s="120"/>
      <c r="BO193" s="120"/>
      <c r="BP193" s="120"/>
      <c r="BQ193" s="63"/>
      <c r="BR193" s="52">
        <f t="shared" si="95"/>
        <v>0</v>
      </c>
      <c r="BS193" s="52">
        <f t="shared" si="96"/>
        <v>0</v>
      </c>
      <c r="BT193" s="61">
        <f t="shared" si="97"/>
        <v>0</v>
      </c>
      <c r="BU193" s="64">
        <f t="shared" si="98"/>
        <v>0</v>
      </c>
      <c r="BV193" s="119">
        <f>SUM(Tableau1[[#This Row],[Achats confiserie]:[Achats boisson]])</f>
        <v>0</v>
      </c>
      <c r="BW193" s="58"/>
      <c r="BX193" s="69"/>
      <c r="BY193" s="58"/>
      <c r="BZ193" s="56">
        <f t="shared" si="99"/>
        <v>0</v>
      </c>
      <c r="CA193" s="66"/>
      <c r="CB193" s="66"/>
      <c r="CC193" s="56">
        <f t="shared" si="100"/>
        <v>0</v>
      </c>
      <c r="CD193" s="55"/>
      <c r="CE193" s="65"/>
      <c r="CF193" s="55"/>
      <c r="CG193" s="55"/>
      <c r="CH193" s="67">
        <f t="shared" si="101"/>
        <v>0</v>
      </c>
      <c r="CI193" s="68">
        <f t="shared" si="117"/>
        <v>0</v>
      </c>
      <c r="CJ193" s="55"/>
      <c r="CK193" s="55"/>
      <c r="CL193" s="55"/>
      <c r="CM193" s="55"/>
      <c r="CN193" s="55"/>
      <c r="CO193" s="68">
        <f t="shared" si="102"/>
        <v>0</v>
      </c>
      <c r="CP193" s="75">
        <f>SUM(Tableau1[[#This Row],[Fourniture eau]:[Energie (non précisé)]])</f>
        <v>0</v>
      </c>
      <c r="CQ193" s="55"/>
      <c r="CR193" s="55"/>
      <c r="CS193" s="55"/>
      <c r="CT193" s="55"/>
      <c r="CU193" s="55"/>
      <c r="CV193" s="55">
        <v>0</v>
      </c>
      <c r="CW193" s="55"/>
      <c r="CX193" s="68">
        <f>SUM(Tableau1[[#This Row],[Sous-traitance]:[Autres ou non précisé 12]])</f>
        <v>0</v>
      </c>
      <c r="CY193" s="65"/>
      <c r="CZ193" s="65"/>
      <c r="DA193" s="65"/>
      <c r="DB193" s="65"/>
      <c r="DC193" s="55"/>
      <c r="DD193" s="68">
        <f t="shared" si="122"/>
        <v>0</v>
      </c>
      <c r="DE193" s="55"/>
      <c r="DF193" s="65"/>
      <c r="DG193" s="65"/>
      <c r="DH193" s="65"/>
      <c r="DI193" s="68">
        <f>SUM(Tableau1[[#This Row],[Entretien et réparation matériel de projection]:[Autres ou non précisé 14]])</f>
        <v>0</v>
      </c>
      <c r="DJ193" s="58"/>
      <c r="DK193" s="58"/>
      <c r="DL193" s="69"/>
      <c r="DM193" s="68">
        <f t="shared" si="103"/>
        <v>0</v>
      </c>
      <c r="DN193" s="58"/>
      <c r="DO193" s="58"/>
      <c r="DP193" s="68">
        <f t="shared" si="104"/>
        <v>0</v>
      </c>
      <c r="DQ193" s="65"/>
      <c r="DR193" s="65"/>
      <c r="DS193" s="68">
        <f t="shared" si="105"/>
        <v>0</v>
      </c>
      <c r="DT193" s="65"/>
      <c r="DU193" s="65"/>
      <c r="DV193" s="65"/>
      <c r="DW193" s="68">
        <f>SUM(Tableau1[[#This Row],[Comission et courtage sur achats]:[Autres ou honoraires
 non précisé ]])</f>
        <v>0</v>
      </c>
      <c r="DX193" s="57"/>
      <c r="DY193" s="57"/>
      <c r="DZ193" s="65"/>
      <c r="EA193" s="65"/>
      <c r="EB193" s="65"/>
      <c r="EC193" s="68">
        <f t="shared" si="106"/>
        <v>0</v>
      </c>
      <c r="ED193" s="69"/>
      <c r="EE193" s="69"/>
      <c r="EF193" s="69"/>
      <c r="EG193" s="69"/>
      <c r="EH193" s="69"/>
      <c r="EI193" s="84">
        <f>SUM(Tableau1[[#This Row],[Transports sur films]:[autres ]])</f>
        <v>0</v>
      </c>
      <c r="EJ193" s="132">
        <v>0</v>
      </c>
      <c r="EK193" s="132"/>
      <c r="EL193" s="68">
        <f t="shared" si="107"/>
        <v>0</v>
      </c>
      <c r="EM193" s="65"/>
      <c r="EN193" s="65">
        <v>0</v>
      </c>
      <c r="EO193" s="65"/>
      <c r="EP193" s="65"/>
      <c r="EQ193" s="65"/>
      <c r="ER193" s="65"/>
      <c r="ES193" s="65"/>
      <c r="ET193" s="68">
        <f t="shared" si="108"/>
        <v>0</v>
      </c>
      <c r="EU193" s="65"/>
      <c r="EV193" s="65"/>
      <c r="EW193" s="65"/>
      <c r="EX193" s="65"/>
      <c r="EY193" s="65"/>
      <c r="EZ193" s="68">
        <f t="shared" si="124"/>
        <v>0</v>
      </c>
      <c r="FA193" s="65"/>
      <c r="FB193" s="65"/>
      <c r="FC193" s="70">
        <f t="shared" si="123"/>
        <v>0</v>
      </c>
      <c r="FD193" s="65"/>
      <c r="FE193" s="71">
        <f t="shared" si="109"/>
        <v>0</v>
      </c>
      <c r="FF193" s="72">
        <f t="shared" si="110"/>
        <v>0</v>
      </c>
      <c r="FG193" s="65"/>
      <c r="FH193" s="65"/>
      <c r="FI193" s="65"/>
      <c r="FJ193" s="56">
        <f t="shared" si="111"/>
        <v>0</v>
      </c>
      <c r="FK193" s="65"/>
      <c r="FL193" s="65"/>
      <c r="FM193" s="65"/>
      <c r="FN193" s="65"/>
      <c r="FO193" s="67">
        <f t="shared" si="112"/>
        <v>0</v>
      </c>
      <c r="FP193" s="57"/>
      <c r="FQ193" s="73"/>
      <c r="FR193" s="73"/>
      <c r="FS193" s="71">
        <f t="shared" si="113"/>
        <v>0</v>
      </c>
      <c r="FT193" s="91"/>
      <c r="FU193" s="91"/>
      <c r="FV193" s="67">
        <f>SUM(Tableau1[[#This Row],[Droits d''auteurs SACEM + cotisations SACEM]:[Autres ou non préciés]])</f>
        <v>0</v>
      </c>
      <c r="FW193" s="75">
        <f t="shared" si="114"/>
        <v>0</v>
      </c>
      <c r="FX193" s="74">
        <v>0</v>
      </c>
      <c r="FY193" s="74"/>
      <c r="FZ193" s="74"/>
      <c r="GA193" s="74"/>
      <c r="GB193" s="71">
        <f t="shared" si="115"/>
        <v>0</v>
      </c>
      <c r="GC193" s="92"/>
      <c r="GD193" s="92"/>
      <c r="GE193" s="67">
        <f t="shared" si="116"/>
        <v>0</v>
      </c>
      <c r="GF193" s="66"/>
      <c r="GG193" s="66"/>
      <c r="GH193" s="66"/>
      <c r="GI193" s="66"/>
      <c r="GJ193" s="77"/>
    </row>
    <row r="194" spans="1:192" ht="18.600000000000001" customHeight="1" x14ac:dyDescent="0.25">
      <c r="A194" s="89"/>
      <c r="B194" s="17"/>
      <c r="C194" s="50"/>
      <c r="D194" s="140"/>
      <c r="E194" s="51"/>
      <c r="F194" s="139">
        <f t="shared" si="120"/>
        <v>1</v>
      </c>
      <c r="G194" s="49"/>
      <c r="H194" s="50"/>
      <c r="I194" s="122"/>
      <c r="J194" s="49"/>
      <c r="K194" s="50"/>
      <c r="L194" s="50"/>
      <c r="M194" s="90"/>
      <c r="N194" s="50"/>
      <c r="O194" s="50"/>
      <c r="P194" s="90"/>
      <c r="Q194" s="52">
        <f t="shared" si="86"/>
        <v>0</v>
      </c>
      <c r="R194" s="52">
        <f t="shared" si="87"/>
        <v>0</v>
      </c>
      <c r="S194" s="53">
        <f t="shared" si="88"/>
        <v>0</v>
      </c>
      <c r="T194" s="54">
        <f t="shared" si="89"/>
        <v>0</v>
      </c>
      <c r="U194" s="115">
        <f>SUM(Tableau1[[#This Row],[Vente confiserie]:[Vente boisson]])</f>
        <v>0</v>
      </c>
      <c r="V194" s="55"/>
      <c r="W194" s="55"/>
      <c r="X194" s="135">
        <f>SUM(Tableau1[[#This Row],[Vente lunette]:[Location lunette]])</f>
        <v>0</v>
      </c>
      <c r="Y194" s="55"/>
      <c r="Z194" s="55"/>
      <c r="AA194" s="55"/>
      <c r="AB194" s="55"/>
      <c r="AC194" s="56">
        <f t="shared" si="118"/>
        <v>0</v>
      </c>
      <c r="AD194" s="57"/>
      <c r="AE194" s="57"/>
      <c r="AF194" s="57"/>
      <c r="AG194" s="57"/>
      <c r="AH194" s="57"/>
      <c r="AI194" s="57"/>
      <c r="AJ194" s="118">
        <f>(Tableau1[[#This Row],[Recette guichet ]]*1.1275177)-Tableau1[[#This Row],[Recette guichet ]]</f>
        <v>0</v>
      </c>
      <c r="AK194" s="57"/>
      <c r="AL194" s="56">
        <f t="shared" si="119"/>
        <v>0</v>
      </c>
      <c r="AM194" s="58"/>
      <c r="AN194" s="58"/>
      <c r="AO194" s="58"/>
      <c r="AP194" s="115">
        <f t="shared" si="90"/>
        <v>0</v>
      </c>
      <c r="AQ194" s="69"/>
      <c r="AR194" s="69"/>
      <c r="AS194" s="69"/>
      <c r="AT194" s="69"/>
      <c r="AU194" s="59">
        <f t="shared" si="91"/>
        <v>0</v>
      </c>
      <c r="AV194" s="60">
        <f t="shared" si="92"/>
        <v>0</v>
      </c>
      <c r="AW194" s="58"/>
      <c r="AX194" s="58"/>
      <c r="AY194" s="58"/>
      <c r="AZ194" s="60">
        <f t="shared" si="121"/>
        <v>0</v>
      </c>
      <c r="BA194" s="58"/>
      <c r="BB194" s="58"/>
      <c r="BC194" s="58"/>
      <c r="BD194" s="60">
        <f>SUM(Tableau1[[#This Row],[ticket/carte/abonnement périmé]:[Autres ou non précisé 5]])</f>
        <v>0</v>
      </c>
      <c r="BE194" s="58"/>
      <c r="BF194" s="58"/>
      <c r="BG194" s="58"/>
      <c r="BH194" s="61">
        <f t="shared" si="93"/>
        <v>0</v>
      </c>
      <c r="BI194" s="120"/>
      <c r="BJ194" s="120"/>
      <c r="BK194" s="62">
        <f t="shared" si="94"/>
        <v>0</v>
      </c>
      <c r="BL194" s="120"/>
      <c r="BM194" s="120"/>
      <c r="BN194" s="120"/>
      <c r="BO194" s="120"/>
      <c r="BP194" s="120"/>
      <c r="BQ194" s="63"/>
      <c r="BR194" s="52">
        <f t="shared" si="95"/>
        <v>0</v>
      </c>
      <c r="BS194" s="52">
        <f t="shared" si="96"/>
        <v>0</v>
      </c>
      <c r="BT194" s="61">
        <f t="shared" si="97"/>
        <v>0</v>
      </c>
      <c r="BU194" s="64">
        <f t="shared" si="98"/>
        <v>0</v>
      </c>
      <c r="BV194" s="119">
        <f>SUM(Tableau1[[#This Row],[Achats confiserie]:[Achats boisson]])</f>
        <v>0</v>
      </c>
      <c r="BW194" s="58"/>
      <c r="BX194" s="69"/>
      <c r="BY194" s="58"/>
      <c r="BZ194" s="56">
        <f t="shared" si="99"/>
        <v>0</v>
      </c>
      <c r="CA194" s="66"/>
      <c r="CB194" s="66"/>
      <c r="CC194" s="56">
        <f t="shared" si="100"/>
        <v>0</v>
      </c>
      <c r="CD194" s="55"/>
      <c r="CE194" s="65"/>
      <c r="CF194" s="55"/>
      <c r="CG194" s="55"/>
      <c r="CH194" s="67">
        <f t="shared" si="101"/>
        <v>0</v>
      </c>
      <c r="CI194" s="68">
        <f t="shared" si="117"/>
        <v>0</v>
      </c>
      <c r="CJ194" s="55"/>
      <c r="CK194" s="55"/>
      <c r="CL194" s="55"/>
      <c r="CM194" s="55"/>
      <c r="CN194" s="55"/>
      <c r="CO194" s="68">
        <f t="shared" si="102"/>
        <v>0</v>
      </c>
      <c r="CP194" s="75">
        <f>SUM(Tableau1[[#This Row],[Fourniture eau]:[Energie (non précisé)]])</f>
        <v>0</v>
      </c>
      <c r="CQ194" s="55"/>
      <c r="CR194" s="55"/>
      <c r="CS194" s="55"/>
      <c r="CT194" s="55"/>
      <c r="CU194" s="55"/>
      <c r="CV194" s="55">
        <v>0</v>
      </c>
      <c r="CW194" s="55"/>
      <c r="CX194" s="68">
        <f>SUM(Tableau1[[#This Row],[Sous-traitance]:[Autres ou non précisé 12]])</f>
        <v>0</v>
      </c>
      <c r="CY194" s="65"/>
      <c r="CZ194" s="65"/>
      <c r="DA194" s="65"/>
      <c r="DB194" s="65"/>
      <c r="DC194" s="55"/>
      <c r="DD194" s="68">
        <f t="shared" si="122"/>
        <v>0</v>
      </c>
      <c r="DE194" s="55"/>
      <c r="DF194" s="65"/>
      <c r="DG194" s="65"/>
      <c r="DH194" s="65"/>
      <c r="DI194" s="68">
        <f>SUM(Tableau1[[#This Row],[Entretien et réparation matériel de projection]:[Autres ou non précisé 14]])</f>
        <v>0</v>
      </c>
      <c r="DJ194" s="58"/>
      <c r="DK194" s="58"/>
      <c r="DL194" s="69"/>
      <c r="DM194" s="68">
        <f t="shared" si="103"/>
        <v>0</v>
      </c>
      <c r="DN194" s="58"/>
      <c r="DO194" s="58"/>
      <c r="DP194" s="68">
        <f t="shared" si="104"/>
        <v>0</v>
      </c>
      <c r="DQ194" s="65"/>
      <c r="DR194" s="65"/>
      <c r="DS194" s="68">
        <f t="shared" si="105"/>
        <v>0</v>
      </c>
      <c r="DT194" s="65"/>
      <c r="DU194" s="65"/>
      <c r="DV194" s="65"/>
      <c r="DW194" s="68">
        <f>SUM(Tableau1[[#This Row],[Comission et courtage sur achats]:[Autres ou honoraires
 non précisé ]])</f>
        <v>0</v>
      </c>
      <c r="DX194" s="57"/>
      <c r="DY194" s="57"/>
      <c r="DZ194" s="65"/>
      <c r="EA194" s="65"/>
      <c r="EB194" s="65"/>
      <c r="EC194" s="68">
        <f t="shared" si="106"/>
        <v>0</v>
      </c>
      <c r="ED194" s="69"/>
      <c r="EE194" s="69"/>
      <c r="EF194" s="69"/>
      <c r="EG194" s="69"/>
      <c r="EH194" s="69"/>
      <c r="EI194" s="84">
        <f>SUM(Tableau1[[#This Row],[Transports sur films]:[autres ]])</f>
        <v>0</v>
      </c>
      <c r="EJ194" s="132">
        <v>0</v>
      </c>
      <c r="EK194" s="132"/>
      <c r="EL194" s="68">
        <f t="shared" si="107"/>
        <v>0</v>
      </c>
      <c r="EM194" s="65"/>
      <c r="EN194" s="65">
        <v>0</v>
      </c>
      <c r="EO194" s="65"/>
      <c r="EP194" s="65"/>
      <c r="EQ194" s="65"/>
      <c r="ER194" s="65"/>
      <c r="ES194" s="65"/>
      <c r="ET194" s="68">
        <f t="shared" si="108"/>
        <v>0</v>
      </c>
      <c r="EU194" s="65"/>
      <c r="EV194" s="65"/>
      <c r="EW194" s="65"/>
      <c r="EX194" s="65"/>
      <c r="EY194" s="65"/>
      <c r="EZ194" s="68">
        <f t="shared" si="124"/>
        <v>0</v>
      </c>
      <c r="FA194" s="65"/>
      <c r="FB194" s="65"/>
      <c r="FC194" s="70">
        <f t="shared" si="123"/>
        <v>0</v>
      </c>
      <c r="FD194" s="65"/>
      <c r="FE194" s="71">
        <f t="shared" si="109"/>
        <v>0</v>
      </c>
      <c r="FF194" s="72">
        <f t="shared" si="110"/>
        <v>0</v>
      </c>
      <c r="FG194" s="65"/>
      <c r="FH194" s="65"/>
      <c r="FI194" s="65"/>
      <c r="FJ194" s="56">
        <f t="shared" si="111"/>
        <v>0</v>
      </c>
      <c r="FK194" s="65"/>
      <c r="FL194" s="65"/>
      <c r="FM194" s="65"/>
      <c r="FN194" s="65"/>
      <c r="FO194" s="67">
        <f t="shared" si="112"/>
        <v>0</v>
      </c>
      <c r="FP194" s="57"/>
      <c r="FQ194" s="73"/>
      <c r="FR194" s="73"/>
      <c r="FS194" s="71">
        <f t="shared" si="113"/>
        <v>0</v>
      </c>
      <c r="FT194" s="91"/>
      <c r="FU194" s="91"/>
      <c r="FV194" s="67">
        <f>SUM(Tableau1[[#This Row],[Droits d''auteurs SACEM + cotisations SACEM]:[Autres ou non préciés]])</f>
        <v>0</v>
      </c>
      <c r="FW194" s="75">
        <f t="shared" si="114"/>
        <v>0</v>
      </c>
      <c r="FX194" s="74">
        <v>0</v>
      </c>
      <c r="FY194" s="74"/>
      <c r="FZ194" s="74"/>
      <c r="GA194" s="74"/>
      <c r="GB194" s="71">
        <f t="shared" si="115"/>
        <v>0</v>
      </c>
      <c r="GC194" s="92"/>
      <c r="GD194" s="92"/>
      <c r="GE194" s="67">
        <f t="shared" si="116"/>
        <v>0</v>
      </c>
      <c r="GF194" s="66"/>
      <c r="GG194" s="66"/>
      <c r="GH194" s="66"/>
      <c r="GI194" s="66"/>
      <c r="GJ194" s="77"/>
    </row>
    <row r="195" spans="1:192" ht="18.600000000000001" customHeight="1" x14ac:dyDescent="0.25">
      <c r="A195" s="89"/>
      <c r="B195" s="17"/>
      <c r="C195" s="50"/>
      <c r="D195" s="140"/>
      <c r="E195" s="51"/>
      <c r="F195" s="139">
        <f t="shared" si="120"/>
        <v>1</v>
      </c>
      <c r="G195" s="49"/>
      <c r="H195" s="50"/>
      <c r="I195" s="122"/>
      <c r="J195" s="49"/>
      <c r="K195" s="50"/>
      <c r="L195" s="50"/>
      <c r="M195" s="90"/>
      <c r="N195" s="50"/>
      <c r="O195" s="50"/>
      <c r="P195" s="90"/>
      <c r="Q195" s="52">
        <f t="shared" si="86"/>
        <v>0</v>
      </c>
      <c r="R195" s="52">
        <f t="shared" si="87"/>
        <v>0</v>
      </c>
      <c r="S195" s="53">
        <f t="shared" si="88"/>
        <v>0</v>
      </c>
      <c r="T195" s="54">
        <f t="shared" si="89"/>
        <v>0</v>
      </c>
      <c r="U195" s="115">
        <f>SUM(Tableau1[[#This Row],[Vente confiserie]:[Vente boisson]])</f>
        <v>0</v>
      </c>
      <c r="V195" s="55"/>
      <c r="W195" s="55"/>
      <c r="X195" s="135">
        <f>SUM(Tableau1[[#This Row],[Vente lunette]:[Location lunette]])</f>
        <v>0</v>
      </c>
      <c r="Y195" s="55"/>
      <c r="Z195" s="55"/>
      <c r="AA195" s="55"/>
      <c r="AB195" s="55"/>
      <c r="AC195" s="56">
        <f t="shared" si="118"/>
        <v>0</v>
      </c>
      <c r="AD195" s="57"/>
      <c r="AE195" s="57"/>
      <c r="AF195" s="57"/>
      <c r="AG195" s="57"/>
      <c r="AH195" s="57"/>
      <c r="AI195" s="57"/>
      <c r="AJ195" s="118">
        <f>(Tableau1[[#This Row],[Recette guichet ]]*1.1275177)-Tableau1[[#This Row],[Recette guichet ]]</f>
        <v>0</v>
      </c>
      <c r="AK195" s="57"/>
      <c r="AL195" s="56">
        <f t="shared" si="119"/>
        <v>0</v>
      </c>
      <c r="AM195" s="58"/>
      <c r="AN195" s="58"/>
      <c r="AO195" s="58"/>
      <c r="AP195" s="115">
        <f t="shared" si="90"/>
        <v>0</v>
      </c>
      <c r="AQ195" s="69"/>
      <c r="AR195" s="69"/>
      <c r="AS195" s="69"/>
      <c r="AT195" s="69"/>
      <c r="AU195" s="59">
        <f t="shared" si="91"/>
        <v>0</v>
      </c>
      <c r="AV195" s="60">
        <f t="shared" si="92"/>
        <v>0</v>
      </c>
      <c r="AW195" s="58"/>
      <c r="AX195" s="58"/>
      <c r="AY195" s="58"/>
      <c r="AZ195" s="60">
        <f t="shared" si="121"/>
        <v>0</v>
      </c>
      <c r="BA195" s="58"/>
      <c r="BB195" s="58"/>
      <c r="BC195" s="58"/>
      <c r="BD195" s="60">
        <f>SUM(Tableau1[[#This Row],[ticket/carte/abonnement périmé]:[Autres ou non précisé 5]])</f>
        <v>0</v>
      </c>
      <c r="BE195" s="58"/>
      <c r="BF195" s="58"/>
      <c r="BG195" s="58"/>
      <c r="BH195" s="61">
        <f t="shared" si="93"/>
        <v>0</v>
      </c>
      <c r="BI195" s="120"/>
      <c r="BJ195" s="120"/>
      <c r="BK195" s="62">
        <f t="shared" si="94"/>
        <v>0</v>
      </c>
      <c r="BL195" s="120"/>
      <c r="BM195" s="120"/>
      <c r="BN195" s="120"/>
      <c r="BO195" s="120"/>
      <c r="BP195" s="120"/>
      <c r="BQ195" s="63"/>
      <c r="BR195" s="52">
        <f t="shared" si="95"/>
        <v>0</v>
      </c>
      <c r="BS195" s="52">
        <f t="shared" si="96"/>
        <v>0</v>
      </c>
      <c r="BT195" s="61">
        <f t="shared" si="97"/>
        <v>0</v>
      </c>
      <c r="BU195" s="64">
        <f t="shared" si="98"/>
        <v>0</v>
      </c>
      <c r="BV195" s="119">
        <f>SUM(Tableau1[[#This Row],[Achats confiserie]:[Achats boisson]])</f>
        <v>0</v>
      </c>
      <c r="BW195" s="58"/>
      <c r="BX195" s="69"/>
      <c r="BY195" s="58"/>
      <c r="BZ195" s="56">
        <f t="shared" si="99"/>
        <v>0</v>
      </c>
      <c r="CA195" s="66"/>
      <c r="CB195" s="66"/>
      <c r="CC195" s="56">
        <f t="shared" si="100"/>
        <v>0</v>
      </c>
      <c r="CD195" s="55"/>
      <c r="CE195" s="65"/>
      <c r="CF195" s="55"/>
      <c r="CG195" s="55"/>
      <c r="CH195" s="67">
        <f t="shared" si="101"/>
        <v>0</v>
      </c>
      <c r="CI195" s="68">
        <f t="shared" si="117"/>
        <v>0</v>
      </c>
      <c r="CJ195" s="55"/>
      <c r="CK195" s="55"/>
      <c r="CL195" s="55"/>
      <c r="CM195" s="55"/>
      <c r="CN195" s="55"/>
      <c r="CO195" s="68">
        <f t="shared" si="102"/>
        <v>0</v>
      </c>
      <c r="CP195" s="75">
        <f>SUM(Tableau1[[#This Row],[Fourniture eau]:[Energie (non précisé)]])</f>
        <v>0</v>
      </c>
      <c r="CQ195" s="55"/>
      <c r="CR195" s="55"/>
      <c r="CS195" s="55"/>
      <c r="CT195" s="55"/>
      <c r="CU195" s="55"/>
      <c r="CV195" s="55">
        <v>0</v>
      </c>
      <c r="CW195" s="55"/>
      <c r="CX195" s="68">
        <f>SUM(Tableau1[[#This Row],[Sous-traitance]:[Autres ou non précisé 12]])</f>
        <v>0</v>
      </c>
      <c r="CY195" s="65"/>
      <c r="CZ195" s="65"/>
      <c r="DA195" s="65"/>
      <c r="DB195" s="65"/>
      <c r="DC195" s="55"/>
      <c r="DD195" s="68">
        <f t="shared" si="122"/>
        <v>0</v>
      </c>
      <c r="DE195" s="55"/>
      <c r="DF195" s="65"/>
      <c r="DG195" s="65"/>
      <c r="DH195" s="65"/>
      <c r="DI195" s="68">
        <f>SUM(Tableau1[[#This Row],[Entretien et réparation matériel de projection]:[Autres ou non précisé 14]])</f>
        <v>0</v>
      </c>
      <c r="DJ195" s="58"/>
      <c r="DK195" s="58"/>
      <c r="DL195" s="69"/>
      <c r="DM195" s="68">
        <f t="shared" si="103"/>
        <v>0</v>
      </c>
      <c r="DN195" s="58"/>
      <c r="DO195" s="58"/>
      <c r="DP195" s="68">
        <f t="shared" si="104"/>
        <v>0</v>
      </c>
      <c r="DQ195" s="65"/>
      <c r="DR195" s="65"/>
      <c r="DS195" s="68">
        <f t="shared" si="105"/>
        <v>0</v>
      </c>
      <c r="DT195" s="65"/>
      <c r="DU195" s="65"/>
      <c r="DV195" s="65"/>
      <c r="DW195" s="68">
        <f>SUM(Tableau1[[#This Row],[Comission et courtage sur achats]:[Autres ou honoraires
 non précisé ]])</f>
        <v>0</v>
      </c>
      <c r="DX195" s="57"/>
      <c r="DY195" s="57"/>
      <c r="DZ195" s="65"/>
      <c r="EA195" s="65"/>
      <c r="EB195" s="65"/>
      <c r="EC195" s="68">
        <f t="shared" si="106"/>
        <v>0</v>
      </c>
      <c r="ED195" s="69"/>
      <c r="EE195" s="69"/>
      <c r="EF195" s="69"/>
      <c r="EG195" s="69"/>
      <c r="EH195" s="69"/>
      <c r="EI195" s="84">
        <f>SUM(Tableau1[[#This Row],[Transports sur films]:[autres ]])</f>
        <v>0</v>
      </c>
      <c r="EJ195" s="132">
        <v>0</v>
      </c>
      <c r="EK195" s="132"/>
      <c r="EL195" s="68">
        <f t="shared" si="107"/>
        <v>0</v>
      </c>
      <c r="EM195" s="65"/>
      <c r="EN195" s="65">
        <v>0</v>
      </c>
      <c r="EO195" s="65"/>
      <c r="EP195" s="65"/>
      <c r="EQ195" s="65"/>
      <c r="ER195" s="65"/>
      <c r="ES195" s="65"/>
      <c r="ET195" s="68">
        <f t="shared" si="108"/>
        <v>0</v>
      </c>
      <c r="EU195" s="65"/>
      <c r="EV195" s="65"/>
      <c r="EW195" s="65"/>
      <c r="EX195" s="65"/>
      <c r="EY195" s="65"/>
      <c r="EZ195" s="68">
        <f t="shared" si="124"/>
        <v>0</v>
      </c>
      <c r="FA195" s="65"/>
      <c r="FB195" s="65"/>
      <c r="FC195" s="70">
        <f t="shared" si="123"/>
        <v>0</v>
      </c>
      <c r="FD195" s="65"/>
      <c r="FE195" s="71">
        <f t="shared" si="109"/>
        <v>0</v>
      </c>
      <c r="FF195" s="72">
        <f t="shared" si="110"/>
        <v>0</v>
      </c>
      <c r="FG195" s="65"/>
      <c r="FH195" s="65"/>
      <c r="FI195" s="65"/>
      <c r="FJ195" s="56">
        <f t="shared" si="111"/>
        <v>0</v>
      </c>
      <c r="FK195" s="65"/>
      <c r="FL195" s="65"/>
      <c r="FM195" s="65"/>
      <c r="FN195" s="65"/>
      <c r="FO195" s="67">
        <f t="shared" si="112"/>
        <v>0</v>
      </c>
      <c r="FP195" s="57"/>
      <c r="FQ195" s="73"/>
      <c r="FR195" s="73"/>
      <c r="FS195" s="71">
        <f t="shared" si="113"/>
        <v>0</v>
      </c>
      <c r="FT195" s="91"/>
      <c r="FU195" s="91"/>
      <c r="FV195" s="67">
        <f>SUM(Tableau1[[#This Row],[Droits d''auteurs SACEM + cotisations SACEM]:[Autres ou non préciés]])</f>
        <v>0</v>
      </c>
      <c r="FW195" s="75">
        <f t="shared" si="114"/>
        <v>0</v>
      </c>
      <c r="FX195" s="74">
        <v>0</v>
      </c>
      <c r="FY195" s="74"/>
      <c r="FZ195" s="74"/>
      <c r="GA195" s="74"/>
      <c r="GB195" s="71">
        <f t="shared" si="115"/>
        <v>0</v>
      </c>
      <c r="GC195" s="92"/>
      <c r="GD195" s="92"/>
      <c r="GE195" s="67">
        <f t="shared" si="116"/>
        <v>0</v>
      </c>
      <c r="GF195" s="66"/>
      <c r="GG195" s="66"/>
      <c r="GH195" s="66"/>
      <c r="GI195" s="66"/>
      <c r="GJ195" s="77"/>
    </row>
    <row r="196" spans="1:192" ht="18.600000000000001" customHeight="1" x14ac:dyDescent="0.25">
      <c r="A196" s="89"/>
      <c r="B196" s="17"/>
      <c r="C196" s="50"/>
      <c r="D196" s="140"/>
      <c r="E196" s="51"/>
      <c r="F196" s="139">
        <f t="shared" si="120"/>
        <v>1</v>
      </c>
      <c r="G196" s="49"/>
      <c r="H196" s="50"/>
      <c r="I196" s="122"/>
      <c r="J196" s="49"/>
      <c r="K196" s="50"/>
      <c r="L196" s="50"/>
      <c r="M196" s="90"/>
      <c r="N196" s="50"/>
      <c r="O196" s="50"/>
      <c r="P196" s="90"/>
      <c r="Q196" s="52">
        <f t="shared" si="86"/>
        <v>0</v>
      </c>
      <c r="R196" s="52">
        <f t="shared" si="87"/>
        <v>0</v>
      </c>
      <c r="S196" s="53">
        <f t="shared" si="88"/>
        <v>0</v>
      </c>
      <c r="T196" s="54">
        <f t="shared" si="89"/>
        <v>0</v>
      </c>
      <c r="U196" s="115">
        <f>SUM(Tableau1[[#This Row],[Vente confiserie]:[Vente boisson]])</f>
        <v>0</v>
      </c>
      <c r="V196" s="55"/>
      <c r="W196" s="55"/>
      <c r="X196" s="135">
        <f>SUM(Tableau1[[#This Row],[Vente lunette]:[Location lunette]])</f>
        <v>0</v>
      </c>
      <c r="Y196" s="55"/>
      <c r="Z196" s="55"/>
      <c r="AA196" s="55"/>
      <c r="AB196" s="55"/>
      <c r="AC196" s="56">
        <f t="shared" si="118"/>
        <v>0</v>
      </c>
      <c r="AD196" s="57"/>
      <c r="AE196" s="57"/>
      <c r="AF196" s="57"/>
      <c r="AG196" s="57"/>
      <c r="AH196" s="57"/>
      <c r="AI196" s="57"/>
      <c r="AJ196" s="118">
        <f>(Tableau1[[#This Row],[Recette guichet ]]*1.1275177)-Tableau1[[#This Row],[Recette guichet ]]</f>
        <v>0</v>
      </c>
      <c r="AK196" s="57"/>
      <c r="AL196" s="56">
        <f t="shared" si="119"/>
        <v>0</v>
      </c>
      <c r="AM196" s="58"/>
      <c r="AN196" s="58"/>
      <c r="AO196" s="58"/>
      <c r="AP196" s="115">
        <f t="shared" si="90"/>
        <v>0</v>
      </c>
      <c r="AQ196" s="69"/>
      <c r="AR196" s="69"/>
      <c r="AS196" s="69"/>
      <c r="AT196" s="69"/>
      <c r="AU196" s="59">
        <f t="shared" si="91"/>
        <v>0</v>
      </c>
      <c r="AV196" s="60">
        <f t="shared" si="92"/>
        <v>0</v>
      </c>
      <c r="AW196" s="58"/>
      <c r="AX196" s="58"/>
      <c r="AY196" s="58"/>
      <c r="AZ196" s="60">
        <f t="shared" si="121"/>
        <v>0</v>
      </c>
      <c r="BA196" s="58"/>
      <c r="BB196" s="58"/>
      <c r="BC196" s="58"/>
      <c r="BD196" s="60">
        <f>SUM(Tableau1[[#This Row],[ticket/carte/abonnement périmé]:[Autres ou non précisé 5]])</f>
        <v>0</v>
      </c>
      <c r="BE196" s="58"/>
      <c r="BF196" s="58"/>
      <c r="BG196" s="58"/>
      <c r="BH196" s="61">
        <f t="shared" si="93"/>
        <v>0</v>
      </c>
      <c r="BI196" s="120"/>
      <c r="BJ196" s="120"/>
      <c r="BK196" s="62">
        <f t="shared" si="94"/>
        <v>0</v>
      </c>
      <c r="BL196" s="120"/>
      <c r="BM196" s="120"/>
      <c r="BN196" s="120"/>
      <c r="BO196" s="120"/>
      <c r="BP196" s="120"/>
      <c r="BQ196" s="63"/>
      <c r="BR196" s="52">
        <f t="shared" si="95"/>
        <v>0</v>
      </c>
      <c r="BS196" s="52">
        <f t="shared" si="96"/>
        <v>0</v>
      </c>
      <c r="BT196" s="61">
        <f t="shared" si="97"/>
        <v>0</v>
      </c>
      <c r="BU196" s="64">
        <f t="shared" si="98"/>
        <v>0</v>
      </c>
      <c r="BV196" s="119">
        <f>SUM(Tableau1[[#This Row],[Achats confiserie]:[Achats boisson]])</f>
        <v>0</v>
      </c>
      <c r="BW196" s="58"/>
      <c r="BX196" s="69"/>
      <c r="BY196" s="58"/>
      <c r="BZ196" s="56">
        <f t="shared" si="99"/>
        <v>0</v>
      </c>
      <c r="CA196" s="66"/>
      <c r="CB196" s="66"/>
      <c r="CC196" s="56">
        <f t="shared" si="100"/>
        <v>0</v>
      </c>
      <c r="CD196" s="55"/>
      <c r="CE196" s="65"/>
      <c r="CF196" s="55"/>
      <c r="CG196" s="55"/>
      <c r="CH196" s="67">
        <f t="shared" si="101"/>
        <v>0</v>
      </c>
      <c r="CI196" s="68">
        <f t="shared" si="117"/>
        <v>0</v>
      </c>
      <c r="CJ196" s="55"/>
      <c r="CK196" s="55"/>
      <c r="CL196" s="55"/>
      <c r="CM196" s="55"/>
      <c r="CN196" s="55"/>
      <c r="CO196" s="68">
        <f t="shared" si="102"/>
        <v>0</v>
      </c>
      <c r="CP196" s="75">
        <f>SUM(Tableau1[[#This Row],[Fourniture eau]:[Energie (non précisé)]])</f>
        <v>0</v>
      </c>
      <c r="CQ196" s="55"/>
      <c r="CR196" s="55"/>
      <c r="CS196" s="55"/>
      <c r="CT196" s="55"/>
      <c r="CU196" s="55"/>
      <c r="CV196" s="55">
        <v>0</v>
      </c>
      <c r="CW196" s="55"/>
      <c r="CX196" s="68">
        <f>SUM(Tableau1[[#This Row],[Sous-traitance]:[Autres ou non précisé 12]])</f>
        <v>0</v>
      </c>
      <c r="CY196" s="65"/>
      <c r="CZ196" s="65"/>
      <c r="DA196" s="65"/>
      <c r="DB196" s="65"/>
      <c r="DC196" s="55"/>
      <c r="DD196" s="68">
        <f t="shared" si="122"/>
        <v>0</v>
      </c>
      <c r="DE196" s="55"/>
      <c r="DF196" s="65"/>
      <c r="DG196" s="65"/>
      <c r="DH196" s="65"/>
      <c r="DI196" s="68">
        <f>SUM(Tableau1[[#This Row],[Entretien et réparation matériel de projection]:[Autres ou non précisé 14]])</f>
        <v>0</v>
      </c>
      <c r="DJ196" s="58"/>
      <c r="DK196" s="58"/>
      <c r="DL196" s="69"/>
      <c r="DM196" s="68">
        <f t="shared" si="103"/>
        <v>0</v>
      </c>
      <c r="DN196" s="58"/>
      <c r="DO196" s="58"/>
      <c r="DP196" s="68">
        <f t="shared" si="104"/>
        <v>0</v>
      </c>
      <c r="DQ196" s="65"/>
      <c r="DR196" s="65"/>
      <c r="DS196" s="68">
        <f t="shared" si="105"/>
        <v>0</v>
      </c>
      <c r="DT196" s="65"/>
      <c r="DU196" s="65"/>
      <c r="DV196" s="65"/>
      <c r="DW196" s="68">
        <f>SUM(Tableau1[[#This Row],[Comission et courtage sur achats]:[Autres ou honoraires
 non précisé ]])</f>
        <v>0</v>
      </c>
      <c r="DX196" s="57"/>
      <c r="DY196" s="57"/>
      <c r="DZ196" s="65"/>
      <c r="EA196" s="65"/>
      <c r="EB196" s="65"/>
      <c r="EC196" s="68">
        <f t="shared" si="106"/>
        <v>0</v>
      </c>
      <c r="ED196" s="69"/>
      <c r="EE196" s="69"/>
      <c r="EF196" s="69"/>
      <c r="EG196" s="69"/>
      <c r="EH196" s="69"/>
      <c r="EI196" s="84">
        <f>SUM(Tableau1[[#This Row],[Transports sur films]:[autres ]])</f>
        <v>0</v>
      </c>
      <c r="EJ196" s="132">
        <v>0</v>
      </c>
      <c r="EK196" s="132"/>
      <c r="EL196" s="68">
        <f t="shared" si="107"/>
        <v>0</v>
      </c>
      <c r="EM196" s="65"/>
      <c r="EN196" s="65">
        <v>0</v>
      </c>
      <c r="EO196" s="65"/>
      <c r="EP196" s="65"/>
      <c r="EQ196" s="65"/>
      <c r="ER196" s="65"/>
      <c r="ES196" s="65"/>
      <c r="ET196" s="68">
        <f t="shared" si="108"/>
        <v>0</v>
      </c>
      <c r="EU196" s="65"/>
      <c r="EV196" s="65"/>
      <c r="EW196" s="65"/>
      <c r="EX196" s="65"/>
      <c r="EY196" s="65"/>
      <c r="EZ196" s="68">
        <f t="shared" si="124"/>
        <v>0</v>
      </c>
      <c r="FA196" s="65"/>
      <c r="FB196" s="65"/>
      <c r="FC196" s="70">
        <f t="shared" si="123"/>
        <v>0</v>
      </c>
      <c r="FD196" s="65"/>
      <c r="FE196" s="71">
        <f t="shared" si="109"/>
        <v>0</v>
      </c>
      <c r="FF196" s="72">
        <f t="shared" si="110"/>
        <v>0</v>
      </c>
      <c r="FG196" s="65"/>
      <c r="FH196" s="65"/>
      <c r="FI196" s="65"/>
      <c r="FJ196" s="56">
        <f t="shared" si="111"/>
        <v>0</v>
      </c>
      <c r="FK196" s="65"/>
      <c r="FL196" s="65"/>
      <c r="FM196" s="65"/>
      <c r="FN196" s="65"/>
      <c r="FO196" s="67">
        <f t="shared" si="112"/>
        <v>0</v>
      </c>
      <c r="FP196" s="57"/>
      <c r="FQ196" s="73"/>
      <c r="FR196" s="73"/>
      <c r="FS196" s="71">
        <f t="shared" si="113"/>
        <v>0</v>
      </c>
      <c r="FT196" s="91"/>
      <c r="FU196" s="91"/>
      <c r="FV196" s="67">
        <f>SUM(Tableau1[[#This Row],[Droits d''auteurs SACEM + cotisations SACEM]:[Autres ou non préciés]])</f>
        <v>0</v>
      </c>
      <c r="FW196" s="75">
        <f t="shared" si="114"/>
        <v>0</v>
      </c>
      <c r="FX196" s="74">
        <v>0</v>
      </c>
      <c r="FY196" s="74"/>
      <c r="FZ196" s="74"/>
      <c r="GA196" s="74"/>
      <c r="GB196" s="71">
        <f t="shared" si="115"/>
        <v>0</v>
      </c>
      <c r="GC196" s="92"/>
      <c r="GD196" s="92"/>
      <c r="GE196" s="67">
        <f t="shared" si="116"/>
        <v>0</v>
      </c>
      <c r="GF196" s="66"/>
      <c r="GG196" s="66"/>
      <c r="GH196" s="66"/>
      <c r="GI196" s="66"/>
      <c r="GJ196" s="77"/>
    </row>
    <row r="197" spans="1:192" ht="18.600000000000001" customHeight="1" x14ac:dyDescent="0.25">
      <c r="A197" s="89"/>
      <c r="B197" s="17"/>
      <c r="C197" s="50"/>
      <c r="D197" s="140"/>
      <c r="E197" s="51"/>
      <c r="F197" s="139">
        <f t="shared" si="120"/>
        <v>1</v>
      </c>
      <c r="G197" s="49"/>
      <c r="H197" s="50"/>
      <c r="I197" s="122"/>
      <c r="J197" s="49"/>
      <c r="K197" s="50"/>
      <c r="L197" s="50"/>
      <c r="M197" s="90"/>
      <c r="N197" s="50"/>
      <c r="O197" s="50"/>
      <c r="P197" s="90"/>
      <c r="Q197" s="52">
        <f t="shared" si="86"/>
        <v>0</v>
      </c>
      <c r="R197" s="52">
        <f t="shared" si="87"/>
        <v>0</v>
      </c>
      <c r="S197" s="53">
        <f t="shared" si="88"/>
        <v>0</v>
      </c>
      <c r="T197" s="54">
        <f t="shared" si="89"/>
        <v>0</v>
      </c>
      <c r="U197" s="115">
        <f>SUM(Tableau1[[#This Row],[Vente confiserie]:[Vente boisson]])</f>
        <v>0</v>
      </c>
      <c r="V197" s="55"/>
      <c r="W197" s="55"/>
      <c r="X197" s="135">
        <f>SUM(Tableau1[[#This Row],[Vente lunette]:[Location lunette]])</f>
        <v>0</v>
      </c>
      <c r="Y197" s="55"/>
      <c r="Z197" s="55"/>
      <c r="AA197" s="55"/>
      <c r="AB197" s="55"/>
      <c r="AC197" s="56">
        <f t="shared" si="118"/>
        <v>0</v>
      </c>
      <c r="AD197" s="57"/>
      <c r="AE197" s="57"/>
      <c r="AF197" s="57"/>
      <c r="AG197" s="57"/>
      <c r="AH197" s="57"/>
      <c r="AI197" s="57"/>
      <c r="AJ197" s="118">
        <f>(Tableau1[[#This Row],[Recette guichet ]]*1.1275177)-Tableau1[[#This Row],[Recette guichet ]]</f>
        <v>0</v>
      </c>
      <c r="AK197" s="57"/>
      <c r="AL197" s="56">
        <f t="shared" si="119"/>
        <v>0</v>
      </c>
      <c r="AM197" s="58"/>
      <c r="AN197" s="58"/>
      <c r="AO197" s="58"/>
      <c r="AP197" s="115">
        <f t="shared" si="90"/>
        <v>0</v>
      </c>
      <c r="AQ197" s="69"/>
      <c r="AR197" s="69"/>
      <c r="AS197" s="69"/>
      <c r="AT197" s="69"/>
      <c r="AU197" s="59">
        <f t="shared" si="91"/>
        <v>0</v>
      </c>
      <c r="AV197" s="60">
        <f t="shared" si="92"/>
        <v>0</v>
      </c>
      <c r="AW197" s="58"/>
      <c r="AX197" s="58"/>
      <c r="AY197" s="58"/>
      <c r="AZ197" s="60">
        <f t="shared" si="121"/>
        <v>0</v>
      </c>
      <c r="BA197" s="58"/>
      <c r="BB197" s="58"/>
      <c r="BC197" s="58"/>
      <c r="BD197" s="60">
        <f>SUM(Tableau1[[#This Row],[ticket/carte/abonnement périmé]:[Autres ou non précisé 5]])</f>
        <v>0</v>
      </c>
      <c r="BE197" s="58"/>
      <c r="BF197" s="58"/>
      <c r="BG197" s="58"/>
      <c r="BH197" s="61">
        <f t="shared" si="93"/>
        <v>0</v>
      </c>
      <c r="BI197" s="120"/>
      <c r="BJ197" s="120"/>
      <c r="BK197" s="62">
        <f t="shared" si="94"/>
        <v>0</v>
      </c>
      <c r="BL197" s="120"/>
      <c r="BM197" s="120"/>
      <c r="BN197" s="120"/>
      <c r="BO197" s="120"/>
      <c r="BP197" s="120"/>
      <c r="BQ197" s="63"/>
      <c r="BR197" s="52">
        <f t="shared" si="95"/>
        <v>0</v>
      </c>
      <c r="BS197" s="52">
        <f t="shared" si="96"/>
        <v>0</v>
      </c>
      <c r="BT197" s="61">
        <f t="shared" si="97"/>
        <v>0</v>
      </c>
      <c r="BU197" s="64">
        <f t="shared" si="98"/>
        <v>0</v>
      </c>
      <c r="BV197" s="119">
        <f>SUM(Tableau1[[#This Row],[Achats confiserie]:[Achats boisson]])</f>
        <v>0</v>
      </c>
      <c r="BW197" s="58"/>
      <c r="BX197" s="69"/>
      <c r="BY197" s="58"/>
      <c r="BZ197" s="56">
        <f t="shared" si="99"/>
        <v>0</v>
      </c>
      <c r="CA197" s="66"/>
      <c r="CB197" s="66"/>
      <c r="CC197" s="56">
        <f t="shared" si="100"/>
        <v>0</v>
      </c>
      <c r="CD197" s="55"/>
      <c r="CE197" s="65"/>
      <c r="CF197" s="55"/>
      <c r="CG197" s="55"/>
      <c r="CH197" s="67">
        <f t="shared" si="101"/>
        <v>0</v>
      </c>
      <c r="CI197" s="68">
        <f t="shared" si="117"/>
        <v>0</v>
      </c>
      <c r="CJ197" s="55"/>
      <c r="CK197" s="55"/>
      <c r="CL197" s="55"/>
      <c r="CM197" s="55"/>
      <c r="CN197" s="55"/>
      <c r="CO197" s="68">
        <f t="shared" si="102"/>
        <v>0</v>
      </c>
      <c r="CP197" s="75">
        <f>SUM(Tableau1[[#This Row],[Fourniture eau]:[Energie (non précisé)]])</f>
        <v>0</v>
      </c>
      <c r="CQ197" s="55"/>
      <c r="CR197" s="55"/>
      <c r="CS197" s="55"/>
      <c r="CT197" s="55"/>
      <c r="CU197" s="55"/>
      <c r="CV197" s="55">
        <v>0</v>
      </c>
      <c r="CW197" s="55"/>
      <c r="CX197" s="68">
        <f>SUM(Tableau1[[#This Row],[Sous-traitance]:[Autres ou non précisé 12]])</f>
        <v>0</v>
      </c>
      <c r="CY197" s="65"/>
      <c r="CZ197" s="65"/>
      <c r="DA197" s="65"/>
      <c r="DB197" s="65"/>
      <c r="DC197" s="55"/>
      <c r="DD197" s="68">
        <f t="shared" si="122"/>
        <v>0</v>
      </c>
      <c r="DE197" s="55"/>
      <c r="DF197" s="65"/>
      <c r="DG197" s="65"/>
      <c r="DH197" s="65"/>
      <c r="DI197" s="68">
        <f>SUM(Tableau1[[#This Row],[Entretien et réparation matériel de projection]:[Autres ou non précisé 14]])</f>
        <v>0</v>
      </c>
      <c r="DJ197" s="58"/>
      <c r="DK197" s="58"/>
      <c r="DL197" s="69"/>
      <c r="DM197" s="68">
        <f t="shared" si="103"/>
        <v>0</v>
      </c>
      <c r="DN197" s="58"/>
      <c r="DO197" s="58"/>
      <c r="DP197" s="68">
        <f t="shared" si="104"/>
        <v>0</v>
      </c>
      <c r="DQ197" s="65"/>
      <c r="DR197" s="65"/>
      <c r="DS197" s="68">
        <f t="shared" si="105"/>
        <v>0</v>
      </c>
      <c r="DT197" s="65"/>
      <c r="DU197" s="65"/>
      <c r="DV197" s="65"/>
      <c r="DW197" s="68">
        <f>SUM(Tableau1[[#This Row],[Comission et courtage sur achats]:[Autres ou honoraires
 non précisé ]])</f>
        <v>0</v>
      </c>
      <c r="DX197" s="57"/>
      <c r="DY197" s="57"/>
      <c r="DZ197" s="65"/>
      <c r="EA197" s="65"/>
      <c r="EB197" s="65"/>
      <c r="EC197" s="68">
        <f t="shared" si="106"/>
        <v>0</v>
      </c>
      <c r="ED197" s="69"/>
      <c r="EE197" s="69"/>
      <c r="EF197" s="69"/>
      <c r="EG197" s="69"/>
      <c r="EH197" s="69"/>
      <c r="EI197" s="84">
        <f>SUM(Tableau1[[#This Row],[Transports sur films]:[autres ]])</f>
        <v>0</v>
      </c>
      <c r="EJ197" s="132">
        <v>0</v>
      </c>
      <c r="EK197" s="132"/>
      <c r="EL197" s="68">
        <f t="shared" si="107"/>
        <v>0</v>
      </c>
      <c r="EM197" s="65"/>
      <c r="EN197" s="65">
        <v>0</v>
      </c>
      <c r="EO197" s="65"/>
      <c r="EP197" s="65"/>
      <c r="EQ197" s="65"/>
      <c r="ER197" s="65"/>
      <c r="ES197" s="65"/>
      <c r="ET197" s="68">
        <f t="shared" si="108"/>
        <v>0</v>
      </c>
      <c r="EU197" s="65"/>
      <c r="EV197" s="65"/>
      <c r="EW197" s="65"/>
      <c r="EX197" s="65"/>
      <c r="EY197" s="65"/>
      <c r="EZ197" s="68">
        <f t="shared" si="124"/>
        <v>0</v>
      </c>
      <c r="FA197" s="65"/>
      <c r="FB197" s="65"/>
      <c r="FC197" s="70">
        <f t="shared" si="123"/>
        <v>0</v>
      </c>
      <c r="FD197" s="65"/>
      <c r="FE197" s="71">
        <f t="shared" si="109"/>
        <v>0</v>
      </c>
      <c r="FF197" s="72">
        <f t="shared" si="110"/>
        <v>0</v>
      </c>
      <c r="FG197" s="65"/>
      <c r="FH197" s="65"/>
      <c r="FI197" s="65"/>
      <c r="FJ197" s="56">
        <f t="shared" si="111"/>
        <v>0</v>
      </c>
      <c r="FK197" s="65"/>
      <c r="FL197" s="65"/>
      <c r="FM197" s="65"/>
      <c r="FN197" s="65"/>
      <c r="FO197" s="67">
        <f t="shared" si="112"/>
        <v>0</v>
      </c>
      <c r="FP197" s="57"/>
      <c r="FQ197" s="73"/>
      <c r="FR197" s="73"/>
      <c r="FS197" s="71">
        <f t="shared" si="113"/>
        <v>0</v>
      </c>
      <c r="FT197" s="91"/>
      <c r="FU197" s="91"/>
      <c r="FV197" s="67">
        <f>SUM(Tableau1[[#This Row],[Droits d''auteurs SACEM + cotisations SACEM]:[Autres ou non préciés]])</f>
        <v>0</v>
      </c>
      <c r="FW197" s="75">
        <f t="shared" si="114"/>
        <v>0</v>
      </c>
      <c r="FX197" s="74">
        <v>0</v>
      </c>
      <c r="FY197" s="74"/>
      <c r="FZ197" s="74"/>
      <c r="GA197" s="74"/>
      <c r="GB197" s="71">
        <f t="shared" si="115"/>
        <v>0</v>
      </c>
      <c r="GC197" s="92"/>
      <c r="GD197" s="92"/>
      <c r="GE197" s="67">
        <f t="shared" si="116"/>
        <v>0</v>
      </c>
      <c r="GF197" s="66"/>
      <c r="GG197" s="66"/>
      <c r="GH197" s="66"/>
      <c r="GI197" s="66"/>
      <c r="GJ197" s="77"/>
    </row>
    <row r="198" spans="1:192" ht="18.600000000000001" customHeight="1" x14ac:dyDescent="0.25">
      <c r="A198" s="89"/>
      <c r="B198" s="17"/>
      <c r="C198" s="50"/>
      <c r="D198" s="140"/>
      <c r="E198" s="51"/>
      <c r="F198" s="139">
        <f t="shared" si="120"/>
        <v>1</v>
      </c>
      <c r="G198" s="49"/>
      <c r="H198" s="50"/>
      <c r="I198" s="122"/>
      <c r="J198" s="49"/>
      <c r="K198" s="50"/>
      <c r="L198" s="50"/>
      <c r="M198" s="90"/>
      <c r="N198" s="50"/>
      <c r="O198" s="50"/>
      <c r="P198" s="90"/>
      <c r="Q198" s="52">
        <f t="shared" ref="Q198:Q261" si="125">R198+BH198+BK198</f>
        <v>0</v>
      </c>
      <c r="R198" s="52">
        <f t="shared" ref="R198:R261" si="126">S198+AU198</f>
        <v>0</v>
      </c>
      <c r="S198" s="53">
        <f t="shared" ref="S198:S261" si="127">SUM(T198,AC198,AL198)</f>
        <v>0</v>
      </c>
      <c r="T198" s="54">
        <f t="shared" ref="T198:T261" si="128">SUM(V198:W198,Y198:AB198)</f>
        <v>0</v>
      </c>
      <c r="U198" s="115">
        <f>SUM(Tableau1[[#This Row],[Vente confiserie]:[Vente boisson]])</f>
        <v>0</v>
      </c>
      <c r="V198" s="55"/>
      <c r="W198" s="55"/>
      <c r="X198" s="135">
        <f>SUM(Tableau1[[#This Row],[Vente lunette]:[Location lunette]])</f>
        <v>0</v>
      </c>
      <c r="Y198" s="55"/>
      <c r="Z198" s="55"/>
      <c r="AA198" s="55"/>
      <c r="AB198" s="55"/>
      <c r="AC198" s="56">
        <f t="shared" si="118"/>
        <v>0</v>
      </c>
      <c r="AD198" s="57"/>
      <c r="AE198" s="57"/>
      <c r="AF198" s="57"/>
      <c r="AG198" s="57"/>
      <c r="AH198" s="57"/>
      <c r="AI198" s="57"/>
      <c r="AJ198" s="118">
        <f>(Tableau1[[#This Row],[Recette guichet ]]*1.1275177)-Tableau1[[#This Row],[Recette guichet ]]</f>
        <v>0</v>
      </c>
      <c r="AK198" s="57"/>
      <c r="AL198" s="56">
        <f t="shared" si="119"/>
        <v>0</v>
      </c>
      <c r="AM198" s="58"/>
      <c r="AN198" s="58"/>
      <c r="AO198" s="58"/>
      <c r="AP198" s="115">
        <f t="shared" ref="AP198:AP261" si="129">SUM(AQ198:AS198)</f>
        <v>0</v>
      </c>
      <c r="AQ198" s="69"/>
      <c r="AR198" s="69"/>
      <c r="AS198" s="69"/>
      <c r="AT198" s="69"/>
      <c r="AU198" s="59">
        <f t="shared" ref="AU198:AU261" si="130">SUM(AV198,AZ198,BD198)</f>
        <v>0</v>
      </c>
      <c r="AV198" s="60">
        <f t="shared" ref="AV198:AV261" si="131">SUM(AW198:AY198)</f>
        <v>0</v>
      </c>
      <c r="AW198" s="58"/>
      <c r="AX198" s="58"/>
      <c r="AY198" s="58"/>
      <c r="AZ198" s="60">
        <f t="shared" si="121"/>
        <v>0</v>
      </c>
      <c r="BA198" s="58"/>
      <c r="BB198" s="58"/>
      <c r="BC198" s="58"/>
      <c r="BD198" s="60">
        <f>SUM(Tableau1[[#This Row],[ticket/carte/abonnement périmé]:[Autres ou non précisé 5]])</f>
        <v>0</v>
      </c>
      <c r="BE198" s="58"/>
      <c r="BF198" s="58"/>
      <c r="BG198" s="58"/>
      <c r="BH198" s="61">
        <f t="shared" ref="BH198:BH261" si="132">SUM(BI198:BJ198)</f>
        <v>0</v>
      </c>
      <c r="BI198" s="120"/>
      <c r="BJ198" s="120"/>
      <c r="BK198" s="62">
        <f t="shared" ref="BK198:BK261" si="133">SUM(BL198:BQ198)</f>
        <v>0</v>
      </c>
      <c r="BL198" s="120"/>
      <c r="BM198" s="120"/>
      <c r="BN198" s="120"/>
      <c r="BO198" s="120"/>
      <c r="BP198" s="120"/>
      <c r="BQ198" s="63"/>
      <c r="BR198" s="52">
        <f t="shared" ref="BR198:BR261" si="134">BS198+GB198+GE198+GJ198</f>
        <v>0</v>
      </c>
      <c r="BS198" s="52">
        <f t="shared" ref="BS198:BS261" si="135">BT198+CH198+FE198+FO198+FS198+FV198</f>
        <v>0</v>
      </c>
      <c r="BT198" s="61">
        <f t="shared" ref="BT198:BT261" si="136">SUM(BU198,CC198,BZ198)</f>
        <v>0</v>
      </c>
      <c r="BU198" s="64">
        <f t="shared" ref="BU198:BU261" si="137">SUM(BW198:BY198)</f>
        <v>0</v>
      </c>
      <c r="BV198" s="119">
        <f>SUM(Tableau1[[#This Row],[Achats confiserie]:[Achats boisson]])</f>
        <v>0</v>
      </c>
      <c r="BW198" s="58"/>
      <c r="BX198" s="69"/>
      <c r="BY198" s="58"/>
      <c r="BZ198" s="56">
        <f t="shared" ref="BZ198:BZ261" si="138">SUM(CA198:CB198)</f>
        <v>0</v>
      </c>
      <c r="CA198" s="66"/>
      <c r="CB198" s="66"/>
      <c r="CC198" s="56">
        <f t="shared" ref="CC198:CC261" si="139">SUM(CD198:CG198)</f>
        <v>0</v>
      </c>
      <c r="CD198" s="55"/>
      <c r="CE198" s="65"/>
      <c r="CF198" s="55"/>
      <c r="CG198" s="55"/>
      <c r="CH198" s="67">
        <f t="shared" ref="CH198:CH261" si="140">SUM(CI198,CO198,CX198,DD198,DI198,DM198,DP198,DS198,DW198,EC198,EL198,ET198,EZ198,FC198,EI198)</f>
        <v>0</v>
      </c>
      <c r="CI198" s="68">
        <f t="shared" si="117"/>
        <v>0</v>
      </c>
      <c r="CJ198" s="55"/>
      <c r="CK198" s="55"/>
      <c r="CL198" s="55"/>
      <c r="CM198" s="55"/>
      <c r="CN198" s="55"/>
      <c r="CO198" s="68">
        <f t="shared" ref="CO198:CO261" si="141">SUM(CQ198:CW198)</f>
        <v>0</v>
      </c>
      <c r="CP198" s="75">
        <f>SUM(Tableau1[[#This Row],[Fourniture eau]:[Energie (non précisé)]])</f>
        <v>0</v>
      </c>
      <c r="CQ198" s="55"/>
      <c r="CR198" s="55"/>
      <c r="CS198" s="55"/>
      <c r="CT198" s="55"/>
      <c r="CU198" s="55"/>
      <c r="CV198" s="55">
        <v>0</v>
      </c>
      <c r="CW198" s="55"/>
      <c r="CX198" s="68">
        <f>SUM(Tableau1[[#This Row],[Sous-traitance]:[Autres ou non précisé 12]])</f>
        <v>0</v>
      </c>
      <c r="CY198" s="65"/>
      <c r="CZ198" s="65"/>
      <c r="DA198" s="65"/>
      <c r="DB198" s="65"/>
      <c r="DC198" s="55"/>
      <c r="DD198" s="68">
        <f t="shared" si="122"/>
        <v>0</v>
      </c>
      <c r="DE198" s="55"/>
      <c r="DF198" s="65"/>
      <c r="DG198" s="65"/>
      <c r="DH198" s="65"/>
      <c r="DI198" s="68">
        <f>SUM(Tableau1[[#This Row],[Entretien et réparation matériel de projection]:[Autres ou non précisé 14]])</f>
        <v>0</v>
      </c>
      <c r="DJ198" s="58"/>
      <c r="DK198" s="58"/>
      <c r="DL198" s="69"/>
      <c r="DM198" s="68">
        <f t="shared" ref="DM198:DM261" si="142">SUM(DN198:DO198)</f>
        <v>0</v>
      </c>
      <c r="DN198" s="58"/>
      <c r="DO198" s="58"/>
      <c r="DP198" s="68">
        <f t="shared" ref="DP198:DP261" si="143">SUM(DQ198:DR198)</f>
        <v>0</v>
      </c>
      <c r="DQ198" s="65"/>
      <c r="DR198" s="65"/>
      <c r="DS198" s="68">
        <f t="shared" ref="DS198:DS261" si="144">SUM(DT198:DV198)</f>
        <v>0</v>
      </c>
      <c r="DT198" s="65"/>
      <c r="DU198" s="65"/>
      <c r="DV198" s="65"/>
      <c r="DW198" s="68">
        <f>SUM(Tableau1[[#This Row],[Comission et courtage sur achats]:[Autres ou honoraires
 non précisé ]])</f>
        <v>0</v>
      </c>
      <c r="DX198" s="57"/>
      <c r="DY198" s="57"/>
      <c r="DZ198" s="65"/>
      <c r="EA198" s="65"/>
      <c r="EB198" s="65"/>
      <c r="EC198" s="68">
        <f t="shared" ref="EC198:EC261" si="145">SUM(ED198:EH198)</f>
        <v>0</v>
      </c>
      <c r="ED198" s="69"/>
      <c r="EE198" s="69"/>
      <c r="EF198" s="69"/>
      <c r="EG198" s="69"/>
      <c r="EH198" s="69"/>
      <c r="EI198" s="84">
        <f>SUM(Tableau1[[#This Row],[Transports sur films]:[autres ]])</f>
        <v>0</v>
      </c>
      <c r="EJ198" s="132">
        <v>0</v>
      </c>
      <c r="EK198" s="132"/>
      <c r="EL198" s="68">
        <f t="shared" ref="EL198:EL261" si="146">SUM(EM198:ES198)</f>
        <v>0</v>
      </c>
      <c r="EM198" s="65"/>
      <c r="EN198" s="65">
        <v>0</v>
      </c>
      <c r="EO198" s="65"/>
      <c r="EP198" s="65"/>
      <c r="EQ198" s="65"/>
      <c r="ER198" s="65"/>
      <c r="ES198" s="65"/>
      <c r="ET198" s="68">
        <f t="shared" ref="ET198:ET261" si="147">SUM(EU198:EY198)</f>
        <v>0</v>
      </c>
      <c r="EU198" s="65"/>
      <c r="EV198" s="65"/>
      <c r="EW198" s="65"/>
      <c r="EX198" s="65"/>
      <c r="EY198" s="65"/>
      <c r="EZ198" s="68">
        <f t="shared" si="124"/>
        <v>0</v>
      </c>
      <c r="FA198" s="65"/>
      <c r="FB198" s="65"/>
      <c r="FC198" s="70">
        <f t="shared" si="123"/>
        <v>0</v>
      </c>
      <c r="FD198" s="65"/>
      <c r="FE198" s="71">
        <f t="shared" ref="FE198:FE261" si="148">SUM(FF198,FJ198)</f>
        <v>0</v>
      </c>
      <c r="FF198" s="72">
        <f t="shared" ref="FF198:FF261" si="149">SUM(FG198:FI198)</f>
        <v>0</v>
      </c>
      <c r="FG198" s="65"/>
      <c r="FH198" s="65"/>
      <c r="FI198" s="65"/>
      <c r="FJ198" s="56">
        <f t="shared" ref="FJ198:FJ261" si="150">SUM(FK198:FN198)</f>
        <v>0</v>
      </c>
      <c r="FK198" s="65"/>
      <c r="FL198" s="65"/>
      <c r="FM198" s="65"/>
      <c r="FN198" s="65"/>
      <c r="FO198" s="67">
        <f t="shared" ref="FO198:FO261" si="151">SUM(FP198:FR198)</f>
        <v>0</v>
      </c>
      <c r="FP198" s="57"/>
      <c r="FQ198" s="73"/>
      <c r="FR198" s="73"/>
      <c r="FS198" s="71">
        <f t="shared" ref="FS198:FS261" si="152">SUM(FT198:FU198)</f>
        <v>0</v>
      </c>
      <c r="FT198" s="91"/>
      <c r="FU198" s="91"/>
      <c r="FV198" s="67">
        <f>SUM(Tableau1[[#This Row],[Droits d''auteurs SACEM + cotisations SACEM]:[Autres ou non préciés]])</f>
        <v>0</v>
      </c>
      <c r="FW198" s="75">
        <f t="shared" ref="FW198:FW261" si="153">SUM(FX198:FZ198)</f>
        <v>0</v>
      </c>
      <c r="FX198" s="74">
        <v>0</v>
      </c>
      <c r="FY198" s="74"/>
      <c r="FZ198" s="74"/>
      <c r="GA198" s="74"/>
      <c r="GB198" s="71">
        <f t="shared" ref="GB198:GB261" si="154">SUM(GC198:GD198)</f>
        <v>0</v>
      </c>
      <c r="GC198" s="92"/>
      <c r="GD198" s="92"/>
      <c r="GE198" s="67">
        <f t="shared" ref="GE198:GE261" si="155">SUM(GF198:GI198)</f>
        <v>0</v>
      </c>
      <c r="GF198" s="66"/>
      <c r="GG198" s="66"/>
      <c r="GH198" s="66"/>
      <c r="GI198" s="66"/>
      <c r="GJ198" s="77"/>
    </row>
    <row r="199" spans="1:192" ht="18.600000000000001" customHeight="1" x14ac:dyDescent="0.25">
      <c r="A199" s="89"/>
      <c r="B199" s="17"/>
      <c r="C199" s="50"/>
      <c r="D199" s="140"/>
      <c r="E199" s="51"/>
      <c r="F199" s="139">
        <f t="shared" si="120"/>
        <v>1</v>
      </c>
      <c r="G199" s="49"/>
      <c r="H199" s="50"/>
      <c r="I199" s="122"/>
      <c r="J199" s="49"/>
      <c r="K199" s="50"/>
      <c r="L199" s="50"/>
      <c r="M199" s="90"/>
      <c r="N199" s="50"/>
      <c r="O199" s="50"/>
      <c r="P199" s="90"/>
      <c r="Q199" s="52">
        <f t="shared" si="125"/>
        <v>0</v>
      </c>
      <c r="R199" s="52">
        <f t="shared" si="126"/>
        <v>0</v>
      </c>
      <c r="S199" s="53">
        <f t="shared" si="127"/>
        <v>0</v>
      </c>
      <c r="T199" s="54">
        <f t="shared" si="128"/>
        <v>0</v>
      </c>
      <c r="U199" s="115">
        <f>SUM(Tableau1[[#This Row],[Vente confiserie]:[Vente boisson]])</f>
        <v>0</v>
      </c>
      <c r="V199" s="55"/>
      <c r="W199" s="55"/>
      <c r="X199" s="135">
        <f>SUM(Tableau1[[#This Row],[Vente lunette]:[Location lunette]])</f>
        <v>0</v>
      </c>
      <c r="Y199" s="55"/>
      <c r="Z199" s="55"/>
      <c r="AA199" s="55"/>
      <c r="AB199" s="55"/>
      <c r="AC199" s="56">
        <f t="shared" si="118"/>
        <v>0</v>
      </c>
      <c r="AD199" s="57"/>
      <c r="AE199" s="57"/>
      <c r="AF199" s="57"/>
      <c r="AG199" s="57"/>
      <c r="AH199" s="57"/>
      <c r="AI199" s="57"/>
      <c r="AJ199" s="118">
        <f>(Tableau1[[#This Row],[Recette guichet ]]*1.1275177)-Tableau1[[#This Row],[Recette guichet ]]</f>
        <v>0</v>
      </c>
      <c r="AK199" s="57"/>
      <c r="AL199" s="56">
        <f t="shared" si="119"/>
        <v>0</v>
      </c>
      <c r="AM199" s="58"/>
      <c r="AN199" s="58"/>
      <c r="AO199" s="58"/>
      <c r="AP199" s="115">
        <f t="shared" si="129"/>
        <v>0</v>
      </c>
      <c r="AQ199" s="69"/>
      <c r="AR199" s="69"/>
      <c r="AS199" s="69"/>
      <c r="AT199" s="69"/>
      <c r="AU199" s="59">
        <f t="shared" si="130"/>
        <v>0</v>
      </c>
      <c r="AV199" s="60">
        <f t="shared" si="131"/>
        <v>0</v>
      </c>
      <c r="AW199" s="58"/>
      <c r="AX199" s="58"/>
      <c r="AY199" s="58"/>
      <c r="AZ199" s="60">
        <f t="shared" si="121"/>
        <v>0</v>
      </c>
      <c r="BA199" s="58"/>
      <c r="BB199" s="58"/>
      <c r="BC199" s="58"/>
      <c r="BD199" s="60">
        <f>SUM(Tableau1[[#This Row],[ticket/carte/abonnement périmé]:[Autres ou non précisé 5]])</f>
        <v>0</v>
      </c>
      <c r="BE199" s="58"/>
      <c r="BF199" s="58"/>
      <c r="BG199" s="58"/>
      <c r="BH199" s="61">
        <f t="shared" si="132"/>
        <v>0</v>
      </c>
      <c r="BI199" s="120"/>
      <c r="BJ199" s="120"/>
      <c r="BK199" s="62">
        <f t="shared" si="133"/>
        <v>0</v>
      </c>
      <c r="BL199" s="120"/>
      <c r="BM199" s="120"/>
      <c r="BN199" s="120"/>
      <c r="BO199" s="120"/>
      <c r="BP199" s="120"/>
      <c r="BQ199" s="63"/>
      <c r="BR199" s="52">
        <f t="shared" si="134"/>
        <v>0</v>
      </c>
      <c r="BS199" s="52">
        <f t="shared" si="135"/>
        <v>0</v>
      </c>
      <c r="BT199" s="61">
        <f t="shared" si="136"/>
        <v>0</v>
      </c>
      <c r="BU199" s="64">
        <f t="shared" si="137"/>
        <v>0</v>
      </c>
      <c r="BV199" s="119">
        <f>SUM(Tableau1[[#This Row],[Achats confiserie]:[Achats boisson]])</f>
        <v>0</v>
      </c>
      <c r="BW199" s="58"/>
      <c r="BX199" s="69"/>
      <c r="BY199" s="58"/>
      <c r="BZ199" s="56">
        <f t="shared" si="138"/>
        <v>0</v>
      </c>
      <c r="CA199" s="66"/>
      <c r="CB199" s="66"/>
      <c r="CC199" s="56">
        <f t="shared" si="139"/>
        <v>0</v>
      </c>
      <c r="CD199" s="55"/>
      <c r="CE199" s="65"/>
      <c r="CF199" s="55"/>
      <c r="CG199" s="55"/>
      <c r="CH199" s="67">
        <f t="shared" si="140"/>
        <v>0</v>
      </c>
      <c r="CI199" s="68">
        <f t="shared" si="117"/>
        <v>0</v>
      </c>
      <c r="CJ199" s="55"/>
      <c r="CK199" s="55"/>
      <c r="CL199" s="55"/>
      <c r="CM199" s="55"/>
      <c r="CN199" s="55"/>
      <c r="CO199" s="68">
        <f t="shared" si="141"/>
        <v>0</v>
      </c>
      <c r="CP199" s="75">
        <f>SUM(Tableau1[[#This Row],[Fourniture eau]:[Energie (non précisé)]])</f>
        <v>0</v>
      </c>
      <c r="CQ199" s="55"/>
      <c r="CR199" s="55"/>
      <c r="CS199" s="55"/>
      <c r="CT199" s="55"/>
      <c r="CU199" s="55"/>
      <c r="CV199" s="55">
        <v>0</v>
      </c>
      <c r="CW199" s="55"/>
      <c r="CX199" s="68">
        <f>SUM(Tableau1[[#This Row],[Sous-traitance]:[Autres ou non précisé 12]])</f>
        <v>0</v>
      </c>
      <c r="CY199" s="65"/>
      <c r="CZ199" s="65"/>
      <c r="DA199" s="65"/>
      <c r="DB199" s="65"/>
      <c r="DC199" s="55"/>
      <c r="DD199" s="68">
        <f t="shared" si="122"/>
        <v>0</v>
      </c>
      <c r="DE199" s="55"/>
      <c r="DF199" s="65"/>
      <c r="DG199" s="65"/>
      <c r="DH199" s="65"/>
      <c r="DI199" s="68">
        <f>SUM(Tableau1[[#This Row],[Entretien et réparation matériel de projection]:[Autres ou non précisé 14]])</f>
        <v>0</v>
      </c>
      <c r="DJ199" s="58"/>
      <c r="DK199" s="58"/>
      <c r="DL199" s="69"/>
      <c r="DM199" s="68">
        <f t="shared" si="142"/>
        <v>0</v>
      </c>
      <c r="DN199" s="58"/>
      <c r="DO199" s="58"/>
      <c r="DP199" s="68">
        <f t="shared" si="143"/>
        <v>0</v>
      </c>
      <c r="DQ199" s="65"/>
      <c r="DR199" s="65"/>
      <c r="DS199" s="68">
        <f t="shared" si="144"/>
        <v>0</v>
      </c>
      <c r="DT199" s="65"/>
      <c r="DU199" s="65"/>
      <c r="DV199" s="65"/>
      <c r="DW199" s="68">
        <f>SUM(Tableau1[[#This Row],[Comission et courtage sur achats]:[Autres ou honoraires
 non précisé ]])</f>
        <v>0</v>
      </c>
      <c r="DX199" s="57"/>
      <c r="DY199" s="57"/>
      <c r="DZ199" s="65"/>
      <c r="EA199" s="65"/>
      <c r="EB199" s="65"/>
      <c r="EC199" s="68">
        <f t="shared" si="145"/>
        <v>0</v>
      </c>
      <c r="ED199" s="69"/>
      <c r="EE199" s="69"/>
      <c r="EF199" s="69"/>
      <c r="EG199" s="69"/>
      <c r="EH199" s="69"/>
      <c r="EI199" s="84">
        <f>SUM(Tableau1[[#This Row],[Transports sur films]:[autres ]])</f>
        <v>0</v>
      </c>
      <c r="EJ199" s="132">
        <v>0</v>
      </c>
      <c r="EK199" s="132"/>
      <c r="EL199" s="68">
        <f t="shared" si="146"/>
        <v>0</v>
      </c>
      <c r="EM199" s="65"/>
      <c r="EN199" s="65">
        <v>0</v>
      </c>
      <c r="EO199" s="65"/>
      <c r="EP199" s="65"/>
      <c r="EQ199" s="65"/>
      <c r="ER199" s="65"/>
      <c r="ES199" s="65"/>
      <c r="ET199" s="68">
        <f t="shared" si="147"/>
        <v>0</v>
      </c>
      <c r="EU199" s="65"/>
      <c r="EV199" s="65"/>
      <c r="EW199" s="65"/>
      <c r="EX199" s="65"/>
      <c r="EY199" s="65"/>
      <c r="EZ199" s="68">
        <f t="shared" si="124"/>
        <v>0</v>
      </c>
      <c r="FA199" s="65"/>
      <c r="FB199" s="65"/>
      <c r="FC199" s="70">
        <f t="shared" si="123"/>
        <v>0</v>
      </c>
      <c r="FD199" s="65"/>
      <c r="FE199" s="71">
        <f t="shared" si="148"/>
        <v>0</v>
      </c>
      <c r="FF199" s="72">
        <f t="shared" si="149"/>
        <v>0</v>
      </c>
      <c r="FG199" s="65"/>
      <c r="FH199" s="65"/>
      <c r="FI199" s="65"/>
      <c r="FJ199" s="56">
        <f t="shared" si="150"/>
        <v>0</v>
      </c>
      <c r="FK199" s="65"/>
      <c r="FL199" s="65"/>
      <c r="FM199" s="65"/>
      <c r="FN199" s="65"/>
      <c r="FO199" s="67">
        <f t="shared" si="151"/>
        <v>0</v>
      </c>
      <c r="FP199" s="57"/>
      <c r="FQ199" s="73"/>
      <c r="FR199" s="73"/>
      <c r="FS199" s="71">
        <f t="shared" si="152"/>
        <v>0</v>
      </c>
      <c r="FT199" s="91"/>
      <c r="FU199" s="91"/>
      <c r="FV199" s="67">
        <f>SUM(Tableau1[[#This Row],[Droits d''auteurs SACEM + cotisations SACEM]:[Autres ou non préciés]])</f>
        <v>0</v>
      </c>
      <c r="FW199" s="75">
        <f t="shared" si="153"/>
        <v>0</v>
      </c>
      <c r="FX199" s="74">
        <v>0</v>
      </c>
      <c r="FY199" s="74"/>
      <c r="FZ199" s="74"/>
      <c r="GA199" s="74"/>
      <c r="GB199" s="71">
        <f t="shared" si="154"/>
        <v>0</v>
      </c>
      <c r="GC199" s="92"/>
      <c r="GD199" s="92"/>
      <c r="GE199" s="67">
        <f t="shared" si="155"/>
        <v>0</v>
      </c>
      <c r="GF199" s="66"/>
      <c r="GG199" s="66"/>
      <c r="GH199" s="66"/>
      <c r="GI199" s="66"/>
      <c r="GJ199" s="77"/>
    </row>
    <row r="200" spans="1:192" ht="18.600000000000001" customHeight="1" x14ac:dyDescent="0.25">
      <c r="A200" s="89"/>
      <c r="B200" s="17"/>
      <c r="C200" s="50"/>
      <c r="D200" s="140"/>
      <c r="E200" s="51"/>
      <c r="F200" s="139">
        <f t="shared" si="120"/>
        <v>1</v>
      </c>
      <c r="G200" s="49"/>
      <c r="H200" s="50"/>
      <c r="I200" s="122"/>
      <c r="J200" s="49"/>
      <c r="K200" s="50"/>
      <c r="L200" s="50"/>
      <c r="M200" s="90"/>
      <c r="N200" s="50"/>
      <c r="O200" s="50"/>
      <c r="P200" s="90"/>
      <c r="Q200" s="52">
        <f t="shared" si="125"/>
        <v>0</v>
      </c>
      <c r="R200" s="52">
        <f t="shared" si="126"/>
        <v>0</v>
      </c>
      <c r="S200" s="53">
        <f t="shared" si="127"/>
        <v>0</v>
      </c>
      <c r="T200" s="54">
        <f t="shared" si="128"/>
        <v>0</v>
      </c>
      <c r="U200" s="115">
        <f>SUM(Tableau1[[#This Row],[Vente confiserie]:[Vente boisson]])</f>
        <v>0</v>
      </c>
      <c r="V200" s="55"/>
      <c r="W200" s="55"/>
      <c r="X200" s="135">
        <f>SUM(Tableau1[[#This Row],[Vente lunette]:[Location lunette]])</f>
        <v>0</v>
      </c>
      <c r="Y200" s="55"/>
      <c r="Z200" s="55"/>
      <c r="AA200" s="55"/>
      <c r="AB200" s="55"/>
      <c r="AC200" s="56">
        <f t="shared" si="118"/>
        <v>0</v>
      </c>
      <c r="AD200" s="57"/>
      <c r="AE200" s="57"/>
      <c r="AF200" s="57"/>
      <c r="AG200" s="57"/>
      <c r="AH200" s="57"/>
      <c r="AI200" s="57"/>
      <c r="AJ200" s="118">
        <f>(Tableau1[[#This Row],[Recette guichet ]]*1.1275177)-Tableau1[[#This Row],[Recette guichet ]]</f>
        <v>0</v>
      </c>
      <c r="AK200" s="57"/>
      <c r="AL200" s="56">
        <f t="shared" si="119"/>
        <v>0</v>
      </c>
      <c r="AM200" s="58"/>
      <c r="AN200" s="58"/>
      <c r="AO200" s="58"/>
      <c r="AP200" s="115">
        <f t="shared" si="129"/>
        <v>0</v>
      </c>
      <c r="AQ200" s="69"/>
      <c r="AR200" s="69"/>
      <c r="AS200" s="69"/>
      <c r="AT200" s="69"/>
      <c r="AU200" s="59">
        <f t="shared" si="130"/>
        <v>0</v>
      </c>
      <c r="AV200" s="60">
        <f t="shared" si="131"/>
        <v>0</v>
      </c>
      <c r="AW200" s="58"/>
      <c r="AX200" s="58"/>
      <c r="AY200" s="58"/>
      <c r="AZ200" s="60">
        <f t="shared" si="121"/>
        <v>0</v>
      </c>
      <c r="BA200" s="58"/>
      <c r="BB200" s="58"/>
      <c r="BC200" s="58"/>
      <c r="BD200" s="60">
        <f>SUM(Tableau1[[#This Row],[ticket/carte/abonnement périmé]:[Autres ou non précisé 5]])</f>
        <v>0</v>
      </c>
      <c r="BE200" s="58"/>
      <c r="BF200" s="58"/>
      <c r="BG200" s="58"/>
      <c r="BH200" s="61">
        <f t="shared" si="132"/>
        <v>0</v>
      </c>
      <c r="BI200" s="120"/>
      <c r="BJ200" s="120"/>
      <c r="BK200" s="62">
        <f t="shared" si="133"/>
        <v>0</v>
      </c>
      <c r="BL200" s="120"/>
      <c r="BM200" s="120"/>
      <c r="BN200" s="120"/>
      <c r="BO200" s="120"/>
      <c r="BP200" s="120"/>
      <c r="BQ200" s="63"/>
      <c r="BR200" s="52">
        <f t="shared" si="134"/>
        <v>0</v>
      </c>
      <c r="BS200" s="52">
        <f t="shared" si="135"/>
        <v>0</v>
      </c>
      <c r="BT200" s="61">
        <f t="shared" si="136"/>
        <v>0</v>
      </c>
      <c r="BU200" s="64">
        <f t="shared" si="137"/>
        <v>0</v>
      </c>
      <c r="BV200" s="119">
        <f>SUM(Tableau1[[#This Row],[Achats confiserie]:[Achats boisson]])</f>
        <v>0</v>
      </c>
      <c r="BW200" s="58"/>
      <c r="BX200" s="69"/>
      <c r="BY200" s="58"/>
      <c r="BZ200" s="56">
        <f t="shared" si="138"/>
        <v>0</v>
      </c>
      <c r="CA200" s="66"/>
      <c r="CB200" s="66"/>
      <c r="CC200" s="56">
        <f t="shared" si="139"/>
        <v>0</v>
      </c>
      <c r="CD200" s="55"/>
      <c r="CE200" s="65"/>
      <c r="CF200" s="55"/>
      <c r="CG200" s="55"/>
      <c r="CH200" s="67">
        <f t="shared" si="140"/>
        <v>0</v>
      </c>
      <c r="CI200" s="68">
        <f t="shared" si="117"/>
        <v>0</v>
      </c>
      <c r="CJ200" s="55"/>
      <c r="CK200" s="55"/>
      <c r="CL200" s="55"/>
      <c r="CM200" s="55"/>
      <c r="CN200" s="55"/>
      <c r="CO200" s="68">
        <f t="shared" si="141"/>
        <v>0</v>
      </c>
      <c r="CP200" s="75">
        <f>SUM(Tableau1[[#This Row],[Fourniture eau]:[Energie (non précisé)]])</f>
        <v>0</v>
      </c>
      <c r="CQ200" s="55"/>
      <c r="CR200" s="55"/>
      <c r="CS200" s="55"/>
      <c r="CT200" s="55"/>
      <c r="CU200" s="55"/>
      <c r="CV200" s="55">
        <v>0</v>
      </c>
      <c r="CW200" s="55"/>
      <c r="CX200" s="68">
        <f>SUM(Tableau1[[#This Row],[Sous-traitance]:[Autres ou non précisé 12]])</f>
        <v>0</v>
      </c>
      <c r="CY200" s="65"/>
      <c r="CZ200" s="65"/>
      <c r="DA200" s="65"/>
      <c r="DB200" s="65"/>
      <c r="DC200" s="55"/>
      <c r="DD200" s="68">
        <f t="shared" si="122"/>
        <v>0</v>
      </c>
      <c r="DE200" s="55"/>
      <c r="DF200" s="65"/>
      <c r="DG200" s="65"/>
      <c r="DH200" s="65"/>
      <c r="DI200" s="68">
        <f>SUM(Tableau1[[#This Row],[Entretien et réparation matériel de projection]:[Autres ou non précisé 14]])</f>
        <v>0</v>
      </c>
      <c r="DJ200" s="58"/>
      <c r="DK200" s="58"/>
      <c r="DL200" s="69"/>
      <c r="DM200" s="68">
        <f t="shared" si="142"/>
        <v>0</v>
      </c>
      <c r="DN200" s="58"/>
      <c r="DO200" s="58"/>
      <c r="DP200" s="68">
        <f t="shared" si="143"/>
        <v>0</v>
      </c>
      <c r="DQ200" s="65"/>
      <c r="DR200" s="65"/>
      <c r="DS200" s="68">
        <f t="shared" si="144"/>
        <v>0</v>
      </c>
      <c r="DT200" s="65"/>
      <c r="DU200" s="65"/>
      <c r="DV200" s="65"/>
      <c r="DW200" s="68">
        <f>SUM(Tableau1[[#This Row],[Comission et courtage sur achats]:[Autres ou honoraires
 non précisé ]])</f>
        <v>0</v>
      </c>
      <c r="DX200" s="57"/>
      <c r="DY200" s="57"/>
      <c r="DZ200" s="65"/>
      <c r="EA200" s="65"/>
      <c r="EB200" s="65"/>
      <c r="EC200" s="68">
        <f t="shared" si="145"/>
        <v>0</v>
      </c>
      <c r="ED200" s="69"/>
      <c r="EE200" s="69"/>
      <c r="EF200" s="69"/>
      <c r="EG200" s="69"/>
      <c r="EH200" s="69"/>
      <c r="EI200" s="84">
        <f>SUM(Tableau1[[#This Row],[Transports sur films]:[autres ]])</f>
        <v>0</v>
      </c>
      <c r="EJ200" s="132">
        <v>0</v>
      </c>
      <c r="EK200" s="132"/>
      <c r="EL200" s="68">
        <f t="shared" si="146"/>
        <v>0</v>
      </c>
      <c r="EM200" s="65"/>
      <c r="EN200" s="65">
        <v>0</v>
      </c>
      <c r="EO200" s="65"/>
      <c r="EP200" s="65"/>
      <c r="EQ200" s="65"/>
      <c r="ER200" s="65"/>
      <c r="ES200" s="65"/>
      <c r="ET200" s="68">
        <f t="shared" si="147"/>
        <v>0</v>
      </c>
      <c r="EU200" s="65"/>
      <c r="EV200" s="65"/>
      <c r="EW200" s="65"/>
      <c r="EX200" s="65"/>
      <c r="EY200" s="65"/>
      <c r="EZ200" s="68">
        <f t="shared" si="124"/>
        <v>0</v>
      </c>
      <c r="FA200" s="65"/>
      <c r="FB200" s="65"/>
      <c r="FC200" s="70">
        <f t="shared" si="123"/>
        <v>0</v>
      </c>
      <c r="FD200" s="65"/>
      <c r="FE200" s="71">
        <f t="shared" si="148"/>
        <v>0</v>
      </c>
      <c r="FF200" s="72">
        <f t="shared" si="149"/>
        <v>0</v>
      </c>
      <c r="FG200" s="65"/>
      <c r="FH200" s="65"/>
      <c r="FI200" s="65"/>
      <c r="FJ200" s="56">
        <f t="shared" si="150"/>
        <v>0</v>
      </c>
      <c r="FK200" s="65"/>
      <c r="FL200" s="65"/>
      <c r="FM200" s="65"/>
      <c r="FN200" s="65"/>
      <c r="FO200" s="67">
        <f t="shared" si="151"/>
        <v>0</v>
      </c>
      <c r="FP200" s="57"/>
      <c r="FQ200" s="73"/>
      <c r="FR200" s="73"/>
      <c r="FS200" s="71">
        <f t="shared" si="152"/>
        <v>0</v>
      </c>
      <c r="FT200" s="91"/>
      <c r="FU200" s="91"/>
      <c r="FV200" s="67">
        <f>SUM(Tableau1[[#This Row],[Droits d''auteurs SACEM + cotisations SACEM]:[Autres ou non préciés]])</f>
        <v>0</v>
      </c>
      <c r="FW200" s="75">
        <f t="shared" si="153"/>
        <v>0</v>
      </c>
      <c r="FX200" s="74">
        <v>0</v>
      </c>
      <c r="FY200" s="74"/>
      <c r="FZ200" s="74"/>
      <c r="GA200" s="74"/>
      <c r="GB200" s="71">
        <f t="shared" si="154"/>
        <v>0</v>
      </c>
      <c r="GC200" s="92"/>
      <c r="GD200" s="92"/>
      <c r="GE200" s="67">
        <f t="shared" si="155"/>
        <v>0</v>
      </c>
      <c r="GF200" s="66"/>
      <c r="GG200" s="66"/>
      <c r="GH200" s="66"/>
      <c r="GI200" s="66"/>
      <c r="GJ200" s="77"/>
    </row>
    <row r="201" spans="1:192" ht="18.600000000000001" customHeight="1" x14ac:dyDescent="0.25">
      <c r="A201" s="89"/>
      <c r="B201" s="17"/>
      <c r="C201" s="50"/>
      <c r="D201" s="140"/>
      <c r="E201" s="51"/>
      <c r="F201" s="139">
        <f t="shared" si="120"/>
        <v>1</v>
      </c>
      <c r="G201" s="49"/>
      <c r="H201" s="50"/>
      <c r="I201" s="122"/>
      <c r="J201" s="49"/>
      <c r="K201" s="50"/>
      <c r="L201" s="50"/>
      <c r="M201" s="90"/>
      <c r="N201" s="50"/>
      <c r="O201" s="50"/>
      <c r="P201" s="90"/>
      <c r="Q201" s="52">
        <f t="shared" si="125"/>
        <v>0</v>
      </c>
      <c r="R201" s="52">
        <f t="shared" si="126"/>
        <v>0</v>
      </c>
      <c r="S201" s="53">
        <f t="shared" si="127"/>
        <v>0</v>
      </c>
      <c r="T201" s="54">
        <f t="shared" si="128"/>
        <v>0</v>
      </c>
      <c r="U201" s="115">
        <f>SUM(Tableau1[[#This Row],[Vente confiserie]:[Vente boisson]])</f>
        <v>0</v>
      </c>
      <c r="V201" s="55"/>
      <c r="W201" s="55"/>
      <c r="X201" s="135">
        <f>SUM(Tableau1[[#This Row],[Vente lunette]:[Location lunette]])</f>
        <v>0</v>
      </c>
      <c r="Y201" s="55"/>
      <c r="Z201" s="55"/>
      <c r="AA201" s="55"/>
      <c r="AB201" s="55"/>
      <c r="AC201" s="56">
        <f t="shared" si="118"/>
        <v>0</v>
      </c>
      <c r="AD201" s="57"/>
      <c r="AE201" s="57"/>
      <c r="AF201" s="57"/>
      <c r="AG201" s="57"/>
      <c r="AH201" s="57"/>
      <c r="AI201" s="57"/>
      <c r="AJ201" s="118">
        <f>(Tableau1[[#This Row],[Recette guichet ]]*1.1275177)-Tableau1[[#This Row],[Recette guichet ]]</f>
        <v>0</v>
      </c>
      <c r="AK201" s="57"/>
      <c r="AL201" s="56">
        <f t="shared" si="119"/>
        <v>0</v>
      </c>
      <c r="AM201" s="58"/>
      <c r="AN201" s="58"/>
      <c r="AO201" s="58"/>
      <c r="AP201" s="115">
        <f t="shared" si="129"/>
        <v>0</v>
      </c>
      <c r="AQ201" s="69"/>
      <c r="AR201" s="69"/>
      <c r="AS201" s="69"/>
      <c r="AT201" s="69"/>
      <c r="AU201" s="59">
        <f t="shared" si="130"/>
        <v>0</v>
      </c>
      <c r="AV201" s="60">
        <f t="shared" si="131"/>
        <v>0</v>
      </c>
      <c r="AW201" s="58"/>
      <c r="AX201" s="58"/>
      <c r="AY201" s="58"/>
      <c r="AZ201" s="60">
        <f t="shared" si="121"/>
        <v>0</v>
      </c>
      <c r="BA201" s="58"/>
      <c r="BB201" s="58"/>
      <c r="BC201" s="58"/>
      <c r="BD201" s="60">
        <f>SUM(Tableau1[[#This Row],[ticket/carte/abonnement périmé]:[Autres ou non précisé 5]])</f>
        <v>0</v>
      </c>
      <c r="BE201" s="58"/>
      <c r="BF201" s="58"/>
      <c r="BG201" s="58"/>
      <c r="BH201" s="61">
        <f t="shared" si="132"/>
        <v>0</v>
      </c>
      <c r="BI201" s="120"/>
      <c r="BJ201" s="120"/>
      <c r="BK201" s="62">
        <f t="shared" si="133"/>
        <v>0</v>
      </c>
      <c r="BL201" s="120"/>
      <c r="BM201" s="120"/>
      <c r="BN201" s="120"/>
      <c r="BO201" s="120"/>
      <c r="BP201" s="120"/>
      <c r="BQ201" s="63"/>
      <c r="BR201" s="52">
        <f t="shared" si="134"/>
        <v>0</v>
      </c>
      <c r="BS201" s="52">
        <f t="shared" si="135"/>
        <v>0</v>
      </c>
      <c r="BT201" s="61">
        <f t="shared" si="136"/>
        <v>0</v>
      </c>
      <c r="BU201" s="64">
        <f t="shared" si="137"/>
        <v>0</v>
      </c>
      <c r="BV201" s="119">
        <f>SUM(Tableau1[[#This Row],[Achats confiserie]:[Achats boisson]])</f>
        <v>0</v>
      </c>
      <c r="BW201" s="58"/>
      <c r="BX201" s="69"/>
      <c r="BY201" s="58"/>
      <c r="BZ201" s="56">
        <f t="shared" si="138"/>
        <v>0</v>
      </c>
      <c r="CA201" s="66"/>
      <c r="CB201" s="66"/>
      <c r="CC201" s="56">
        <f t="shared" si="139"/>
        <v>0</v>
      </c>
      <c r="CD201" s="55"/>
      <c r="CE201" s="65"/>
      <c r="CF201" s="55"/>
      <c r="CG201" s="55"/>
      <c r="CH201" s="67">
        <f t="shared" si="140"/>
        <v>0</v>
      </c>
      <c r="CI201" s="68">
        <f t="shared" si="117"/>
        <v>0</v>
      </c>
      <c r="CJ201" s="55"/>
      <c r="CK201" s="55"/>
      <c r="CL201" s="55"/>
      <c r="CM201" s="55"/>
      <c r="CN201" s="55"/>
      <c r="CO201" s="68">
        <f t="shared" si="141"/>
        <v>0</v>
      </c>
      <c r="CP201" s="75">
        <f>SUM(Tableau1[[#This Row],[Fourniture eau]:[Energie (non précisé)]])</f>
        <v>0</v>
      </c>
      <c r="CQ201" s="55"/>
      <c r="CR201" s="55"/>
      <c r="CS201" s="55"/>
      <c r="CT201" s="55"/>
      <c r="CU201" s="55"/>
      <c r="CV201" s="55">
        <v>0</v>
      </c>
      <c r="CW201" s="55"/>
      <c r="CX201" s="68">
        <f>SUM(Tableau1[[#This Row],[Sous-traitance]:[Autres ou non précisé 12]])</f>
        <v>0</v>
      </c>
      <c r="CY201" s="65"/>
      <c r="CZ201" s="65"/>
      <c r="DA201" s="65"/>
      <c r="DB201" s="65"/>
      <c r="DC201" s="55"/>
      <c r="DD201" s="68">
        <f t="shared" si="122"/>
        <v>0</v>
      </c>
      <c r="DE201" s="55"/>
      <c r="DF201" s="65"/>
      <c r="DG201" s="65"/>
      <c r="DH201" s="65"/>
      <c r="DI201" s="68">
        <f>SUM(Tableau1[[#This Row],[Entretien et réparation matériel de projection]:[Autres ou non précisé 14]])</f>
        <v>0</v>
      </c>
      <c r="DJ201" s="58"/>
      <c r="DK201" s="58"/>
      <c r="DL201" s="69"/>
      <c r="DM201" s="68">
        <f t="shared" si="142"/>
        <v>0</v>
      </c>
      <c r="DN201" s="58"/>
      <c r="DO201" s="58"/>
      <c r="DP201" s="68">
        <f t="shared" si="143"/>
        <v>0</v>
      </c>
      <c r="DQ201" s="65"/>
      <c r="DR201" s="65"/>
      <c r="DS201" s="68">
        <f t="shared" si="144"/>
        <v>0</v>
      </c>
      <c r="DT201" s="65"/>
      <c r="DU201" s="65"/>
      <c r="DV201" s="65"/>
      <c r="DW201" s="68">
        <f>SUM(Tableau1[[#This Row],[Comission et courtage sur achats]:[Autres ou honoraires
 non précisé ]])</f>
        <v>0</v>
      </c>
      <c r="DX201" s="57"/>
      <c r="DY201" s="57"/>
      <c r="DZ201" s="65"/>
      <c r="EA201" s="65"/>
      <c r="EB201" s="65"/>
      <c r="EC201" s="68">
        <f t="shared" si="145"/>
        <v>0</v>
      </c>
      <c r="ED201" s="69"/>
      <c r="EE201" s="69"/>
      <c r="EF201" s="69"/>
      <c r="EG201" s="69"/>
      <c r="EH201" s="69"/>
      <c r="EI201" s="84">
        <f>SUM(Tableau1[[#This Row],[Transports sur films]:[autres ]])</f>
        <v>0</v>
      </c>
      <c r="EJ201" s="132">
        <v>0</v>
      </c>
      <c r="EK201" s="132"/>
      <c r="EL201" s="68">
        <f t="shared" si="146"/>
        <v>0</v>
      </c>
      <c r="EM201" s="65"/>
      <c r="EN201" s="65">
        <v>0</v>
      </c>
      <c r="EO201" s="65"/>
      <c r="EP201" s="65"/>
      <c r="EQ201" s="65"/>
      <c r="ER201" s="65"/>
      <c r="ES201" s="65"/>
      <c r="ET201" s="68">
        <f t="shared" si="147"/>
        <v>0</v>
      </c>
      <c r="EU201" s="65"/>
      <c r="EV201" s="65"/>
      <c r="EW201" s="65"/>
      <c r="EX201" s="65"/>
      <c r="EY201" s="65"/>
      <c r="EZ201" s="68">
        <f t="shared" si="124"/>
        <v>0</v>
      </c>
      <c r="FA201" s="65"/>
      <c r="FB201" s="65"/>
      <c r="FC201" s="70">
        <f t="shared" si="123"/>
        <v>0</v>
      </c>
      <c r="FD201" s="65"/>
      <c r="FE201" s="71">
        <f t="shared" si="148"/>
        <v>0</v>
      </c>
      <c r="FF201" s="72">
        <f t="shared" si="149"/>
        <v>0</v>
      </c>
      <c r="FG201" s="65"/>
      <c r="FH201" s="65"/>
      <c r="FI201" s="65"/>
      <c r="FJ201" s="56">
        <f t="shared" si="150"/>
        <v>0</v>
      </c>
      <c r="FK201" s="65"/>
      <c r="FL201" s="65"/>
      <c r="FM201" s="65"/>
      <c r="FN201" s="65"/>
      <c r="FO201" s="67">
        <f t="shared" si="151"/>
        <v>0</v>
      </c>
      <c r="FP201" s="57"/>
      <c r="FQ201" s="73"/>
      <c r="FR201" s="73"/>
      <c r="FS201" s="71">
        <f t="shared" si="152"/>
        <v>0</v>
      </c>
      <c r="FT201" s="91"/>
      <c r="FU201" s="91"/>
      <c r="FV201" s="67">
        <f>SUM(Tableau1[[#This Row],[Droits d''auteurs SACEM + cotisations SACEM]:[Autres ou non préciés]])</f>
        <v>0</v>
      </c>
      <c r="FW201" s="75">
        <f t="shared" si="153"/>
        <v>0</v>
      </c>
      <c r="FX201" s="74">
        <v>0</v>
      </c>
      <c r="FY201" s="74"/>
      <c r="FZ201" s="74"/>
      <c r="GA201" s="74"/>
      <c r="GB201" s="71">
        <f t="shared" si="154"/>
        <v>0</v>
      </c>
      <c r="GC201" s="92"/>
      <c r="GD201" s="92"/>
      <c r="GE201" s="67">
        <f t="shared" si="155"/>
        <v>0</v>
      </c>
      <c r="GF201" s="66"/>
      <c r="GG201" s="66"/>
      <c r="GH201" s="66"/>
      <c r="GI201" s="66"/>
      <c r="GJ201" s="77"/>
    </row>
    <row r="202" spans="1:192" ht="18.600000000000001" customHeight="1" x14ac:dyDescent="0.25">
      <c r="A202" s="89"/>
      <c r="B202" s="17"/>
      <c r="C202" s="50"/>
      <c r="D202" s="140"/>
      <c r="E202" s="51"/>
      <c r="F202" s="139">
        <f t="shared" si="120"/>
        <v>1</v>
      </c>
      <c r="G202" s="49"/>
      <c r="H202" s="50"/>
      <c r="I202" s="122"/>
      <c r="J202" s="49"/>
      <c r="K202" s="50"/>
      <c r="L202" s="50"/>
      <c r="M202" s="90"/>
      <c r="N202" s="50"/>
      <c r="O202" s="50"/>
      <c r="P202" s="90"/>
      <c r="Q202" s="52">
        <f t="shared" si="125"/>
        <v>0</v>
      </c>
      <c r="R202" s="52">
        <f t="shared" si="126"/>
        <v>0</v>
      </c>
      <c r="S202" s="53">
        <f t="shared" si="127"/>
        <v>0</v>
      </c>
      <c r="T202" s="54">
        <f t="shared" si="128"/>
        <v>0</v>
      </c>
      <c r="U202" s="115">
        <f>SUM(Tableau1[[#This Row],[Vente confiserie]:[Vente boisson]])</f>
        <v>0</v>
      </c>
      <c r="V202" s="55"/>
      <c r="W202" s="55"/>
      <c r="X202" s="135">
        <f>SUM(Tableau1[[#This Row],[Vente lunette]:[Location lunette]])</f>
        <v>0</v>
      </c>
      <c r="Y202" s="55"/>
      <c r="Z202" s="55"/>
      <c r="AA202" s="55"/>
      <c r="AB202" s="55"/>
      <c r="AC202" s="56">
        <f t="shared" si="118"/>
        <v>0</v>
      </c>
      <c r="AD202" s="57"/>
      <c r="AE202" s="57"/>
      <c r="AF202" s="57"/>
      <c r="AG202" s="57"/>
      <c r="AH202" s="57"/>
      <c r="AI202" s="57"/>
      <c r="AJ202" s="118">
        <f>(Tableau1[[#This Row],[Recette guichet ]]*1.1275177)-Tableau1[[#This Row],[Recette guichet ]]</f>
        <v>0</v>
      </c>
      <c r="AK202" s="57"/>
      <c r="AL202" s="56">
        <f t="shared" si="119"/>
        <v>0</v>
      </c>
      <c r="AM202" s="58"/>
      <c r="AN202" s="58"/>
      <c r="AO202" s="58"/>
      <c r="AP202" s="115">
        <f t="shared" si="129"/>
        <v>0</v>
      </c>
      <c r="AQ202" s="69"/>
      <c r="AR202" s="69"/>
      <c r="AS202" s="69"/>
      <c r="AT202" s="69"/>
      <c r="AU202" s="59">
        <f t="shared" si="130"/>
        <v>0</v>
      </c>
      <c r="AV202" s="60">
        <f t="shared" si="131"/>
        <v>0</v>
      </c>
      <c r="AW202" s="58"/>
      <c r="AX202" s="58"/>
      <c r="AY202" s="58"/>
      <c r="AZ202" s="60">
        <f t="shared" si="121"/>
        <v>0</v>
      </c>
      <c r="BA202" s="58"/>
      <c r="BB202" s="58"/>
      <c r="BC202" s="58"/>
      <c r="BD202" s="60">
        <f>SUM(Tableau1[[#This Row],[ticket/carte/abonnement périmé]:[Autres ou non précisé 5]])</f>
        <v>0</v>
      </c>
      <c r="BE202" s="58"/>
      <c r="BF202" s="58"/>
      <c r="BG202" s="58"/>
      <c r="BH202" s="61">
        <f t="shared" si="132"/>
        <v>0</v>
      </c>
      <c r="BI202" s="120"/>
      <c r="BJ202" s="120"/>
      <c r="BK202" s="62">
        <f t="shared" si="133"/>
        <v>0</v>
      </c>
      <c r="BL202" s="120"/>
      <c r="BM202" s="120"/>
      <c r="BN202" s="120"/>
      <c r="BO202" s="120"/>
      <c r="BP202" s="120"/>
      <c r="BQ202" s="63"/>
      <c r="BR202" s="52">
        <f t="shared" si="134"/>
        <v>0</v>
      </c>
      <c r="BS202" s="52">
        <f t="shared" si="135"/>
        <v>0</v>
      </c>
      <c r="BT202" s="61">
        <f t="shared" si="136"/>
        <v>0</v>
      </c>
      <c r="BU202" s="64">
        <f t="shared" si="137"/>
        <v>0</v>
      </c>
      <c r="BV202" s="119">
        <f>SUM(Tableau1[[#This Row],[Achats confiserie]:[Achats boisson]])</f>
        <v>0</v>
      </c>
      <c r="BW202" s="58"/>
      <c r="BX202" s="69"/>
      <c r="BY202" s="58"/>
      <c r="BZ202" s="56">
        <f t="shared" si="138"/>
        <v>0</v>
      </c>
      <c r="CA202" s="66"/>
      <c r="CB202" s="66"/>
      <c r="CC202" s="56">
        <f t="shared" si="139"/>
        <v>0</v>
      </c>
      <c r="CD202" s="55"/>
      <c r="CE202" s="65"/>
      <c r="CF202" s="55"/>
      <c r="CG202" s="55"/>
      <c r="CH202" s="67">
        <f t="shared" si="140"/>
        <v>0</v>
      </c>
      <c r="CI202" s="68">
        <f t="shared" si="117"/>
        <v>0</v>
      </c>
      <c r="CJ202" s="55"/>
      <c r="CK202" s="55"/>
      <c r="CL202" s="55"/>
      <c r="CM202" s="55"/>
      <c r="CN202" s="55"/>
      <c r="CO202" s="68">
        <f t="shared" si="141"/>
        <v>0</v>
      </c>
      <c r="CP202" s="75">
        <f>SUM(Tableau1[[#This Row],[Fourniture eau]:[Energie (non précisé)]])</f>
        <v>0</v>
      </c>
      <c r="CQ202" s="55"/>
      <c r="CR202" s="55"/>
      <c r="CS202" s="55"/>
      <c r="CT202" s="55"/>
      <c r="CU202" s="55"/>
      <c r="CV202" s="55">
        <v>0</v>
      </c>
      <c r="CW202" s="55"/>
      <c r="CX202" s="68">
        <f>SUM(Tableau1[[#This Row],[Sous-traitance]:[Autres ou non précisé 12]])</f>
        <v>0</v>
      </c>
      <c r="CY202" s="65"/>
      <c r="CZ202" s="65"/>
      <c r="DA202" s="65"/>
      <c r="DB202" s="65"/>
      <c r="DC202" s="55"/>
      <c r="DD202" s="68">
        <f t="shared" si="122"/>
        <v>0</v>
      </c>
      <c r="DE202" s="55"/>
      <c r="DF202" s="65"/>
      <c r="DG202" s="65"/>
      <c r="DH202" s="65"/>
      <c r="DI202" s="68">
        <f>SUM(Tableau1[[#This Row],[Entretien et réparation matériel de projection]:[Autres ou non précisé 14]])</f>
        <v>0</v>
      </c>
      <c r="DJ202" s="58"/>
      <c r="DK202" s="58"/>
      <c r="DL202" s="69"/>
      <c r="DM202" s="68">
        <f t="shared" si="142"/>
        <v>0</v>
      </c>
      <c r="DN202" s="58"/>
      <c r="DO202" s="58"/>
      <c r="DP202" s="68">
        <f t="shared" si="143"/>
        <v>0</v>
      </c>
      <c r="DQ202" s="65"/>
      <c r="DR202" s="65"/>
      <c r="DS202" s="68">
        <f t="shared" si="144"/>
        <v>0</v>
      </c>
      <c r="DT202" s="65"/>
      <c r="DU202" s="65"/>
      <c r="DV202" s="65"/>
      <c r="DW202" s="68">
        <f>SUM(Tableau1[[#This Row],[Comission et courtage sur achats]:[Autres ou honoraires
 non précisé ]])</f>
        <v>0</v>
      </c>
      <c r="DX202" s="57"/>
      <c r="DY202" s="57"/>
      <c r="DZ202" s="65"/>
      <c r="EA202" s="65"/>
      <c r="EB202" s="65"/>
      <c r="EC202" s="68">
        <f t="shared" si="145"/>
        <v>0</v>
      </c>
      <c r="ED202" s="69"/>
      <c r="EE202" s="69"/>
      <c r="EF202" s="69"/>
      <c r="EG202" s="69"/>
      <c r="EH202" s="69"/>
      <c r="EI202" s="84">
        <f>SUM(Tableau1[[#This Row],[Transports sur films]:[autres ]])</f>
        <v>0</v>
      </c>
      <c r="EJ202" s="132">
        <v>0</v>
      </c>
      <c r="EK202" s="132"/>
      <c r="EL202" s="68">
        <f t="shared" si="146"/>
        <v>0</v>
      </c>
      <c r="EM202" s="65"/>
      <c r="EN202" s="65">
        <v>0</v>
      </c>
      <c r="EO202" s="65"/>
      <c r="EP202" s="65"/>
      <c r="EQ202" s="65"/>
      <c r="ER202" s="65"/>
      <c r="ES202" s="65"/>
      <c r="ET202" s="68">
        <f t="shared" si="147"/>
        <v>0</v>
      </c>
      <c r="EU202" s="65"/>
      <c r="EV202" s="65"/>
      <c r="EW202" s="65"/>
      <c r="EX202" s="65"/>
      <c r="EY202" s="65"/>
      <c r="EZ202" s="68">
        <f t="shared" si="124"/>
        <v>0</v>
      </c>
      <c r="FA202" s="65"/>
      <c r="FB202" s="65"/>
      <c r="FC202" s="70">
        <f t="shared" si="123"/>
        <v>0</v>
      </c>
      <c r="FD202" s="65"/>
      <c r="FE202" s="71">
        <f t="shared" si="148"/>
        <v>0</v>
      </c>
      <c r="FF202" s="72">
        <f t="shared" si="149"/>
        <v>0</v>
      </c>
      <c r="FG202" s="65"/>
      <c r="FH202" s="65"/>
      <c r="FI202" s="65"/>
      <c r="FJ202" s="56">
        <f t="shared" si="150"/>
        <v>0</v>
      </c>
      <c r="FK202" s="65"/>
      <c r="FL202" s="65"/>
      <c r="FM202" s="65"/>
      <c r="FN202" s="65"/>
      <c r="FO202" s="67">
        <f t="shared" si="151"/>
        <v>0</v>
      </c>
      <c r="FP202" s="57"/>
      <c r="FQ202" s="73"/>
      <c r="FR202" s="73"/>
      <c r="FS202" s="71">
        <f t="shared" si="152"/>
        <v>0</v>
      </c>
      <c r="FT202" s="91"/>
      <c r="FU202" s="91"/>
      <c r="FV202" s="67">
        <f>SUM(Tableau1[[#This Row],[Droits d''auteurs SACEM + cotisations SACEM]:[Autres ou non préciés]])</f>
        <v>0</v>
      </c>
      <c r="FW202" s="75">
        <f t="shared" si="153"/>
        <v>0</v>
      </c>
      <c r="FX202" s="74">
        <v>0</v>
      </c>
      <c r="FY202" s="74"/>
      <c r="FZ202" s="74"/>
      <c r="GA202" s="74"/>
      <c r="GB202" s="71">
        <f t="shared" si="154"/>
        <v>0</v>
      </c>
      <c r="GC202" s="92"/>
      <c r="GD202" s="92"/>
      <c r="GE202" s="67">
        <f t="shared" si="155"/>
        <v>0</v>
      </c>
      <c r="GF202" s="66"/>
      <c r="GG202" s="66"/>
      <c r="GH202" s="66"/>
      <c r="GI202" s="66"/>
      <c r="GJ202" s="77"/>
    </row>
    <row r="203" spans="1:192" ht="18.600000000000001" customHeight="1" x14ac:dyDescent="0.25">
      <c r="A203" s="89"/>
      <c r="B203" s="17"/>
      <c r="C203" s="50"/>
      <c r="D203" s="140"/>
      <c r="E203" s="51"/>
      <c r="F203" s="139">
        <f t="shared" si="120"/>
        <v>1</v>
      </c>
      <c r="G203" s="49"/>
      <c r="H203" s="50"/>
      <c r="I203" s="122"/>
      <c r="J203" s="49"/>
      <c r="K203" s="50"/>
      <c r="L203" s="50"/>
      <c r="M203" s="90"/>
      <c r="N203" s="50"/>
      <c r="O203" s="50"/>
      <c r="P203" s="90"/>
      <c r="Q203" s="52">
        <f t="shared" si="125"/>
        <v>0</v>
      </c>
      <c r="R203" s="52">
        <f t="shared" si="126"/>
        <v>0</v>
      </c>
      <c r="S203" s="53">
        <f t="shared" si="127"/>
        <v>0</v>
      </c>
      <c r="T203" s="54">
        <f t="shared" si="128"/>
        <v>0</v>
      </c>
      <c r="U203" s="115">
        <f>SUM(Tableau1[[#This Row],[Vente confiserie]:[Vente boisson]])</f>
        <v>0</v>
      </c>
      <c r="V203" s="55"/>
      <c r="W203" s="55"/>
      <c r="X203" s="135">
        <f>SUM(Tableau1[[#This Row],[Vente lunette]:[Location lunette]])</f>
        <v>0</v>
      </c>
      <c r="Y203" s="55"/>
      <c r="Z203" s="55"/>
      <c r="AA203" s="55"/>
      <c r="AB203" s="55"/>
      <c r="AC203" s="56">
        <f t="shared" si="118"/>
        <v>0</v>
      </c>
      <c r="AD203" s="57"/>
      <c r="AE203" s="57"/>
      <c r="AF203" s="57"/>
      <c r="AG203" s="57"/>
      <c r="AH203" s="57"/>
      <c r="AI203" s="57"/>
      <c r="AJ203" s="118">
        <f>(Tableau1[[#This Row],[Recette guichet ]]*1.1275177)-Tableau1[[#This Row],[Recette guichet ]]</f>
        <v>0</v>
      </c>
      <c r="AK203" s="57"/>
      <c r="AL203" s="56">
        <f t="shared" si="119"/>
        <v>0</v>
      </c>
      <c r="AM203" s="58"/>
      <c r="AN203" s="58"/>
      <c r="AO203" s="58"/>
      <c r="AP203" s="115">
        <f t="shared" si="129"/>
        <v>0</v>
      </c>
      <c r="AQ203" s="69"/>
      <c r="AR203" s="69"/>
      <c r="AS203" s="69"/>
      <c r="AT203" s="69"/>
      <c r="AU203" s="59">
        <f t="shared" si="130"/>
        <v>0</v>
      </c>
      <c r="AV203" s="60">
        <f t="shared" si="131"/>
        <v>0</v>
      </c>
      <c r="AW203" s="58"/>
      <c r="AX203" s="58"/>
      <c r="AY203" s="58"/>
      <c r="AZ203" s="60">
        <f t="shared" si="121"/>
        <v>0</v>
      </c>
      <c r="BA203" s="58"/>
      <c r="BB203" s="58"/>
      <c r="BC203" s="58"/>
      <c r="BD203" s="60">
        <f>SUM(Tableau1[[#This Row],[ticket/carte/abonnement périmé]:[Autres ou non précisé 5]])</f>
        <v>0</v>
      </c>
      <c r="BE203" s="58"/>
      <c r="BF203" s="58"/>
      <c r="BG203" s="58"/>
      <c r="BH203" s="61">
        <f t="shared" si="132"/>
        <v>0</v>
      </c>
      <c r="BI203" s="120"/>
      <c r="BJ203" s="120"/>
      <c r="BK203" s="62">
        <f t="shared" si="133"/>
        <v>0</v>
      </c>
      <c r="BL203" s="120"/>
      <c r="BM203" s="120"/>
      <c r="BN203" s="120"/>
      <c r="BO203" s="120"/>
      <c r="BP203" s="120"/>
      <c r="BQ203" s="63"/>
      <c r="BR203" s="52">
        <f t="shared" si="134"/>
        <v>0</v>
      </c>
      <c r="BS203" s="52">
        <f t="shared" si="135"/>
        <v>0</v>
      </c>
      <c r="BT203" s="61">
        <f t="shared" si="136"/>
        <v>0</v>
      </c>
      <c r="BU203" s="64">
        <f t="shared" si="137"/>
        <v>0</v>
      </c>
      <c r="BV203" s="119">
        <f>SUM(Tableau1[[#This Row],[Achats confiserie]:[Achats boisson]])</f>
        <v>0</v>
      </c>
      <c r="BW203" s="58"/>
      <c r="BX203" s="69"/>
      <c r="BY203" s="58"/>
      <c r="BZ203" s="56">
        <f t="shared" si="138"/>
        <v>0</v>
      </c>
      <c r="CA203" s="66"/>
      <c r="CB203" s="66"/>
      <c r="CC203" s="56">
        <f t="shared" si="139"/>
        <v>0</v>
      </c>
      <c r="CD203" s="55"/>
      <c r="CE203" s="65"/>
      <c r="CF203" s="55"/>
      <c r="CG203" s="55"/>
      <c r="CH203" s="67">
        <f t="shared" si="140"/>
        <v>0</v>
      </c>
      <c r="CI203" s="68">
        <f t="shared" si="117"/>
        <v>0</v>
      </c>
      <c r="CJ203" s="55"/>
      <c r="CK203" s="55"/>
      <c r="CL203" s="55"/>
      <c r="CM203" s="55"/>
      <c r="CN203" s="55"/>
      <c r="CO203" s="68">
        <f t="shared" si="141"/>
        <v>0</v>
      </c>
      <c r="CP203" s="75">
        <f>SUM(Tableau1[[#This Row],[Fourniture eau]:[Energie (non précisé)]])</f>
        <v>0</v>
      </c>
      <c r="CQ203" s="55"/>
      <c r="CR203" s="55"/>
      <c r="CS203" s="55"/>
      <c r="CT203" s="55"/>
      <c r="CU203" s="55"/>
      <c r="CV203" s="55">
        <v>0</v>
      </c>
      <c r="CW203" s="55"/>
      <c r="CX203" s="68">
        <f>SUM(Tableau1[[#This Row],[Sous-traitance]:[Autres ou non précisé 12]])</f>
        <v>0</v>
      </c>
      <c r="CY203" s="65"/>
      <c r="CZ203" s="65"/>
      <c r="DA203" s="65"/>
      <c r="DB203" s="65"/>
      <c r="DC203" s="55"/>
      <c r="DD203" s="68">
        <f t="shared" si="122"/>
        <v>0</v>
      </c>
      <c r="DE203" s="55"/>
      <c r="DF203" s="65"/>
      <c r="DG203" s="65"/>
      <c r="DH203" s="65"/>
      <c r="DI203" s="68">
        <f>SUM(Tableau1[[#This Row],[Entretien et réparation matériel de projection]:[Autres ou non précisé 14]])</f>
        <v>0</v>
      </c>
      <c r="DJ203" s="58"/>
      <c r="DK203" s="58"/>
      <c r="DL203" s="69"/>
      <c r="DM203" s="68">
        <f t="shared" si="142"/>
        <v>0</v>
      </c>
      <c r="DN203" s="58"/>
      <c r="DO203" s="58"/>
      <c r="DP203" s="68">
        <f t="shared" si="143"/>
        <v>0</v>
      </c>
      <c r="DQ203" s="65"/>
      <c r="DR203" s="65"/>
      <c r="DS203" s="68">
        <f t="shared" si="144"/>
        <v>0</v>
      </c>
      <c r="DT203" s="65"/>
      <c r="DU203" s="65"/>
      <c r="DV203" s="65"/>
      <c r="DW203" s="68">
        <f>SUM(Tableau1[[#This Row],[Comission et courtage sur achats]:[Autres ou honoraires
 non précisé ]])</f>
        <v>0</v>
      </c>
      <c r="DX203" s="57"/>
      <c r="DY203" s="57"/>
      <c r="DZ203" s="65"/>
      <c r="EA203" s="65"/>
      <c r="EB203" s="65"/>
      <c r="EC203" s="68">
        <f t="shared" si="145"/>
        <v>0</v>
      </c>
      <c r="ED203" s="69"/>
      <c r="EE203" s="69"/>
      <c r="EF203" s="69"/>
      <c r="EG203" s="69"/>
      <c r="EH203" s="69"/>
      <c r="EI203" s="84">
        <f>SUM(Tableau1[[#This Row],[Transports sur films]:[autres ]])</f>
        <v>0</v>
      </c>
      <c r="EJ203" s="132">
        <v>0</v>
      </c>
      <c r="EK203" s="132"/>
      <c r="EL203" s="68">
        <f t="shared" si="146"/>
        <v>0</v>
      </c>
      <c r="EM203" s="65"/>
      <c r="EN203" s="65">
        <v>0</v>
      </c>
      <c r="EO203" s="65"/>
      <c r="EP203" s="65"/>
      <c r="EQ203" s="65"/>
      <c r="ER203" s="65"/>
      <c r="ES203" s="65"/>
      <c r="ET203" s="68">
        <f t="shared" si="147"/>
        <v>0</v>
      </c>
      <c r="EU203" s="65"/>
      <c r="EV203" s="65"/>
      <c r="EW203" s="65"/>
      <c r="EX203" s="65"/>
      <c r="EY203" s="65"/>
      <c r="EZ203" s="68">
        <f t="shared" si="124"/>
        <v>0</v>
      </c>
      <c r="FA203" s="65"/>
      <c r="FB203" s="65"/>
      <c r="FC203" s="70">
        <f t="shared" si="123"/>
        <v>0</v>
      </c>
      <c r="FD203" s="65"/>
      <c r="FE203" s="71">
        <f t="shared" si="148"/>
        <v>0</v>
      </c>
      <c r="FF203" s="72">
        <f t="shared" si="149"/>
        <v>0</v>
      </c>
      <c r="FG203" s="65"/>
      <c r="FH203" s="65"/>
      <c r="FI203" s="65"/>
      <c r="FJ203" s="56">
        <f t="shared" si="150"/>
        <v>0</v>
      </c>
      <c r="FK203" s="65"/>
      <c r="FL203" s="65"/>
      <c r="FM203" s="65"/>
      <c r="FN203" s="65"/>
      <c r="FO203" s="67">
        <f t="shared" si="151"/>
        <v>0</v>
      </c>
      <c r="FP203" s="57"/>
      <c r="FQ203" s="73"/>
      <c r="FR203" s="73"/>
      <c r="FS203" s="71">
        <f t="shared" si="152"/>
        <v>0</v>
      </c>
      <c r="FT203" s="91"/>
      <c r="FU203" s="91"/>
      <c r="FV203" s="67">
        <f>SUM(Tableau1[[#This Row],[Droits d''auteurs SACEM + cotisations SACEM]:[Autres ou non préciés]])</f>
        <v>0</v>
      </c>
      <c r="FW203" s="75">
        <f t="shared" si="153"/>
        <v>0</v>
      </c>
      <c r="FX203" s="74">
        <v>0</v>
      </c>
      <c r="FY203" s="74"/>
      <c r="FZ203" s="74"/>
      <c r="GA203" s="74"/>
      <c r="GB203" s="71">
        <f t="shared" si="154"/>
        <v>0</v>
      </c>
      <c r="GC203" s="92"/>
      <c r="GD203" s="92"/>
      <c r="GE203" s="67">
        <f t="shared" si="155"/>
        <v>0</v>
      </c>
      <c r="GF203" s="66"/>
      <c r="GG203" s="66"/>
      <c r="GH203" s="66"/>
      <c r="GI203" s="66"/>
      <c r="GJ203" s="77"/>
    </row>
    <row r="204" spans="1:192" ht="18.600000000000001" customHeight="1" x14ac:dyDescent="0.25">
      <c r="A204" s="89"/>
      <c r="B204" s="17"/>
      <c r="C204" s="50"/>
      <c r="D204" s="140"/>
      <c r="E204" s="51"/>
      <c r="F204" s="139">
        <f t="shared" si="120"/>
        <v>1</v>
      </c>
      <c r="G204" s="49"/>
      <c r="H204" s="50"/>
      <c r="I204" s="122"/>
      <c r="J204" s="49"/>
      <c r="K204" s="50"/>
      <c r="L204" s="50"/>
      <c r="M204" s="90"/>
      <c r="N204" s="50"/>
      <c r="O204" s="50"/>
      <c r="P204" s="90"/>
      <c r="Q204" s="52">
        <f t="shared" si="125"/>
        <v>0</v>
      </c>
      <c r="R204" s="52">
        <f t="shared" si="126"/>
        <v>0</v>
      </c>
      <c r="S204" s="53">
        <f t="shared" si="127"/>
        <v>0</v>
      </c>
      <c r="T204" s="54">
        <f t="shared" si="128"/>
        <v>0</v>
      </c>
      <c r="U204" s="115">
        <f>SUM(Tableau1[[#This Row],[Vente confiserie]:[Vente boisson]])</f>
        <v>0</v>
      </c>
      <c r="V204" s="55"/>
      <c r="W204" s="55"/>
      <c r="X204" s="135">
        <f>SUM(Tableau1[[#This Row],[Vente lunette]:[Location lunette]])</f>
        <v>0</v>
      </c>
      <c r="Y204" s="55"/>
      <c r="Z204" s="55"/>
      <c r="AA204" s="55"/>
      <c r="AB204" s="55"/>
      <c r="AC204" s="56">
        <f t="shared" si="118"/>
        <v>0</v>
      </c>
      <c r="AD204" s="57"/>
      <c r="AE204" s="57"/>
      <c r="AF204" s="57"/>
      <c r="AG204" s="57"/>
      <c r="AH204" s="57"/>
      <c r="AI204" s="57"/>
      <c r="AJ204" s="118">
        <f>(Tableau1[[#This Row],[Recette guichet ]]*1.1275177)-Tableau1[[#This Row],[Recette guichet ]]</f>
        <v>0</v>
      </c>
      <c r="AK204" s="57"/>
      <c r="AL204" s="56">
        <f t="shared" si="119"/>
        <v>0</v>
      </c>
      <c r="AM204" s="58"/>
      <c r="AN204" s="58"/>
      <c r="AO204" s="58"/>
      <c r="AP204" s="115">
        <f t="shared" si="129"/>
        <v>0</v>
      </c>
      <c r="AQ204" s="69"/>
      <c r="AR204" s="69"/>
      <c r="AS204" s="69"/>
      <c r="AT204" s="69"/>
      <c r="AU204" s="59">
        <f t="shared" si="130"/>
        <v>0</v>
      </c>
      <c r="AV204" s="60">
        <f t="shared" si="131"/>
        <v>0</v>
      </c>
      <c r="AW204" s="58"/>
      <c r="AX204" s="58"/>
      <c r="AY204" s="58"/>
      <c r="AZ204" s="60">
        <f t="shared" si="121"/>
        <v>0</v>
      </c>
      <c r="BA204" s="58"/>
      <c r="BB204" s="58"/>
      <c r="BC204" s="58"/>
      <c r="BD204" s="60">
        <f>SUM(Tableau1[[#This Row],[ticket/carte/abonnement périmé]:[Autres ou non précisé 5]])</f>
        <v>0</v>
      </c>
      <c r="BE204" s="58"/>
      <c r="BF204" s="58"/>
      <c r="BG204" s="58"/>
      <c r="BH204" s="61">
        <f t="shared" si="132"/>
        <v>0</v>
      </c>
      <c r="BI204" s="120"/>
      <c r="BJ204" s="120"/>
      <c r="BK204" s="62">
        <f t="shared" si="133"/>
        <v>0</v>
      </c>
      <c r="BL204" s="120"/>
      <c r="BM204" s="120"/>
      <c r="BN204" s="120"/>
      <c r="BO204" s="120"/>
      <c r="BP204" s="120"/>
      <c r="BQ204" s="63"/>
      <c r="BR204" s="52">
        <f t="shared" si="134"/>
        <v>0</v>
      </c>
      <c r="BS204" s="52">
        <f t="shared" si="135"/>
        <v>0</v>
      </c>
      <c r="BT204" s="61">
        <f t="shared" si="136"/>
        <v>0</v>
      </c>
      <c r="BU204" s="64">
        <f t="shared" si="137"/>
        <v>0</v>
      </c>
      <c r="BV204" s="119">
        <f>SUM(Tableau1[[#This Row],[Achats confiserie]:[Achats boisson]])</f>
        <v>0</v>
      </c>
      <c r="BW204" s="58"/>
      <c r="BX204" s="69"/>
      <c r="BY204" s="58"/>
      <c r="BZ204" s="56">
        <f t="shared" si="138"/>
        <v>0</v>
      </c>
      <c r="CA204" s="66"/>
      <c r="CB204" s="66"/>
      <c r="CC204" s="56">
        <f t="shared" si="139"/>
        <v>0</v>
      </c>
      <c r="CD204" s="55"/>
      <c r="CE204" s="65"/>
      <c r="CF204" s="55"/>
      <c r="CG204" s="55"/>
      <c r="CH204" s="67">
        <f t="shared" si="140"/>
        <v>0</v>
      </c>
      <c r="CI204" s="68">
        <f t="shared" si="117"/>
        <v>0</v>
      </c>
      <c r="CJ204" s="55"/>
      <c r="CK204" s="55"/>
      <c r="CL204" s="55"/>
      <c r="CM204" s="55"/>
      <c r="CN204" s="55"/>
      <c r="CO204" s="68">
        <f t="shared" si="141"/>
        <v>0</v>
      </c>
      <c r="CP204" s="75">
        <f>SUM(Tableau1[[#This Row],[Fourniture eau]:[Energie (non précisé)]])</f>
        <v>0</v>
      </c>
      <c r="CQ204" s="55"/>
      <c r="CR204" s="55"/>
      <c r="CS204" s="55"/>
      <c r="CT204" s="55"/>
      <c r="CU204" s="55"/>
      <c r="CV204" s="55">
        <v>0</v>
      </c>
      <c r="CW204" s="55"/>
      <c r="CX204" s="68">
        <f>SUM(Tableau1[[#This Row],[Sous-traitance]:[Autres ou non précisé 12]])</f>
        <v>0</v>
      </c>
      <c r="CY204" s="65"/>
      <c r="CZ204" s="65"/>
      <c r="DA204" s="65"/>
      <c r="DB204" s="65"/>
      <c r="DC204" s="55"/>
      <c r="DD204" s="68">
        <f t="shared" si="122"/>
        <v>0</v>
      </c>
      <c r="DE204" s="55"/>
      <c r="DF204" s="65"/>
      <c r="DG204" s="65"/>
      <c r="DH204" s="65"/>
      <c r="DI204" s="68">
        <f>SUM(Tableau1[[#This Row],[Entretien et réparation matériel de projection]:[Autres ou non précisé 14]])</f>
        <v>0</v>
      </c>
      <c r="DJ204" s="58"/>
      <c r="DK204" s="58"/>
      <c r="DL204" s="69"/>
      <c r="DM204" s="68">
        <f t="shared" si="142"/>
        <v>0</v>
      </c>
      <c r="DN204" s="58"/>
      <c r="DO204" s="58"/>
      <c r="DP204" s="68">
        <f t="shared" si="143"/>
        <v>0</v>
      </c>
      <c r="DQ204" s="65"/>
      <c r="DR204" s="65"/>
      <c r="DS204" s="68">
        <f t="shared" si="144"/>
        <v>0</v>
      </c>
      <c r="DT204" s="65"/>
      <c r="DU204" s="65"/>
      <c r="DV204" s="65"/>
      <c r="DW204" s="68">
        <f>SUM(Tableau1[[#This Row],[Comission et courtage sur achats]:[Autres ou honoraires
 non précisé ]])</f>
        <v>0</v>
      </c>
      <c r="DX204" s="57"/>
      <c r="DY204" s="57"/>
      <c r="DZ204" s="65"/>
      <c r="EA204" s="65"/>
      <c r="EB204" s="65"/>
      <c r="EC204" s="68">
        <f t="shared" si="145"/>
        <v>0</v>
      </c>
      <c r="ED204" s="69"/>
      <c r="EE204" s="69"/>
      <c r="EF204" s="69"/>
      <c r="EG204" s="69"/>
      <c r="EH204" s="69"/>
      <c r="EI204" s="84">
        <f>SUM(Tableau1[[#This Row],[Transports sur films]:[autres ]])</f>
        <v>0</v>
      </c>
      <c r="EJ204" s="132">
        <v>0</v>
      </c>
      <c r="EK204" s="132"/>
      <c r="EL204" s="68">
        <f t="shared" si="146"/>
        <v>0</v>
      </c>
      <c r="EM204" s="65"/>
      <c r="EN204" s="65">
        <v>0</v>
      </c>
      <c r="EO204" s="65"/>
      <c r="EP204" s="65"/>
      <c r="EQ204" s="65"/>
      <c r="ER204" s="65"/>
      <c r="ES204" s="65"/>
      <c r="ET204" s="68">
        <f t="shared" si="147"/>
        <v>0</v>
      </c>
      <c r="EU204" s="65"/>
      <c r="EV204" s="65"/>
      <c r="EW204" s="65"/>
      <c r="EX204" s="65"/>
      <c r="EY204" s="65"/>
      <c r="EZ204" s="68">
        <f t="shared" si="124"/>
        <v>0</v>
      </c>
      <c r="FA204" s="65"/>
      <c r="FB204" s="65"/>
      <c r="FC204" s="70">
        <f t="shared" si="123"/>
        <v>0</v>
      </c>
      <c r="FD204" s="65"/>
      <c r="FE204" s="71">
        <f t="shared" si="148"/>
        <v>0</v>
      </c>
      <c r="FF204" s="72">
        <f t="shared" si="149"/>
        <v>0</v>
      </c>
      <c r="FG204" s="65"/>
      <c r="FH204" s="65"/>
      <c r="FI204" s="65"/>
      <c r="FJ204" s="56">
        <f t="shared" si="150"/>
        <v>0</v>
      </c>
      <c r="FK204" s="65"/>
      <c r="FL204" s="65"/>
      <c r="FM204" s="65"/>
      <c r="FN204" s="65"/>
      <c r="FO204" s="67">
        <f t="shared" si="151"/>
        <v>0</v>
      </c>
      <c r="FP204" s="57"/>
      <c r="FQ204" s="73"/>
      <c r="FR204" s="73"/>
      <c r="FS204" s="71">
        <f t="shared" si="152"/>
        <v>0</v>
      </c>
      <c r="FT204" s="91"/>
      <c r="FU204" s="91"/>
      <c r="FV204" s="67">
        <f>SUM(Tableau1[[#This Row],[Droits d''auteurs SACEM + cotisations SACEM]:[Autres ou non préciés]])</f>
        <v>0</v>
      </c>
      <c r="FW204" s="75">
        <f t="shared" si="153"/>
        <v>0</v>
      </c>
      <c r="FX204" s="74">
        <v>0</v>
      </c>
      <c r="FY204" s="74"/>
      <c r="FZ204" s="74"/>
      <c r="GA204" s="74"/>
      <c r="GB204" s="71">
        <f t="shared" si="154"/>
        <v>0</v>
      </c>
      <c r="GC204" s="92"/>
      <c r="GD204" s="92"/>
      <c r="GE204" s="67">
        <f t="shared" si="155"/>
        <v>0</v>
      </c>
      <c r="GF204" s="66"/>
      <c r="GG204" s="66"/>
      <c r="GH204" s="66"/>
      <c r="GI204" s="66"/>
      <c r="GJ204" s="77"/>
    </row>
    <row r="205" spans="1:192" ht="18.600000000000001" customHeight="1" x14ac:dyDescent="0.25">
      <c r="A205" s="89"/>
      <c r="B205" s="17"/>
      <c r="C205" s="50"/>
      <c r="D205" s="140"/>
      <c r="E205" s="51"/>
      <c r="F205" s="139">
        <f t="shared" si="120"/>
        <v>1</v>
      </c>
      <c r="G205" s="49"/>
      <c r="H205" s="50"/>
      <c r="I205" s="122"/>
      <c r="J205" s="49"/>
      <c r="K205" s="50"/>
      <c r="L205" s="50"/>
      <c r="M205" s="90"/>
      <c r="N205" s="50"/>
      <c r="O205" s="50"/>
      <c r="P205" s="90"/>
      <c r="Q205" s="52">
        <f t="shared" si="125"/>
        <v>0</v>
      </c>
      <c r="R205" s="52">
        <f t="shared" si="126"/>
        <v>0</v>
      </c>
      <c r="S205" s="53">
        <f t="shared" si="127"/>
        <v>0</v>
      </c>
      <c r="T205" s="54">
        <f t="shared" si="128"/>
        <v>0</v>
      </c>
      <c r="U205" s="115">
        <f>SUM(Tableau1[[#This Row],[Vente confiserie]:[Vente boisson]])</f>
        <v>0</v>
      </c>
      <c r="V205" s="55"/>
      <c r="W205" s="55"/>
      <c r="X205" s="135">
        <f>SUM(Tableau1[[#This Row],[Vente lunette]:[Location lunette]])</f>
        <v>0</v>
      </c>
      <c r="Y205" s="55"/>
      <c r="Z205" s="55"/>
      <c r="AA205" s="55"/>
      <c r="AB205" s="55"/>
      <c r="AC205" s="56">
        <f t="shared" si="118"/>
        <v>0</v>
      </c>
      <c r="AD205" s="57"/>
      <c r="AE205" s="57"/>
      <c r="AF205" s="57"/>
      <c r="AG205" s="57"/>
      <c r="AH205" s="57"/>
      <c r="AI205" s="57"/>
      <c r="AJ205" s="118">
        <f>(Tableau1[[#This Row],[Recette guichet ]]*1.1275177)-Tableau1[[#This Row],[Recette guichet ]]</f>
        <v>0</v>
      </c>
      <c r="AK205" s="57"/>
      <c r="AL205" s="56">
        <f t="shared" si="119"/>
        <v>0</v>
      </c>
      <c r="AM205" s="58"/>
      <c r="AN205" s="58"/>
      <c r="AO205" s="58"/>
      <c r="AP205" s="115">
        <f t="shared" si="129"/>
        <v>0</v>
      </c>
      <c r="AQ205" s="69"/>
      <c r="AR205" s="69"/>
      <c r="AS205" s="69"/>
      <c r="AT205" s="69"/>
      <c r="AU205" s="59">
        <f t="shared" si="130"/>
        <v>0</v>
      </c>
      <c r="AV205" s="60">
        <f t="shared" si="131"/>
        <v>0</v>
      </c>
      <c r="AW205" s="58"/>
      <c r="AX205" s="58"/>
      <c r="AY205" s="58"/>
      <c r="AZ205" s="60">
        <f t="shared" si="121"/>
        <v>0</v>
      </c>
      <c r="BA205" s="58"/>
      <c r="BB205" s="58"/>
      <c r="BC205" s="58"/>
      <c r="BD205" s="60">
        <f>SUM(Tableau1[[#This Row],[ticket/carte/abonnement périmé]:[Autres ou non précisé 5]])</f>
        <v>0</v>
      </c>
      <c r="BE205" s="58"/>
      <c r="BF205" s="58"/>
      <c r="BG205" s="58"/>
      <c r="BH205" s="61">
        <f t="shared" si="132"/>
        <v>0</v>
      </c>
      <c r="BI205" s="120"/>
      <c r="BJ205" s="120"/>
      <c r="BK205" s="62">
        <f t="shared" si="133"/>
        <v>0</v>
      </c>
      <c r="BL205" s="120"/>
      <c r="BM205" s="120"/>
      <c r="BN205" s="120"/>
      <c r="BO205" s="120"/>
      <c r="BP205" s="120"/>
      <c r="BQ205" s="63"/>
      <c r="BR205" s="52">
        <f t="shared" si="134"/>
        <v>0</v>
      </c>
      <c r="BS205" s="52">
        <f t="shared" si="135"/>
        <v>0</v>
      </c>
      <c r="BT205" s="61">
        <f t="shared" si="136"/>
        <v>0</v>
      </c>
      <c r="BU205" s="64">
        <f t="shared" si="137"/>
        <v>0</v>
      </c>
      <c r="BV205" s="119">
        <f>SUM(Tableau1[[#This Row],[Achats confiserie]:[Achats boisson]])</f>
        <v>0</v>
      </c>
      <c r="BW205" s="58"/>
      <c r="BX205" s="69"/>
      <c r="BY205" s="58"/>
      <c r="BZ205" s="56">
        <f t="shared" si="138"/>
        <v>0</v>
      </c>
      <c r="CA205" s="66"/>
      <c r="CB205" s="66"/>
      <c r="CC205" s="56">
        <f t="shared" si="139"/>
        <v>0</v>
      </c>
      <c r="CD205" s="55"/>
      <c r="CE205" s="65"/>
      <c r="CF205" s="55"/>
      <c r="CG205" s="55"/>
      <c r="CH205" s="67">
        <f t="shared" si="140"/>
        <v>0</v>
      </c>
      <c r="CI205" s="68">
        <f t="shared" si="117"/>
        <v>0</v>
      </c>
      <c r="CJ205" s="55"/>
      <c r="CK205" s="55"/>
      <c r="CL205" s="55"/>
      <c r="CM205" s="55"/>
      <c r="CN205" s="55"/>
      <c r="CO205" s="68">
        <f t="shared" si="141"/>
        <v>0</v>
      </c>
      <c r="CP205" s="75">
        <f>SUM(Tableau1[[#This Row],[Fourniture eau]:[Energie (non précisé)]])</f>
        <v>0</v>
      </c>
      <c r="CQ205" s="55"/>
      <c r="CR205" s="55"/>
      <c r="CS205" s="55"/>
      <c r="CT205" s="55"/>
      <c r="CU205" s="55"/>
      <c r="CV205" s="55">
        <v>0</v>
      </c>
      <c r="CW205" s="55"/>
      <c r="CX205" s="68">
        <f>SUM(Tableau1[[#This Row],[Sous-traitance]:[Autres ou non précisé 12]])</f>
        <v>0</v>
      </c>
      <c r="CY205" s="65"/>
      <c r="CZ205" s="65"/>
      <c r="DA205" s="65"/>
      <c r="DB205" s="65"/>
      <c r="DC205" s="55"/>
      <c r="DD205" s="68">
        <f t="shared" si="122"/>
        <v>0</v>
      </c>
      <c r="DE205" s="55"/>
      <c r="DF205" s="65"/>
      <c r="DG205" s="65"/>
      <c r="DH205" s="65"/>
      <c r="DI205" s="68">
        <f>SUM(Tableau1[[#This Row],[Entretien et réparation matériel de projection]:[Autres ou non précisé 14]])</f>
        <v>0</v>
      </c>
      <c r="DJ205" s="58"/>
      <c r="DK205" s="58"/>
      <c r="DL205" s="69"/>
      <c r="DM205" s="68">
        <f t="shared" si="142"/>
        <v>0</v>
      </c>
      <c r="DN205" s="58"/>
      <c r="DO205" s="58"/>
      <c r="DP205" s="68">
        <f t="shared" si="143"/>
        <v>0</v>
      </c>
      <c r="DQ205" s="65"/>
      <c r="DR205" s="65"/>
      <c r="DS205" s="68">
        <f t="shared" si="144"/>
        <v>0</v>
      </c>
      <c r="DT205" s="65"/>
      <c r="DU205" s="65"/>
      <c r="DV205" s="65"/>
      <c r="DW205" s="68">
        <f>SUM(Tableau1[[#This Row],[Comission et courtage sur achats]:[Autres ou honoraires
 non précisé ]])</f>
        <v>0</v>
      </c>
      <c r="DX205" s="57"/>
      <c r="DY205" s="57"/>
      <c r="DZ205" s="65"/>
      <c r="EA205" s="65"/>
      <c r="EB205" s="65"/>
      <c r="EC205" s="68">
        <f t="shared" si="145"/>
        <v>0</v>
      </c>
      <c r="ED205" s="69"/>
      <c r="EE205" s="69"/>
      <c r="EF205" s="69"/>
      <c r="EG205" s="69"/>
      <c r="EH205" s="69"/>
      <c r="EI205" s="84">
        <f>SUM(Tableau1[[#This Row],[Transports sur films]:[autres ]])</f>
        <v>0</v>
      </c>
      <c r="EJ205" s="132">
        <v>0</v>
      </c>
      <c r="EK205" s="132"/>
      <c r="EL205" s="68">
        <f t="shared" si="146"/>
        <v>0</v>
      </c>
      <c r="EM205" s="65"/>
      <c r="EN205" s="65">
        <v>0</v>
      </c>
      <c r="EO205" s="65"/>
      <c r="EP205" s="65"/>
      <c r="EQ205" s="65"/>
      <c r="ER205" s="65"/>
      <c r="ES205" s="65"/>
      <c r="ET205" s="68">
        <f t="shared" si="147"/>
        <v>0</v>
      </c>
      <c r="EU205" s="65"/>
      <c r="EV205" s="65"/>
      <c r="EW205" s="65"/>
      <c r="EX205" s="65"/>
      <c r="EY205" s="65"/>
      <c r="EZ205" s="68">
        <f t="shared" si="124"/>
        <v>0</v>
      </c>
      <c r="FA205" s="65"/>
      <c r="FB205" s="65"/>
      <c r="FC205" s="70">
        <f t="shared" si="123"/>
        <v>0</v>
      </c>
      <c r="FD205" s="65"/>
      <c r="FE205" s="71">
        <f t="shared" si="148"/>
        <v>0</v>
      </c>
      <c r="FF205" s="72">
        <f t="shared" si="149"/>
        <v>0</v>
      </c>
      <c r="FG205" s="65"/>
      <c r="FH205" s="65"/>
      <c r="FI205" s="65"/>
      <c r="FJ205" s="56">
        <f t="shared" si="150"/>
        <v>0</v>
      </c>
      <c r="FK205" s="65"/>
      <c r="FL205" s="65"/>
      <c r="FM205" s="65"/>
      <c r="FN205" s="65"/>
      <c r="FO205" s="67">
        <f t="shared" si="151"/>
        <v>0</v>
      </c>
      <c r="FP205" s="57"/>
      <c r="FQ205" s="73"/>
      <c r="FR205" s="73"/>
      <c r="FS205" s="71">
        <f t="shared" si="152"/>
        <v>0</v>
      </c>
      <c r="FT205" s="91"/>
      <c r="FU205" s="91"/>
      <c r="FV205" s="67">
        <f>SUM(Tableau1[[#This Row],[Droits d''auteurs SACEM + cotisations SACEM]:[Autres ou non préciés]])</f>
        <v>0</v>
      </c>
      <c r="FW205" s="75">
        <f t="shared" si="153"/>
        <v>0</v>
      </c>
      <c r="FX205" s="74">
        <v>0</v>
      </c>
      <c r="FY205" s="74"/>
      <c r="FZ205" s="74"/>
      <c r="GA205" s="74"/>
      <c r="GB205" s="71">
        <f t="shared" si="154"/>
        <v>0</v>
      </c>
      <c r="GC205" s="92"/>
      <c r="GD205" s="92"/>
      <c r="GE205" s="67">
        <f t="shared" si="155"/>
        <v>0</v>
      </c>
      <c r="GF205" s="66"/>
      <c r="GG205" s="66"/>
      <c r="GH205" s="66"/>
      <c r="GI205" s="66"/>
      <c r="GJ205" s="77"/>
    </row>
    <row r="206" spans="1:192" ht="18.600000000000001" customHeight="1" x14ac:dyDescent="0.25">
      <c r="A206" s="89"/>
      <c r="B206" s="17"/>
      <c r="C206" s="50"/>
      <c r="D206" s="140"/>
      <c r="E206" s="51"/>
      <c r="F206" s="139">
        <f t="shared" si="120"/>
        <v>1</v>
      </c>
      <c r="G206" s="49"/>
      <c r="H206" s="50"/>
      <c r="I206" s="122"/>
      <c r="J206" s="49"/>
      <c r="K206" s="50"/>
      <c r="L206" s="50"/>
      <c r="M206" s="90"/>
      <c r="N206" s="50"/>
      <c r="O206" s="50"/>
      <c r="P206" s="90"/>
      <c r="Q206" s="52">
        <f t="shared" si="125"/>
        <v>0</v>
      </c>
      <c r="R206" s="52">
        <f t="shared" si="126"/>
        <v>0</v>
      </c>
      <c r="S206" s="53">
        <f t="shared" si="127"/>
        <v>0</v>
      </c>
      <c r="T206" s="54">
        <f t="shared" si="128"/>
        <v>0</v>
      </c>
      <c r="U206" s="115">
        <f>SUM(Tableau1[[#This Row],[Vente confiserie]:[Vente boisson]])</f>
        <v>0</v>
      </c>
      <c r="V206" s="55"/>
      <c r="W206" s="55"/>
      <c r="X206" s="135">
        <f>SUM(Tableau1[[#This Row],[Vente lunette]:[Location lunette]])</f>
        <v>0</v>
      </c>
      <c r="Y206" s="55"/>
      <c r="Z206" s="55"/>
      <c r="AA206" s="55"/>
      <c r="AB206" s="55"/>
      <c r="AC206" s="56">
        <f t="shared" si="118"/>
        <v>0</v>
      </c>
      <c r="AD206" s="57"/>
      <c r="AE206" s="57"/>
      <c r="AF206" s="57"/>
      <c r="AG206" s="57"/>
      <c r="AH206" s="57"/>
      <c r="AI206" s="57"/>
      <c r="AJ206" s="118">
        <f>(Tableau1[[#This Row],[Recette guichet ]]*1.1275177)-Tableau1[[#This Row],[Recette guichet ]]</f>
        <v>0</v>
      </c>
      <c r="AK206" s="57"/>
      <c r="AL206" s="56">
        <f t="shared" si="119"/>
        <v>0</v>
      </c>
      <c r="AM206" s="58"/>
      <c r="AN206" s="58"/>
      <c r="AO206" s="58"/>
      <c r="AP206" s="115">
        <f t="shared" si="129"/>
        <v>0</v>
      </c>
      <c r="AQ206" s="69"/>
      <c r="AR206" s="69"/>
      <c r="AS206" s="69"/>
      <c r="AT206" s="69"/>
      <c r="AU206" s="59">
        <f t="shared" si="130"/>
        <v>0</v>
      </c>
      <c r="AV206" s="60">
        <f t="shared" si="131"/>
        <v>0</v>
      </c>
      <c r="AW206" s="58"/>
      <c r="AX206" s="58"/>
      <c r="AY206" s="58"/>
      <c r="AZ206" s="60">
        <f t="shared" si="121"/>
        <v>0</v>
      </c>
      <c r="BA206" s="58"/>
      <c r="BB206" s="58"/>
      <c r="BC206" s="58"/>
      <c r="BD206" s="60">
        <f>SUM(Tableau1[[#This Row],[ticket/carte/abonnement périmé]:[Autres ou non précisé 5]])</f>
        <v>0</v>
      </c>
      <c r="BE206" s="58"/>
      <c r="BF206" s="58"/>
      <c r="BG206" s="58"/>
      <c r="BH206" s="61">
        <f t="shared" si="132"/>
        <v>0</v>
      </c>
      <c r="BI206" s="120"/>
      <c r="BJ206" s="120"/>
      <c r="BK206" s="62">
        <f t="shared" si="133"/>
        <v>0</v>
      </c>
      <c r="BL206" s="120"/>
      <c r="BM206" s="120"/>
      <c r="BN206" s="120"/>
      <c r="BO206" s="120"/>
      <c r="BP206" s="120"/>
      <c r="BQ206" s="63"/>
      <c r="BR206" s="52">
        <f t="shared" si="134"/>
        <v>0</v>
      </c>
      <c r="BS206" s="52">
        <f t="shared" si="135"/>
        <v>0</v>
      </c>
      <c r="BT206" s="61">
        <f t="shared" si="136"/>
        <v>0</v>
      </c>
      <c r="BU206" s="64">
        <f t="shared" si="137"/>
        <v>0</v>
      </c>
      <c r="BV206" s="119">
        <f>SUM(Tableau1[[#This Row],[Achats confiserie]:[Achats boisson]])</f>
        <v>0</v>
      </c>
      <c r="BW206" s="58"/>
      <c r="BX206" s="69"/>
      <c r="BY206" s="58"/>
      <c r="BZ206" s="56">
        <f t="shared" si="138"/>
        <v>0</v>
      </c>
      <c r="CA206" s="66"/>
      <c r="CB206" s="66"/>
      <c r="CC206" s="56">
        <f t="shared" si="139"/>
        <v>0</v>
      </c>
      <c r="CD206" s="55"/>
      <c r="CE206" s="65"/>
      <c r="CF206" s="55"/>
      <c r="CG206" s="55"/>
      <c r="CH206" s="67">
        <f t="shared" si="140"/>
        <v>0</v>
      </c>
      <c r="CI206" s="68">
        <f t="shared" si="117"/>
        <v>0</v>
      </c>
      <c r="CJ206" s="55"/>
      <c r="CK206" s="55"/>
      <c r="CL206" s="55"/>
      <c r="CM206" s="55"/>
      <c r="CN206" s="55"/>
      <c r="CO206" s="68">
        <f t="shared" si="141"/>
        <v>0</v>
      </c>
      <c r="CP206" s="75">
        <f>SUM(Tableau1[[#This Row],[Fourniture eau]:[Energie (non précisé)]])</f>
        <v>0</v>
      </c>
      <c r="CQ206" s="55"/>
      <c r="CR206" s="55"/>
      <c r="CS206" s="55"/>
      <c r="CT206" s="55"/>
      <c r="CU206" s="55"/>
      <c r="CV206" s="55">
        <v>0</v>
      </c>
      <c r="CW206" s="55"/>
      <c r="CX206" s="68">
        <f>SUM(Tableau1[[#This Row],[Sous-traitance]:[Autres ou non précisé 12]])</f>
        <v>0</v>
      </c>
      <c r="CY206" s="65"/>
      <c r="CZ206" s="65"/>
      <c r="DA206" s="65"/>
      <c r="DB206" s="65"/>
      <c r="DC206" s="55"/>
      <c r="DD206" s="68">
        <f t="shared" si="122"/>
        <v>0</v>
      </c>
      <c r="DE206" s="55"/>
      <c r="DF206" s="65"/>
      <c r="DG206" s="65"/>
      <c r="DH206" s="65"/>
      <c r="DI206" s="68">
        <f>SUM(Tableau1[[#This Row],[Entretien et réparation matériel de projection]:[Autres ou non précisé 14]])</f>
        <v>0</v>
      </c>
      <c r="DJ206" s="58"/>
      <c r="DK206" s="58"/>
      <c r="DL206" s="69"/>
      <c r="DM206" s="68">
        <f t="shared" si="142"/>
        <v>0</v>
      </c>
      <c r="DN206" s="58"/>
      <c r="DO206" s="58"/>
      <c r="DP206" s="68">
        <f t="shared" si="143"/>
        <v>0</v>
      </c>
      <c r="DQ206" s="65"/>
      <c r="DR206" s="65"/>
      <c r="DS206" s="68">
        <f t="shared" si="144"/>
        <v>0</v>
      </c>
      <c r="DT206" s="65"/>
      <c r="DU206" s="65"/>
      <c r="DV206" s="65"/>
      <c r="DW206" s="68">
        <f>SUM(Tableau1[[#This Row],[Comission et courtage sur achats]:[Autres ou honoraires
 non précisé ]])</f>
        <v>0</v>
      </c>
      <c r="DX206" s="57"/>
      <c r="DY206" s="57"/>
      <c r="DZ206" s="65"/>
      <c r="EA206" s="65"/>
      <c r="EB206" s="65"/>
      <c r="EC206" s="68">
        <f t="shared" si="145"/>
        <v>0</v>
      </c>
      <c r="ED206" s="69"/>
      <c r="EE206" s="69"/>
      <c r="EF206" s="69"/>
      <c r="EG206" s="69"/>
      <c r="EH206" s="69"/>
      <c r="EI206" s="84">
        <f>SUM(Tableau1[[#This Row],[Transports sur films]:[autres ]])</f>
        <v>0</v>
      </c>
      <c r="EJ206" s="132">
        <v>0</v>
      </c>
      <c r="EK206" s="132"/>
      <c r="EL206" s="68">
        <f t="shared" si="146"/>
        <v>0</v>
      </c>
      <c r="EM206" s="65"/>
      <c r="EN206" s="65">
        <v>0</v>
      </c>
      <c r="EO206" s="65"/>
      <c r="EP206" s="65"/>
      <c r="EQ206" s="65"/>
      <c r="ER206" s="65"/>
      <c r="ES206" s="65"/>
      <c r="ET206" s="68">
        <f t="shared" si="147"/>
        <v>0</v>
      </c>
      <c r="EU206" s="65"/>
      <c r="EV206" s="65"/>
      <c r="EW206" s="65"/>
      <c r="EX206" s="65"/>
      <c r="EY206" s="65"/>
      <c r="EZ206" s="68">
        <f t="shared" si="124"/>
        <v>0</v>
      </c>
      <c r="FA206" s="65"/>
      <c r="FB206" s="65"/>
      <c r="FC206" s="70">
        <f t="shared" si="123"/>
        <v>0</v>
      </c>
      <c r="FD206" s="65"/>
      <c r="FE206" s="71">
        <f t="shared" si="148"/>
        <v>0</v>
      </c>
      <c r="FF206" s="72">
        <f t="shared" si="149"/>
        <v>0</v>
      </c>
      <c r="FG206" s="65"/>
      <c r="FH206" s="65"/>
      <c r="FI206" s="65"/>
      <c r="FJ206" s="56">
        <f t="shared" si="150"/>
        <v>0</v>
      </c>
      <c r="FK206" s="65"/>
      <c r="FL206" s="65"/>
      <c r="FM206" s="65"/>
      <c r="FN206" s="65"/>
      <c r="FO206" s="67">
        <f t="shared" si="151"/>
        <v>0</v>
      </c>
      <c r="FP206" s="57"/>
      <c r="FQ206" s="73"/>
      <c r="FR206" s="73"/>
      <c r="FS206" s="71">
        <f t="shared" si="152"/>
        <v>0</v>
      </c>
      <c r="FT206" s="91"/>
      <c r="FU206" s="91"/>
      <c r="FV206" s="67">
        <f>SUM(Tableau1[[#This Row],[Droits d''auteurs SACEM + cotisations SACEM]:[Autres ou non préciés]])</f>
        <v>0</v>
      </c>
      <c r="FW206" s="75">
        <f t="shared" si="153"/>
        <v>0</v>
      </c>
      <c r="FX206" s="74">
        <v>0</v>
      </c>
      <c r="FY206" s="74"/>
      <c r="FZ206" s="74"/>
      <c r="GA206" s="74"/>
      <c r="GB206" s="71">
        <f t="shared" si="154"/>
        <v>0</v>
      </c>
      <c r="GC206" s="92"/>
      <c r="GD206" s="92"/>
      <c r="GE206" s="67">
        <f t="shared" si="155"/>
        <v>0</v>
      </c>
      <c r="GF206" s="66"/>
      <c r="GG206" s="66"/>
      <c r="GH206" s="66"/>
      <c r="GI206" s="66"/>
      <c r="GJ206" s="77"/>
    </row>
    <row r="207" spans="1:192" ht="18.600000000000001" customHeight="1" x14ac:dyDescent="0.25">
      <c r="A207" s="89"/>
      <c r="B207" s="17"/>
      <c r="C207" s="50"/>
      <c r="D207" s="140"/>
      <c r="E207" s="51"/>
      <c r="F207" s="139">
        <f t="shared" si="120"/>
        <v>1</v>
      </c>
      <c r="G207" s="49"/>
      <c r="H207" s="50"/>
      <c r="I207" s="122"/>
      <c r="J207" s="49"/>
      <c r="K207" s="50"/>
      <c r="L207" s="50"/>
      <c r="M207" s="90"/>
      <c r="N207" s="50"/>
      <c r="O207" s="50"/>
      <c r="P207" s="90"/>
      <c r="Q207" s="52">
        <f t="shared" si="125"/>
        <v>0</v>
      </c>
      <c r="R207" s="52">
        <f t="shared" si="126"/>
        <v>0</v>
      </c>
      <c r="S207" s="53">
        <f t="shared" si="127"/>
        <v>0</v>
      </c>
      <c r="T207" s="54">
        <f t="shared" si="128"/>
        <v>0</v>
      </c>
      <c r="U207" s="115">
        <f>SUM(Tableau1[[#This Row],[Vente confiserie]:[Vente boisson]])</f>
        <v>0</v>
      </c>
      <c r="V207" s="55"/>
      <c r="W207" s="55"/>
      <c r="X207" s="135">
        <f>SUM(Tableau1[[#This Row],[Vente lunette]:[Location lunette]])</f>
        <v>0</v>
      </c>
      <c r="Y207" s="55"/>
      <c r="Z207" s="55"/>
      <c r="AA207" s="55"/>
      <c r="AB207" s="55"/>
      <c r="AC207" s="56">
        <f t="shared" si="118"/>
        <v>0</v>
      </c>
      <c r="AD207" s="57"/>
      <c r="AE207" s="57"/>
      <c r="AF207" s="57"/>
      <c r="AG207" s="57"/>
      <c r="AH207" s="57"/>
      <c r="AI207" s="57"/>
      <c r="AJ207" s="118">
        <f>(Tableau1[[#This Row],[Recette guichet ]]*1.1275177)-Tableau1[[#This Row],[Recette guichet ]]</f>
        <v>0</v>
      </c>
      <c r="AK207" s="57"/>
      <c r="AL207" s="56">
        <f t="shared" si="119"/>
        <v>0</v>
      </c>
      <c r="AM207" s="58"/>
      <c r="AN207" s="58"/>
      <c r="AO207" s="58"/>
      <c r="AP207" s="115">
        <f t="shared" si="129"/>
        <v>0</v>
      </c>
      <c r="AQ207" s="69"/>
      <c r="AR207" s="69"/>
      <c r="AS207" s="69"/>
      <c r="AT207" s="69"/>
      <c r="AU207" s="59">
        <f t="shared" si="130"/>
        <v>0</v>
      </c>
      <c r="AV207" s="60">
        <f t="shared" si="131"/>
        <v>0</v>
      </c>
      <c r="AW207" s="58"/>
      <c r="AX207" s="58"/>
      <c r="AY207" s="58"/>
      <c r="AZ207" s="60">
        <f t="shared" si="121"/>
        <v>0</v>
      </c>
      <c r="BA207" s="58"/>
      <c r="BB207" s="58"/>
      <c r="BC207" s="58"/>
      <c r="BD207" s="60">
        <f>SUM(Tableau1[[#This Row],[ticket/carte/abonnement périmé]:[Autres ou non précisé 5]])</f>
        <v>0</v>
      </c>
      <c r="BE207" s="58"/>
      <c r="BF207" s="58"/>
      <c r="BG207" s="58"/>
      <c r="BH207" s="61">
        <f t="shared" si="132"/>
        <v>0</v>
      </c>
      <c r="BI207" s="120"/>
      <c r="BJ207" s="120"/>
      <c r="BK207" s="62">
        <f t="shared" si="133"/>
        <v>0</v>
      </c>
      <c r="BL207" s="120"/>
      <c r="BM207" s="120"/>
      <c r="BN207" s="120"/>
      <c r="BO207" s="120"/>
      <c r="BP207" s="120"/>
      <c r="BQ207" s="63"/>
      <c r="BR207" s="52">
        <f t="shared" si="134"/>
        <v>0</v>
      </c>
      <c r="BS207" s="52">
        <f t="shared" si="135"/>
        <v>0</v>
      </c>
      <c r="BT207" s="61">
        <f t="shared" si="136"/>
        <v>0</v>
      </c>
      <c r="BU207" s="64">
        <f t="shared" si="137"/>
        <v>0</v>
      </c>
      <c r="BV207" s="119">
        <f>SUM(Tableau1[[#This Row],[Achats confiserie]:[Achats boisson]])</f>
        <v>0</v>
      </c>
      <c r="BW207" s="58"/>
      <c r="BX207" s="69"/>
      <c r="BY207" s="58"/>
      <c r="BZ207" s="56">
        <f t="shared" si="138"/>
        <v>0</v>
      </c>
      <c r="CA207" s="66"/>
      <c r="CB207" s="66"/>
      <c r="CC207" s="56">
        <f t="shared" si="139"/>
        <v>0</v>
      </c>
      <c r="CD207" s="55"/>
      <c r="CE207" s="65"/>
      <c r="CF207" s="55"/>
      <c r="CG207" s="55"/>
      <c r="CH207" s="67">
        <f t="shared" si="140"/>
        <v>0</v>
      </c>
      <c r="CI207" s="68">
        <f t="shared" si="117"/>
        <v>0</v>
      </c>
      <c r="CJ207" s="55"/>
      <c r="CK207" s="55"/>
      <c r="CL207" s="55"/>
      <c r="CM207" s="55"/>
      <c r="CN207" s="55"/>
      <c r="CO207" s="68">
        <f t="shared" si="141"/>
        <v>0</v>
      </c>
      <c r="CP207" s="75">
        <f>SUM(Tableau1[[#This Row],[Fourniture eau]:[Energie (non précisé)]])</f>
        <v>0</v>
      </c>
      <c r="CQ207" s="55"/>
      <c r="CR207" s="55"/>
      <c r="CS207" s="55"/>
      <c r="CT207" s="55"/>
      <c r="CU207" s="55"/>
      <c r="CV207" s="55">
        <v>0</v>
      </c>
      <c r="CW207" s="55"/>
      <c r="CX207" s="68">
        <f>SUM(Tableau1[[#This Row],[Sous-traitance]:[Autres ou non précisé 12]])</f>
        <v>0</v>
      </c>
      <c r="CY207" s="65"/>
      <c r="CZ207" s="65"/>
      <c r="DA207" s="65"/>
      <c r="DB207" s="65"/>
      <c r="DC207" s="55"/>
      <c r="DD207" s="68">
        <f t="shared" si="122"/>
        <v>0</v>
      </c>
      <c r="DE207" s="55"/>
      <c r="DF207" s="65"/>
      <c r="DG207" s="65"/>
      <c r="DH207" s="65"/>
      <c r="DI207" s="68">
        <f>SUM(Tableau1[[#This Row],[Entretien et réparation matériel de projection]:[Autres ou non précisé 14]])</f>
        <v>0</v>
      </c>
      <c r="DJ207" s="58"/>
      <c r="DK207" s="58"/>
      <c r="DL207" s="69"/>
      <c r="DM207" s="68">
        <f t="shared" si="142"/>
        <v>0</v>
      </c>
      <c r="DN207" s="58"/>
      <c r="DO207" s="58"/>
      <c r="DP207" s="68">
        <f t="shared" si="143"/>
        <v>0</v>
      </c>
      <c r="DQ207" s="65"/>
      <c r="DR207" s="65"/>
      <c r="DS207" s="68">
        <f t="shared" si="144"/>
        <v>0</v>
      </c>
      <c r="DT207" s="65"/>
      <c r="DU207" s="65"/>
      <c r="DV207" s="65"/>
      <c r="DW207" s="68">
        <f>SUM(Tableau1[[#This Row],[Comission et courtage sur achats]:[Autres ou honoraires
 non précisé ]])</f>
        <v>0</v>
      </c>
      <c r="DX207" s="57"/>
      <c r="DY207" s="57"/>
      <c r="DZ207" s="65"/>
      <c r="EA207" s="65"/>
      <c r="EB207" s="65"/>
      <c r="EC207" s="68">
        <f t="shared" si="145"/>
        <v>0</v>
      </c>
      <c r="ED207" s="69"/>
      <c r="EE207" s="69"/>
      <c r="EF207" s="69"/>
      <c r="EG207" s="69"/>
      <c r="EH207" s="69"/>
      <c r="EI207" s="84">
        <f>SUM(Tableau1[[#This Row],[Transports sur films]:[autres ]])</f>
        <v>0</v>
      </c>
      <c r="EJ207" s="132">
        <v>0</v>
      </c>
      <c r="EK207" s="132"/>
      <c r="EL207" s="68">
        <f t="shared" si="146"/>
        <v>0</v>
      </c>
      <c r="EM207" s="65"/>
      <c r="EN207" s="65">
        <v>0</v>
      </c>
      <c r="EO207" s="65"/>
      <c r="EP207" s="65"/>
      <c r="EQ207" s="65"/>
      <c r="ER207" s="65"/>
      <c r="ES207" s="65"/>
      <c r="ET207" s="68">
        <f t="shared" si="147"/>
        <v>0</v>
      </c>
      <c r="EU207" s="65"/>
      <c r="EV207" s="65"/>
      <c r="EW207" s="65"/>
      <c r="EX207" s="65"/>
      <c r="EY207" s="65"/>
      <c r="EZ207" s="68">
        <f t="shared" si="124"/>
        <v>0</v>
      </c>
      <c r="FA207" s="65"/>
      <c r="FB207" s="65"/>
      <c r="FC207" s="70">
        <f t="shared" si="123"/>
        <v>0</v>
      </c>
      <c r="FD207" s="65"/>
      <c r="FE207" s="71">
        <f t="shared" si="148"/>
        <v>0</v>
      </c>
      <c r="FF207" s="72">
        <f t="shared" si="149"/>
        <v>0</v>
      </c>
      <c r="FG207" s="65"/>
      <c r="FH207" s="65"/>
      <c r="FI207" s="65"/>
      <c r="FJ207" s="56">
        <f t="shared" si="150"/>
        <v>0</v>
      </c>
      <c r="FK207" s="65"/>
      <c r="FL207" s="65"/>
      <c r="FM207" s="65"/>
      <c r="FN207" s="65"/>
      <c r="FO207" s="67">
        <f t="shared" si="151"/>
        <v>0</v>
      </c>
      <c r="FP207" s="57"/>
      <c r="FQ207" s="73"/>
      <c r="FR207" s="73"/>
      <c r="FS207" s="71">
        <f t="shared" si="152"/>
        <v>0</v>
      </c>
      <c r="FT207" s="91"/>
      <c r="FU207" s="91"/>
      <c r="FV207" s="67">
        <f>SUM(Tableau1[[#This Row],[Droits d''auteurs SACEM + cotisations SACEM]:[Autres ou non préciés]])</f>
        <v>0</v>
      </c>
      <c r="FW207" s="75">
        <f t="shared" si="153"/>
        <v>0</v>
      </c>
      <c r="FX207" s="74">
        <v>0</v>
      </c>
      <c r="FY207" s="74"/>
      <c r="FZ207" s="74"/>
      <c r="GA207" s="74"/>
      <c r="GB207" s="71">
        <f t="shared" si="154"/>
        <v>0</v>
      </c>
      <c r="GC207" s="92"/>
      <c r="GD207" s="92"/>
      <c r="GE207" s="67">
        <f t="shared" si="155"/>
        <v>0</v>
      </c>
      <c r="GF207" s="66"/>
      <c r="GG207" s="66"/>
      <c r="GH207" s="66"/>
      <c r="GI207" s="66"/>
      <c r="GJ207" s="77"/>
    </row>
    <row r="208" spans="1:192" ht="18.600000000000001" customHeight="1" x14ac:dyDescent="0.25">
      <c r="A208" s="89"/>
      <c r="B208" s="17"/>
      <c r="C208" s="50"/>
      <c r="D208" s="140"/>
      <c r="E208" s="51"/>
      <c r="F208" s="139">
        <f t="shared" si="120"/>
        <v>1</v>
      </c>
      <c r="G208" s="49"/>
      <c r="H208" s="50"/>
      <c r="I208" s="122"/>
      <c r="J208" s="49"/>
      <c r="K208" s="50"/>
      <c r="L208" s="50"/>
      <c r="M208" s="90"/>
      <c r="N208" s="50"/>
      <c r="O208" s="50"/>
      <c r="P208" s="90"/>
      <c r="Q208" s="52">
        <f t="shared" si="125"/>
        <v>0</v>
      </c>
      <c r="R208" s="52">
        <f t="shared" si="126"/>
        <v>0</v>
      </c>
      <c r="S208" s="53">
        <f t="shared" si="127"/>
        <v>0</v>
      </c>
      <c r="T208" s="54">
        <f t="shared" si="128"/>
        <v>0</v>
      </c>
      <c r="U208" s="115">
        <f>SUM(Tableau1[[#This Row],[Vente confiserie]:[Vente boisson]])</f>
        <v>0</v>
      </c>
      <c r="V208" s="55"/>
      <c r="W208" s="55"/>
      <c r="X208" s="135">
        <f>SUM(Tableau1[[#This Row],[Vente lunette]:[Location lunette]])</f>
        <v>0</v>
      </c>
      <c r="Y208" s="55"/>
      <c r="Z208" s="55"/>
      <c r="AA208" s="55"/>
      <c r="AB208" s="55"/>
      <c r="AC208" s="56">
        <f t="shared" si="118"/>
        <v>0</v>
      </c>
      <c r="AD208" s="57"/>
      <c r="AE208" s="57"/>
      <c r="AF208" s="57"/>
      <c r="AG208" s="57"/>
      <c r="AH208" s="57"/>
      <c r="AI208" s="57"/>
      <c r="AJ208" s="118">
        <f>(Tableau1[[#This Row],[Recette guichet ]]*1.1275177)-Tableau1[[#This Row],[Recette guichet ]]</f>
        <v>0</v>
      </c>
      <c r="AK208" s="57"/>
      <c r="AL208" s="56">
        <f t="shared" si="119"/>
        <v>0</v>
      </c>
      <c r="AM208" s="58"/>
      <c r="AN208" s="58"/>
      <c r="AO208" s="58"/>
      <c r="AP208" s="115">
        <f t="shared" si="129"/>
        <v>0</v>
      </c>
      <c r="AQ208" s="69"/>
      <c r="AR208" s="69"/>
      <c r="AS208" s="69"/>
      <c r="AT208" s="69"/>
      <c r="AU208" s="59">
        <f t="shared" si="130"/>
        <v>0</v>
      </c>
      <c r="AV208" s="60">
        <f t="shared" si="131"/>
        <v>0</v>
      </c>
      <c r="AW208" s="58"/>
      <c r="AX208" s="58"/>
      <c r="AY208" s="58"/>
      <c r="AZ208" s="60">
        <f t="shared" si="121"/>
        <v>0</v>
      </c>
      <c r="BA208" s="58"/>
      <c r="BB208" s="58"/>
      <c r="BC208" s="58"/>
      <c r="BD208" s="60">
        <f>SUM(Tableau1[[#This Row],[ticket/carte/abonnement périmé]:[Autres ou non précisé 5]])</f>
        <v>0</v>
      </c>
      <c r="BE208" s="58"/>
      <c r="BF208" s="58"/>
      <c r="BG208" s="58"/>
      <c r="BH208" s="61">
        <f t="shared" si="132"/>
        <v>0</v>
      </c>
      <c r="BI208" s="120"/>
      <c r="BJ208" s="120"/>
      <c r="BK208" s="62">
        <f t="shared" si="133"/>
        <v>0</v>
      </c>
      <c r="BL208" s="120"/>
      <c r="BM208" s="120"/>
      <c r="BN208" s="120"/>
      <c r="BO208" s="120"/>
      <c r="BP208" s="120"/>
      <c r="BQ208" s="63"/>
      <c r="BR208" s="52">
        <f t="shared" si="134"/>
        <v>0</v>
      </c>
      <c r="BS208" s="52">
        <f t="shared" si="135"/>
        <v>0</v>
      </c>
      <c r="BT208" s="61">
        <f t="shared" si="136"/>
        <v>0</v>
      </c>
      <c r="BU208" s="64">
        <f t="shared" si="137"/>
        <v>0</v>
      </c>
      <c r="BV208" s="119">
        <f>SUM(Tableau1[[#This Row],[Achats confiserie]:[Achats boisson]])</f>
        <v>0</v>
      </c>
      <c r="BW208" s="58"/>
      <c r="BX208" s="69"/>
      <c r="BY208" s="58"/>
      <c r="BZ208" s="56">
        <f t="shared" si="138"/>
        <v>0</v>
      </c>
      <c r="CA208" s="66"/>
      <c r="CB208" s="66"/>
      <c r="CC208" s="56">
        <f t="shared" si="139"/>
        <v>0</v>
      </c>
      <c r="CD208" s="55"/>
      <c r="CE208" s="65"/>
      <c r="CF208" s="55"/>
      <c r="CG208" s="55"/>
      <c r="CH208" s="67">
        <f t="shared" si="140"/>
        <v>0</v>
      </c>
      <c r="CI208" s="68">
        <f t="shared" si="117"/>
        <v>0</v>
      </c>
      <c r="CJ208" s="55"/>
      <c r="CK208" s="55"/>
      <c r="CL208" s="55"/>
      <c r="CM208" s="55"/>
      <c r="CN208" s="55"/>
      <c r="CO208" s="68">
        <f t="shared" si="141"/>
        <v>0</v>
      </c>
      <c r="CP208" s="75">
        <f>SUM(Tableau1[[#This Row],[Fourniture eau]:[Energie (non précisé)]])</f>
        <v>0</v>
      </c>
      <c r="CQ208" s="55"/>
      <c r="CR208" s="55"/>
      <c r="CS208" s="55"/>
      <c r="CT208" s="55"/>
      <c r="CU208" s="55"/>
      <c r="CV208" s="55">
        <v>0</v>
      </c>
      <c r="CW208" s="55"/>
      <c r="CX208" s="68">
        <f>SUM(Tableau1[[#This Row],[Sous-traitance]:[Autres ou non précisé 12]])</f>
        <v>0</v>
      </c>
      <c r="CY208" s="65"/>
      <c r="CZ208" s="65"/>
      <c r="DA208" s="65"/>
      <c r="DB208" s="65"/>
      <c r="DC208" s="55"/>
      <c r="DD208" s="68">
        <f t="shared" si="122"/>
        <v>0</v>
      </c>
      <c r="DE208" s="55"/>
      <c r="DF208" s="65"/>
      <c r="DG208" s="65"/>
      <c r="DH208" s="65"/>
      <c r="DI208" s="68">
        <f>SUM(Tableau1[[#This Row],[Entretien et réparation matériel de projection]:[Autres ou non précisé 14]])</f>
        <v>0</v>
      </c>
      <c r="DJ208" s="58"/>
      <c r="DK208" s="58"/>
      <c r="DL208" s="69"/>
      <c r="DM208" s="68">
        <f t="shared" si="142"/>
        <v>0</v>
      </c>
      <c r="DN208" s="58"/>
      <c r="DO208" s="58"/>
      <c r="DP208" s="68">
        <f t="shared" si="143"/>
        <v>0</v>
      </c>
      <c r="DQ208" s="65"/>
      <c r="DR208" s="65"/>
      <c r="DS208" s="68">
        <f t="shared" si="144"/>
        <v>0</v>
      </c>
      <c r="DT208" s="65"/>
      <c r="DU208" s="65"/>
      <c r="DV208" s="65"/>
      <c r="DW208" s="68">
        <f>SUM(Tableau1[[#This Row],[Comission et courtage sur achats]:[Autres ou honoraires
 non précisé ]])</f>
        <v>0</v>
      </c>
      <c r="DX208" s="57"/>
      <c r="DY208" s="57"/>
      <c r="DZ208" s="65"/>
      <c r="EA208" s="65"/>
      <c r="EB208" s="65"/>
      <c r="EC208" s="68">
        <f t="shared" si="145"/>
        <v>0</v>
      </c>
      <c r="ED208" s="69"/>
      <c r="EE208" s="69"/>
      <c r="EF208" s="69"/>
      <c r="EG208" s="69"/>
      <c r="EH208" s="69"/>
      <c r="EI208" s="84">
        <f>SUM(Tableau1[[#This Row],[Transports sur films]:[autres ]])</f>
        <v>0</v>
      </c>
      <c r="EJ208" s="132">
        <v>0</v>
      </c>
      <c r="EK208" s="132"/>
      <c r="EL208" s="68">
        <f t="shared" si="146"/>
        <v>0</v>
      </c>
      <c r="EM208" s="65"/>
      <c r="EN208" s="65">
        <v>0</v>
      </c>
      <c r="EO208" s="65"/>
      <c r="EP208" s="65"/>
      <c r="EQ208" s="65"/>
      <c r="ER208" s="65"/>
      <c r="ES208" s="65"/>
      <c r="ET208" s="68">
        <f t="shared" si="147"/>
        <v>0</v>
      </c>
      <c r="EU208" s="65"/>
      <c r="EV208" s="65"/>
      <c r="EW208" s="65"/>
      <c r="EX208" s="65"/>
      <c r="EY208" s="65"/>
      <c r="EZ208" s="68">
        <f t="shared" si="124"/>
        <v>0</v>
      </c>
      <c r="FA208" s="65"/>
      <c r="FB208" s="65"/>
      <c r="FC208" s="70">
        <f t="shared" si="123"/>
        <v>0</v>
      </c>
      <c r="FD208" s="65"/>
      <c r="FE208" s="71">
        <f t="shared" si="148"/>
        <v>0</v>
      </c>
      <c r="FF208" s="72">
        <f t="shared" si="149"/>
        <v>0</v>
      </c>
      <c r="FG208" s="65"/>
      <c r="FH208" s="65"/>
      <c r="FI208" s="65"/>
      <c r="FJ208" s="56">
        <f t="shared" si="150"/>
        <v>0</v>
      </c>
      <c r="FK208" s="65"/>
      <c r="FL208" s="65"/>
      <c r="FM208" s="65"/>
      <c r="FN208" s="65"/>
      <c r="FO208" s="67">
        <f t="shared" si="151"/>
        <v>0</v>
      </c>
      <c r="FP208" s="57"/>
      <c r="FQ208" s="73"/>
      <c r="FR208" s="73"/>
      <c r="FS208" s="71">
        <f t="shared" si="152"/>
        <v>0</v>
      </c>
      <c r="FT208" s="91"/>
      <c r="FU208" s="91"/>
      <c r="FV208" s="67">
        <f>SUM(Tableau1[[#This Row],[Droits d''auteurs SACEM + cotisations SACEM]:[Autres ou non préciés]])</f>
        <v>0</v>
      </c>
      <c r="FW208" s="75">
        <f t="shared" si="153"/>
        <v>0</v>
      </c>
      <c r="FX208" s="74">
        <v>0</v>
      </c>
      <c r="FY208" s="74"/>
      <c r="FZ208" s="74"/>
      <c r="GA208" s="74"/>
      <c r="GB208" s="71">
        <f t="shared" si="154"/>
        <v>0</v>
      </c>
      <c r="GC208" s="92"/>
      <c r="GD208" s="92"/>
      <c r="GE208" s="67">
        <f t="shared" si="155"/>
        <v>0</v>
      </c>
      <c r="GF208" s="66"/>
      <c r="GG208" s="66"/>
      <c r="GH208" s="66"/>
      <c r="GI208" s="66"/>
      <c r="GJ208" s="77"/>
    </row>
    <row r="209" spans="1:192" ht="18.600000000000001" customHeight="1" x14ac:dyDescent="0.25">
      <c r="A209" s="89"/>
      <c r="B209" s="17"/>
      <c r="C209" s="50"/>
      <c r="D209" s="140"/>
      <c r="E209" s="51"/>
      <c r="F209" s="139">
        <f t="shared" si="120"/>
        <v>1</v>
      </c>
      <c r="G209" s="49"/>
      <c r="H209" s="50"/>
      <c r="I209" s="122"/>
      <c r="J209" s="49"/>
      <c r="K209" s="50"/>
      <c r="L209" s="50"/>
      <c r="M209" s="90"/>
      <c r="N209" s="50"/>
      <c r="O209" s="50"/>
      <c r="P209" s="90"/>
      <c r="Q209" s="52">
        <f t="shared" si="125"/>
        <v>0</v>
      </c>
      <c r="R209" s="52">
        <f t="shared" si="126"/>
        <v>0</v>
      </c>
      <c r="S209" s="53">
        <f t="shared" si="127"/>
        <v>0</v>
      </c>
      <c r="T209" s="54">
        <f t="shared" si="128"/>
        <v>0</v>
      </c>
      <c r="U209" s="115">
        <f>SUM(Tableau1[[#This Row],[Vente confiserie]:[Vente boisson]])</f>
        <v>0</v>
      </c>
      <c r="V209" s="55"/>
      <c r="W209" s="55"/>
      <c r="X209" s="135">
        <f>SUM(Tableau1[[#This Row],[Vente lunette]:[Location lunette]])</f>
        <v>0</v>
      </c>
      <c r="Y209" s="55"/>
      <c r="Z209" s="55"/>
      <c r="AA209" s="55"/>
      <c r="AB209" s="55"/>
      <c r="AC209" s="56">
        <f t="shared" si="118"/>
        <v>0</v>
      </c>
      <c r="AD209" s="57"/>
      <c r="AE209" s="57"/>
      <c r="AF209" s="57"/>
      <c r="AG209" s="57"/>
      <c r="AH209" s="57"/>
      <c r="AI209" s="57"/>
      <c r="AJ209" s="118">
        <f>(Tableau1[[#This Row],[Recette guichet ]]*1.1275177)-Tableau1[[#This Row],[Recette guichet ]]</f>
        <v>0</v>
      </c>
      <c r="AK209" s="57"/>
      <c r="AL209" s="56">
        <f t="shared" si="119"/>
        <v>0</v>
      </c>
      <c r="AM209" s="58"/>
      <c r="AN209" s="58"/>
      <c r="AO209" s="58"/>
      <c r="AP209" s="115">
        <f t="shared" si="129"/>
        <v>0</v>
      </c>
      <c r="AQ209" s="69"/>
      <c r="AR209" s="69"/>
      <c r="AS209" s="69"/>
      <c r="AT209" s="69"/>
      <c r="AU209" s="59">
        <f t="shared" si="130"/>
        <v>0</v>
      </c>
      <c r="AV209" s="60">
        <f t="shared" si="131"/>
        <v>0</v>
      </c>
      <c r="AW209" s="58"/>
      <c r="AX209" s="58"/>
      <c r="AY209" s="58"/>
      <c r="AZ209" s="60">
        <f t="shared" si="121"/>
        <v>0</v>
      </c>
      <c r="BA209" s="58"/>
      <c r="BB209" s="58"/>
      <c r="BC209" s="58"/>
      <c r="BD209" s="60">
        <f>SUM(Tableau1[[#This Row],[ticket/carte/abonnement périmé]:[Autres ou non précisé 5]])</f>
        <v>0</v>
      </c>
      <c r="BE209" s="58"/>
      <c r="BF209" s="58"/>
      <c r="BG209" s="58"/>
      <c r="BH209" s="61">
        <f t="shared" si="132"/>
        <v>0</v>
      </c>
      <c r="BI209" s="120"/>
      <c r="BJ209" s="120"/>
      <c r="BK209" s="62">
        <f t="shared" si="133"/>
        <v>0</v>
      </c>
      <c r="BL209" s="120"/>
      <c r="BM209" s="120"/>
      <c r="BN209" s="120"/>
      <c r="BO209" s="120"/>
      <c r="BP209" s="120"/>
      <c r="BQ209" s="63"/>
      <c r="BR209" s="52">
        <f t="shared" si="134"/>
        <v>0</v>
      </c>
      <c r="BS209" s="52">
        <f t="shared" si="135"/>
        <v>0</v>
      </c>
      <c r="BT209" s="61">
        <f t="shared" si="136"/>
        <v>0</v>
      </c>
      <c r="BU209" s="64">
        <f t="shared" si="137"/>
        <v>0</v>
      </c>
      <c r="BV209" s="119">
        <f>SUM(Tableau1[[#This Row],[Achats confiserie]:[Achats boisson]])</f>
        <v>0</v>
      </c>
      <c r="BW209" s="58"/>
      <c r="BX209" s="69"/>
      <c r="BY209" s="58"/>
      <c r="BZ209" s="56">
        <f t="shared" si="138"/>
        <v>0</v>
      </c>
      <c r="CA209" s="66"/>
      <c r="CB209" s="66"/>
      <c r="CC209" s="56">
        <f t="shared" si="139"/>
        <v>0</v>
      </c>
      <c r="CD209" s="55"/>
      <c r="CE209" s="65"/>
      <c r="CF209" s="55"/>
      <c r="CG209" s="55"/>
      <c r="CH209" s="67">
        <f t="shared" si="140"/>
        <v>0</v>
      </c>
      <c r="CI209" s="68">
        <f t="shared" si="117"/>
        <v>0</v>
      </c>
      <c r="CJ209" s="55"/>
      <c r="CK209" s="55"/>
      <c r="CL209" s="55"/>
      <c r="CM209" s="55"/>
      <c r="CN209" s="55"/>
      <c r="CO209" s="68">
        <f t="shared" si="141"/>
        <v>0</v>
      </c>
      <c r="CP209" s="75">
        <f>SUM(Tableau1[[#This Row],[Fourniture eau]:[Energie (non précisé)]])</f>
        <v>0</v>
      </c>
      <c r="CQ209" s="55"/>
      <c r="CR209" s="55"/>
      <c r="CS209" s="55"/>
      <c r="CT209" s="55"/>
      <c r="CU209" s="55"/>
      <c r="CV209" s="55">
        <v>0</v>
      </c>
      <c r="CW209" s="55"/>
      <c r="CX209" s="68">
        <f>SUM(Tableau1[[#This Row],[Sous-traitance]:[Autres ou non précisé 12]])</f>
        <v>0</v>
      </c>
      <c r="CY209" s="65"/>
      <c r="CZ209" s="65"/>
      <c r="DA209" s="65"/>
      <c r="DB209" s="65"/>
      <c r="DC209" s="55"/>
      <c r="DD209" s="68">
        <f t="shared" si="122"/>
        <v>0</v>
      </c>
      <c r="DE209" s="55"/>
      <c r="DF209" s="65"/>
      <c r="DG209" s="65"/>
      <c r="DH209" s="65"/>
      <c r="DI209" s="68">
        <f>SUM(Tableau1[[#This Row],[Entretien et réparation matériel de projection]:[Autres ou non précisé 14]])</f>
        <v>0</v>
      </c>
      <c r="DJ209" s="58"/>
      <c r="DK209" s="58"/>
      <c r="DL209" s="69"/>
      <c r="DM209" s="68">
        <f t="shared" si="142"/>
        <v>0</v>
      </c>
      <c r="DN209" s="58"/>
      <c r="DO209" s="58"/>
      <c r="DP209" s="68">
        <f t="shared" si="143"/>
        <v>0</v>
      </c>
      <c r="DQ209" s="65"/>
      <c r="DR209" s="65"/>
      <c r="DS209" s="68">
        <f t="shared" si="144"/>
        <v>0</v>
      </c>
      <c r="DT209" s="65"/>
      <c r="DU209" s="65"/>
      <c r="DV209" s="65"/>
      <c r="DW209" s="68">
        <f>SUM(Tableau1[[#This Row],[Comission et courtage sur achats]:[Autres ou honoraires
 non précisé ]])</f>
        <v>0</v>
      </c>
      <c r="DX209" s="57"/>
      <c r="DY209" s="57"/>
      <c r="DZ209" s="65"/>
      <c r="EA209" s="65"/>
      <c r="EB209" s="65"/>
      <c r="EC209" s="68">
        <f t="shared" si="145"/>
        <v>0</v>
      </c>
      <c r="ED209" s="69"/>
      <c r="EE209" s="69"/>
      <c r="EF209" s="69"/>
      <c r="EG209" s="69"/>
      <c r="EH209" s="69"/>
      <c r="EI209" s="84">
        <f>SUM(Tableau1[[#This Row],[Transports sur films]:[autres ]])</f>
        <v>0</v>
      </c>
      <c r="EJ209" s="132">
        <v>0</v>
      </c>
      <c r="EK209" s="132"/>
      <c r="EL209" s="68">
        <f t="shared" si="146"/>
        <v>0</v>
      </c>
      <c r="EM209" s="65"/>
      <c r="EN209" s="65">
        <v>0</v>
      </c>
      <c r="EO209" s="65"/>
      <c r="EP209" s="65"/>
      <c r="EQ209" s="65"/>
      <c r="ER209" s="65"/>
      <c r="ES209" s="65"/>
      <c r="ET209" s="68">
        <f t="shared" si="147"/>
        <v>0</v>
      </c>
      <c r="EU209" s="65"/>
      <c r="EV209" s="65"/>
      <c r="EW209" s="65"/>
      <c r="EX209" s="65"/>
      <c r="EY209" s="65"/>
      <c r="EZ209" s="68">
        <f t="shared" si="124"/>
        <v>0</v>
      </c>
      <c r="FA209" s="65"/>
      <c r="FB209" s="65"/>
      <c r="FC209" s="70">
        <f t="shared" si="123"/>
        <v>0</v>
      </c>
      <c r="FD209" s="65"/>
      <c r="FE209" s="71">
        <f t="shared" si="148"/>
        <v>0</v>
      </c>
      <c r="FF209" s="72">
        <f t="shared" si="149"/>
        <v>0</v>
      </c>
      <c r="FG209" s="65"/>
      <c r="FH209" s="65"/>
      <c r="FI209" s="65"/>
      <c r="FJ209" s="56">
        <f t="shared" si="150"/>
        <v>0</v>
      </c>
      <c r="FK209" s="65"/>
      <c r="FL209" s="65"/>
      <c r="FM209" s="65"/>
      <c r="FN209" s="65"/>
      <c r="FO209" s="67">
        <f t="shared" si="151"/>
        <v>0</v>
      </c>
      <c r="FP209" s="57"/>
      <c r="FQ209" s="73"/>
      <c r="FR209" s="73"/>
      <c r="FS209" s="71">
        <f t="shared" si="152"/>
        <v>0</v>
      </c>
      <c r="FT209" s="91"/>
      <c r="FU209" s="91"/>
      <c r="FV209" s="67">
        <f>SUM(Tableau1[[#This Row],[Droits d''auteurs SACEM + cotisations SACEM]:[Autres ou non préciés]])</f>
        <v>0</v>
      </c>
      <c r="FW209" s="75">
        <f t="shared" si="153"/>
        <v>0</v>
      </c>
      <c r="FX209" s="74">
        <v>0</v>
      </c>
      <c r="FY209" s="74"/>
      <c r="FZ209" s="74"/>
      <c r="GA209" s="74"/>
      <c r="GB209" s="71">
        <f t="shared" si="154"/>
        <v>0</v>
      </c>
      <c r="GC209" s="92"/>
      <c r="GD209" s="92"/>
      <c r="GE209" s="67">
        <f t="shared" si="155"/>
        <v>0</v>
      </c>
      <c r="GF209" s="66"/>
      <c r="GG209" s="66"/>
      <c r="GH209" s="66"/>
      <c r="GI209" s="66"/>
      <c r="GJ209" s="77"/>
    </row>
    <row r="210" spans="1:192" ht="18.600000000000001" customHeight="1" x14ac:dyDescent="0.25">
      <c r="A210" s="89"/>
      <c r="B210" s="17"/>
      <c r="C210" s="50"/>
      <c r="D210" s="140"/>
      <c r="E210" s="51"/>
      <c r="F210" s="139">
        <f t="shared" si="120"/>
        <v>1</v>
      </c>
      <c r="G210" s="49"/>
      <c r="H210" s="50"/>
      <c r="I210" s="122"/>
      <c r="J210" s="49"/>
      <c r="K210" s="50"/>
      <c r="L210" s="50"/>
      <c r="M210" s="90"/>
      <c r="N210" s="50"/>
      <c r="O210" s="50"/>
      <c r="P210" s="90"/>
      <c r="Q210" s="52">
        <f t="shared" si="125"/>
        <v>0</v>
      </c>
      <c r="R210" s="52">
        <f t="shared" si="126"/>
        <v>0</v>
      </c>
      <c r="S210" s="53">
        <f t="shared" si="127"/>
        <v>0</v>
      </c>
      <c r="T210" s="54">
        <f t="shared" si="128"/>
        <v>0</v>
      </c>
      <c r="U210" s="115">
        <f>SUM(Tableau1[[#This Row],[Vente confiserie]:[Vente boisson]])</f>
        <v>0</v>
      </c>
      <c r="V210" s="55"/>
      <c r="W210" s="55"/>
      <c r="X210" s="135">
        <f>SUM(Tableau1[[#This Row],[Vente lunette]:[Location lunette]])</f>
        <v>0</v>
      </c>
      <c r="Y210" s="55"/>
      <c r="Z210" s="55"/>
      <c r="AA210" s="55"/>
      <c r="AB210" s="55"/>
      <c r="AC210" s="56">
        <f t="shared" si="118"/>
        <v>0</v>
      </c>
      <c r="AD210" s="57"/>
      <c r="AE210" s="57"/>
      <c r="AF210" s="57"/>
      <c r="AG210" s="57"/>
      <c r="AH210" s="57"/>
      <c r="AI210" s="57"/>
      <c r="AJ210" s="118">
        <f>(Tableau1[[#This Row],[Recette guichet ]]*1.1275177)-Tableau1[[#This Row],[Recette guichet ]]</f>
        <v>0</v>
      </c>
      <c r="AK210" s="57"/>
      <c r="AL210" s="56">
        <f t="shared" si="119"/>
        <v>0</v>
      </c>
      <c r="AM210" s="58"/>
      <c r="AN210" s="58"/>
      <c r="AO210" s="58"/>
      <c r="AP210" s="115">
        <f t="shared" si="129"/>
        <v>0</v>
      </c>
      <c r="AQ210" s="69"/>
      <c r="AR210" s="69"/>
      <c r="AS210" s="69"/>
      <c r="AT210" s="69"/>
      <c r="AU210" s="59">
        <f t="shared" si="130"/>
        <v>0</v>
      </c>
      <c r="AV210" s="60">
        <f t="shared" si="131"/>
        <v>0</v>
      </c>
      <c r="AW210" s="58"/>
      <c r="AX210" s="58"/>
      <c r="AY210" s="58"/>
      <c r="AZ210" s="60">
        <f t="shared" si="121"/>
        <v>0</v>
      </c>
      <c r="BA210" s="58"/>
      <c r="BB210" s="58"/>
      <c r="BC210" s="58"/>
      <c r="BD210" s="60">
        <f>SUM(Tableau1[[#This Row],[ticket/carte/abonnement périmé]:[Autres ou non précisé 5]])</f>
        <v>0</v>
      </c>
      <c r="BE210" s="58"/>
      <c r="BF210" s="58"/>
      <c r="BG210" s="58"/>
      <c r="BH210" s="61">
        <f t="shared" si="132"/>
        <v>0</v>
      </c>
      <c r="BI210" s="120"/>
      <c r="BJ210" s="120"/>
      <c r="BK210" s="62">
        <f t="shared" si="133"/>
        <v>0</v>
      </c>
      <c r="BL210" s="120"/>
      <c r="BM210" s="120"/>
      <c r="BN210" s="120"/>
      <c r="BO210" s="120"/>
      <c r="BP210" s="120"/>
      <c r="BQ210" s="63"/>
      <c r="BR210" s="52">
        <f t="shared" si="134"/>
        <v>0</v>
      </c>
      <c r="BS210" s="52">
        <f t="shared" si="135"/>
        <v>0</v>
      </c>
      <c r="BT210" s="61">
        <f t="shared" si="136"/>
        <v>0</v>
      </c>
      <c r="BU210" s="64">
        <f t="shared" si="137"/>
        <v>0</v>
      </c>
      <c r="BV210" s="119">
        <f>SUM(Tableau1[[#This Row],[Achats confiserie]:[Achats boisson]])</f>
        <v>0</v>
      </c>
      <c r="BW210" s="58"/>
      <c r="BX210" s="69"/>
      <c r="BY210" s="58"/>
      <c r="BZ210" s="56">
        <f t="shared" si="138"/>
        <v>0</v>
      </c>
      <c r="CA210" s="66"/>
      <c r="CB210" s="66"/>
      <c r="CC210" s="56">
        <f t="shared" si="139"/>
        <v>0</v>
      </c>
      <c r="CD210" s="55"/>
      <c r="CE210" s="65"/>
      <c r="CF210" s="55"/>
      <c r="CG210" s="55"/>
      <c r="CH210" s="67">
        <f t="shared" si="140"/>
        <v>0</v>
      </c>
      <c r="CI210" s="68">
        <f t="shared" si="117"/>
        <v>0</v>
      </c>
      <c r="CJ210" s="55"/>
      <c r="CK210" s="55"/>
      <c r="CL210" s="55"/>
      <c r="CM210" s="55"/>
      <c r="CN210" s="55"/>
      <c r="CO210" s="68">
        <f t="shared" si="141"/>
        <v>0</v>
      </c>
      <c r="CP210" s="75">
        <f>SUM(Tableau1[[#This Row],[Fourniture eau]:[Energie (non précisé)]])</f>
        <v>0</v>
      </c>
      <c r="CQ210" s="55"/>
      <c r="CR210" s="55"/>
      <c r="CS210" s="55"/>
      <c r="CT210" s="55"/>
      <c r="CU210" s="55"/>
      <c r="CV210" s="55">
        <v>0</v>
      </c>
      <c r="CW210" s="55"/>
      <c r="CX210" s="68">
        <f>SUM(Tableau1[[#This Row],[Sous-traitance]:[Autres ou non précisé 12]])</f>
        <v>0</v>
      </c>
      <c r="CY210" s="65"/>
      <c r="CZ210" s="65"/>
      <c r="DA210" s="65"/>
      <c r="DB210" s="65"/>
      <c r="DC210" s="55"/>
      <c r="DD210" s="68">
        <f t="shared" si="122"/>
        <v>0</v>
      </c>
      <c r="DE210" s="55"/>
      <c r="DF210" s="65"/>
      <c r="DG210" s="65"/>
      <c r="DH210" s="65"/>
      <c r="DI210" s="68">
        <f>SUM(Tableau1[[#This Row],[Entretien et réparation matériel de projection]:[Autres ou non précisé 14]])</f>
        <v>0</v>
      </c>
      <c r="DJ210" s="58"/>
      <c r="DK210" s="58"/>
      <c r="DL210" s="69"/>
      <c r="DM210" s="68">
        <f t="shared" si="142"/>
        <v>0</v>
      </c>
      <c r="DN210" s="58"/>
      <c r="DO210" s="58"/>
      <c r="DP210" s="68">
        <f t="shared" si="143"/>
        <v>0</v>
      </c>
      <c r="DQ210" s="65"/>
      <c r="DR210" s="65"/>
      <c r="DS210" s="68">
        <f t="shared" si="144"/>
        <v>0</v>
      </c>
      <c r="DT210" s="65"/>
      <c r="DU210" s="65"/>
      <c r="DV210" s="65"/>
      <c r="DW210" s="68">
        <f>SUM(Tableau1[[#This Row],[Comission et courtage sur achats]:[Autres ou honoraires
 non précisé ]])</f>
        <v>0</v>
      </c>
      <c r="DX210" s="57"/>
      <c r="DY210" s="57"/>
      <c r="DZ210" s="65"/>
      <c r="EA210" s="65"/>
      <c r="EB210" s="65"/>
      <c r="EC210" s="68">
        <f t="shared" si="145"/>
        <v>0</v>
      </c>
      <c r="ED210" s="69"/>
      <c r="EE210" s="69"/>
      <c r="EF210" s="69"/>
      <c r="EG210" s="69"/>
      <c r="EH210" s="69"/>
      <c r="EI210" s="84">
        <f>SUM(Tableau1[[#This Row],[Transports sur films]:[autres ]])</f>
        <v>0</v>
      </c>
      <c r="EJ210" s="132">
        <v>0</v>
      </c>
      <c r="EK210" s="132"/>
      <c r="EL210" s="68">
        <f t="shared" si="146"/>
        <v>0</v>
      </c>
      <c r="EM210" s="65"/>
      <c r="EN210" s="65">
        <v>0</v>
      </c>
      <c r="EO210" s="65"/>
      <c r="EP210" s="65"/>
      <c r="EQ210" s="65"/>
      <c r="ER210" s="65"/>
      <c r="ES210" s="65"/>
      <c r="ET210" s="68">
        <f t="shared" si="147"/>
        <v>0</v>
      </c>
      <c r="EU210" s="65"/>
      <c r="EV210" s="65"/>
      <c r="EW210" s="65"/>
      <c r="EX210" s="65"/>
      <c r="EY210" s="65"/>
      <c r="EZ210" s="68">
        <f t="shared" si="124"/>
        <v>0</v>
      </c>
      <c r="FA210" s="65"/>
      <c r="FB210" s="65"/>
      <c r="FC210" s="70">
        <f t="shared" si="123"/>
        <v>0</v>
      </c>
      <c r="FD210" s="65"/>
      <c r="FE210" s="71">
        <f t="shared" si="148"/>
        <v>0</v>
      </c>
      <c r="FF210" s="72">
        <f t="shared" si="149"/>
        <v>0</v>
      </c>
      <c r="FG210" s="65"/>
      <c r="FH210" s="65"/>
      <c r="FI210" s="65"/>
      <c r="FJ210" s="56">
        <f t="shared" si="150"/>
        <v>0</v>
      </c>
      <c r="FK210" s="65"/>
      <c r="FL210" s="65"/>
      <c r="FM210" s="65"/>
      <c r="FN210" s="65"/>
      <c r="FO210" s="67">
        <f t="shared" si="151"/>
        <v>0</v>
      </c>
      <c r="FP210" s="57"/>
      <c r="FQ210" s="73"/>
      <c r="FR210" s="73"/>
      <c r="FS210" s="71">
        <f t="shared" si="152"/>
        <v>0</v>
      </c>
      <c r="FT210" s="91"/>
      <c r="FU210" s="91"/>
      <c r="FV210" s="67">
        <f>SUM(Tableau1[[#This Row],[Droits d''auteurs SACEM + cotisations SACEM]:[Autres ou non préciés]])</f>
        <v>0</v>
      </c>
      <c r="FW210" s="75">
        <f t="shared" si="153"/>
        <v>0</v>
      </c>
      <c r="FX210" s="74">
        <v>0</v>
      </c>
      <c r="FY210" s="74"/>
      <c r="FZ210" s="74"/>
      <c r="GA210" s="74"/>
      <c r="GB210" s="71">
        <f t="shared" si="154"/>
        <v>0</v>
      </c>
      <c r="GC210" s="92"/>
      <c r="GD210" s="92"/>
      <c r="GE210" s="67">
        <f t="shared" si="155"/>
        <v>0</v>
      </c>
      <c r="GF210" s="66"/>
      <c r="GG210" s="66"/>
      <c r="GH210" s="66"/>
      <c r="GI210" s="66"/>
      <c r="GJ210" s="77"/>
    </row>
    <row r="211" spans="1:192" ht="18.600000000000001" customHeight="1" x14ac:dyDescent="0.25">
      <c r="A211" s="89"/>
      <c r="B211" s="17"/>
      <c r="C211" s="50"/>
      <c r="D211" s="140"/>
      <c r="E211" s="51"/>
      <c r="F211" s="139">
        <f t="shared" si="120"/>
        <v>1</v>
      </c>
      <c r="G211" s="49"/>
      <c r="H211" s="50"/>
      <c r="I211" s="122"/>
      <c r="J211" s="49"/>
      <c r="K211" s="50"/>
      <c r="L211" s="50"/>
      <c r="M211" s="90"/>
      <c r="N211" s="50"/>
      <c r="O211" s="50"/>
      <c r="P211" s="90"/>
      <c r="Q211" s="52">
        <f t="shared" si="125"/>
        <v>0</v>
      </c>
      <c r="R211" s="52">
        <f t="shared" si="126"/>
        <v>0</v>
      </c>
      <c r="S211" s="53">
        <f t="shared" si="127"/>
        <v>0</v>
      </c>
      <c r="T211" s="54">
        <f t="shared" si="128"/>
        <v>0</v>
      </c>
      <c r="U211" s="115">
        <f>SUM(Tableau1[[#This Row],[Vente confiserie]:[Vente boisson]])</f>
        <v>0</v>
      </c>
      <c r="V211" s="55"/>
      <c r="W211" s="55"/>
      <c r="X211" s="135">
        <f>SUM(Tableau1[[#This Row],[Vente lunette]:[Location lunette]])</f>
        <v>0</v>
      </c>
      <c r="Y211" s="55"/>
      <c r="Z211" s="55"/>
      <c r="AA211" s="55"/>
      <c r="AB211" s="55"/>
      <c r="AC211" s="56">
        <f t="shared" si="118"/>
        <v>0</v>
      </c>
      <c r="AD211" s="57"/>
      <c r="AE211" s="57"/>
      <c r="AF211" s="57"/>
      <c r="AG211" s="57"/>
      <c r="AH211" s="57"/>
      <c r="AI211" s="57"/>
      <c r="AJ211" s="118">
        <f>(Tableau1[[#This Row],[Recette guichet ]]*1.1275177)-Tableau1[[#This Row],[Recette guichet ]]</f>
        <v>0</v>
      </c>
      <c r="AK211" s="57"/>
      <c r="AL211" s="56">
        <f t="shared" si="119"/>
        <v>0</v>
      </c>
      <c r="AM211" s="58"/>
      <c r="AN211" s="58"/>
      <c r="AO211" s="58"/>
      <c r="AP211" s="115">
        <f t="shared" si="129"/>
        <v>0</v>
      </c>
      <c r="AQ211" s="69"/>
      <c r="AR211" s="69"/>
      <c r="AS211" s="69"/>
      <c r="AT211" s="69"/>
      <c r="AU211" s="59">
        <f t="shared" si="130"/>
        <v>0</v>
      </c>
      <c r="AV211" s="60">
        <f t="shared" si="131"/>
        <v>0</v>
      </c>
      <c r="AW211" s="58"/>
      <c r="AX211" s="58"/>
      <c r="AY211" s="58"/>
      <c r="AZ211" s="60">
        <f t="shared" si="121"/>
        <v>0</v>
      </c>
      <c r="BA211" s="58"/>
      <c r="BB211" s="58"/>
      <c r="BC211" s="58"/>
      <c r="BD211" s="60">
        <f>SUM(Tableau1[[#This Row],[ticket/carte/abonnement périmé]:[Autres ou non précisé 5]])</f>
        <v>0</v>
      </c>
      <c r="BE211" s="58"/>
      <c r="BF211" s="58"/>
      <c r="BG211" s="58"/>
      <c r="BH211" s="61">
        <f t="shared" si="132"/>
        <v>0</v>
      </c>
      <c r="BI211" s="120"/>
      <c r="BJ211" s="120"/>
      <c r="BK211" s="62">
        <f t="shared" si="133"/>
        <v>0</v>
      </c>
      <c r="BL211" s="120"/>
      <c r="BM211" s="120"/>
      <c r="BN211" s="120"/>
      <c r="BO211" s="120"/>
      <c r="BP211" s="120"/>
      <c r="BQ211" s="63"/>
      <c r="BR211" s="52">
        <f t="shared" si="134"/>
        <v>0</v>
      </c>
      <c r="BS211" s="52">
        <f t="shared" si="135"/>
        <v>0</v>
      </c>
      <c r="BT211" s="61">
        <f t="shared" si="136"/>
        <v>0</v>
      </c>
      <c r="BU211" s="64">
        <f t="shared" si="137"/>
        <v>0</v>
      </c>
      <c r="BV211" s="119">
        <f>SUM(Tableau1[[#This Row],[Achats confiserie]:[Achats boisson]])</f>
        <v>0</v>
      </c>
      <c r="BW211" s="58"/>
      <c r="BX211" s="69"/>
      <c r="BY211" s="58"/>
      <c r="BZ211" s="56">
        <f t="shared" si="138"/>
        <v>0</v>
      </c>
      <c r="CA211" s="66"/>
      <c r="CB211" s="66"/>
      <c r="CC211" s="56">
        <f t="shared" si="139"/>
        <v>0</v>
      </c>
      <c r="CD211" s="55"/>
      <c r="CE211" s="65"/>
      <c r="CF211" s="55"/>
      <c r="CG211" s="55"/>
      <c r="CH211" s="67">
        <f t="shared" si="140"/>
        <v>0</v>
      </c>
      <c r="CI211" s="68">
        <f t="shared" ref="CI211:CI274" si="156">SUM(CJ211:CN211)</f>
        <v>0</v>
      </c>
      <c r="CJ211" s="55"/>
      <c r="CK211" s="55"/>
      <c r="CL211" s="55"/>
      <c r="CM211" s="55"/>
      <c r="CN211" s="55"/>
      <c r="CO211" s="68">
        <f t="shared" si="141"/>
        <v>0</v>
      </c>
      <c r="CP211" s="75">
        <f>SUM(Tableau1[[#This Row],[Fourniture eau]:[Energie (non précisé)]])</f>
        <v>0</v>
      </c>
      <c r="CQ211" s="55"/>
      <c r="CR211" s="55"/>
      <c r="CS211" s="55"/>
      <c r="CT211" s="55"/>
      <c r="CU211" s="55"/>
      <c r="CV211" s="55">
        <v>0</v>
      </c>
      <c r="CW211" s="55"/>
      <c r="CX211" s="68">
        <f>SUM(Tableau1[[#This Row],[Sous-traitance]:[Autres ou non précisé 12]])</f>
        <v>0</v>
      </c>
      <c r="CY211" s="65"/>
      <c r="CZ211" s="65"/>
      <c r="DA211" s="65"/>
      <c r="DB211" s="65"/>
      <c r="DC211" s="55"/>
      <c r="DD211" s="68">
        <f t="shared" si="122"/>
        <v>0</v>
      </c>
      <c r="DE211" s="55"/>
      <c r="DF211" s="65"/>
      <c r="DG211" s="65"/>
      <c r="DH211" s="65"/>
      <c r="DI211" s="68">
        <f>SUM(Tableau1[[#This Row],[Entretien et réparation matériel de projection]:[Autres ou non précisé 14]])</f>
        <v>0</v>
      </c>
      <c r="DJ211" s="58"/>
      <c r="DK211" s="58"/>
      <c r="DL211" s="69"/>
      <c r="DM211" s="68">
        <f t="shared" si="142"/>
        <v>0</v>
      </c>
      <c r="DN211" s="58"/>
      <c r="DO211" s="58"/>
      <c r="DP211" s="68">
        <f t="shared" si="143"/>
        <v>0</v>
      </c>
      <c r="DQ211" s="65"/>
      <c r="DR211" s="65"/>
      <c r="DS211" s="68">
        <f t="shared" si="144"/>
        <v>0</v>
      </c>
      <c r="DT211" s="65"/>
      <c r="DU211" s="65"/>
      <c r="DV211" s="65"/>
      <c r="DW211" s="68">
        <f>SUM(Tableau1[[#This Row],[Comission et courtage sur achats]:[Autres ou honoraires
 non précisé ]])</f>
        <v>0</v>
      </c>
      <c r="DX211" s="57"/>
      <c r="DY211" s="57"/>
      <c r="DZ211" s="65"/>
      <c r="EA211" s="65"/>
      <c r="EB211" s="65"/>
      <c r="EC211" s="68">
        <f t="shared" si="145"/>
        <v>0</v>
      </c>
      <c r="ED211" s="69"/>
      <c r="EE211" s="69"/>
      <c r="EF211" s="69"/>
      <c r="EG211" s="69"/>
      <c r="EH211" s="69"/>
      <c r="EI211" s="84">
        <f>SUM(Tableau1[[#This Row],[Transports sur films]:[autres ]])</f>
        <v>0</v>
      </c>
      <c r="EJ211" s="132">
        <v>0</v>
      </c>
      <c r="EK211" s="132"/>
      <c r="EL211" s="68">
        <f t="shared" si="146"/>
        <v>0</v>
      </c>
      <c r="EM211" s="65"/>
      <c r="EN211" s="65">
        <v>0</v>
      </c>
      <c r="EO211" s="65"/>
      <c r="EP211" s="65"/>
      <c r="EQ211" s="65"/>
      <c r="ER211" s="65"/>
      <c r="ES211" s="65"/>
      <c r="ET211" s="68">
        <f t="shared" si="147"/>
        <v>0</v>
      </c>
      <c r="EU211" s="65"/>
      <c r="EV211" s="65"/>
      <c r="EW211" s="65"/>
      <c r="EX211" s="65"/>
      <c r="EY211" s="65"/>
      <c r="EZ211" s="68">
        <f t="shared" si="124"/>
        <v>0</v>
      </c>
      <c r="FA211" s="65"/>
      <c r="FB211" s="65"/>
      <c r="FC211" s="70">
        <f t="shared" si="123"/>
        <v>0</v>
      </c>
      <c r="FD211" s="65"/>
      <c r="FE211" s="71">
        <f t="shared" si="148"/>
        <v>0</v>
      </c>
      <c r="FF211" s="72">
        <f t="shared" si="149"/>
        <v>0</v>
      </c>
      <c r="FG211" s="65"/>
      <c r="FH211" s="65"/>
      <c r="FI211" s="65"/>
      <c r="FJ211" s="56">
        <f t="shared" si="150"/>
        <v>0</v>
      </c>
      <c r="FK211" s="65"/>
      <c r="FL211" s="65"/>
      <c r="FM211" s="65"/>
      <c r="FN211" s="65"/>
      <c r="FO211" s="67">
        <f t="shared" si="151"/>
        <v>0</v>
      </c>
      <c r="FP211" s="57"/>
      <c r="FQ211" s="73"/>
      <c r="FR211" s="73"/>
      <c r="FS211" s="71">
        <f t="shared" si="152"/>
        <v>0</v>
      </c>
      <c r="FT211" s="91"/>
      <c r="FU211" s="91"/>
      <c r="FV211" s="67">
        <f>SUM(Tableau1[[#This Row],[Droits d''auteurs SACEM + cotisations SACEM]:[Autres ou non préciés]])</f>
        <v>0</v>
      </c>
      <c r="FW211" s="75">
        <f t="shared" si="153"/>
        <v>0</v>
      </c>
      <c r="FX211" s="74">
        <v>0</v>
      </c>
      <c r="FY211" s="74"/>
      <c r="FZ211" s="74"/>
      <c r="GA211" s="74"/>
      <c r="GB211" s="71">
        <f t="shared" si="154"/>
        <v>0</v>
      </c>
      <c r="GC211" s="92"/>
      <c r="GD211" s="92"/>
      <c r="GE211" s="67">
        <f t="shared" si="155"/>
        <v>0</v>
      </c>
      <c r="GF211" s="66"/>
      <c r="GG211" s="66"/>
      <c r="GH211" s="66"/>
      <c r="GI211" s="66"/>
      <c r="GJ211" s="77"/>
    </row>
    <row r="212" spans="1:192" ht="18.600000000000001" customHeight="1" x14ac:dyDescent="0.25">
      <c r="A212" s="89"/>
      <c r="B212" s="17"/>
      <c r="C212" s="50"/>
      <c r="D212" s="140"/>
      <c r="E212" s="51"/>
      <c r="F212" s="139">
        <f t="shared" si="120"/>
        <v>1</v>
      </c>
      <c r="G212" s="49"/>
      <c r="H212" s="50"/>
      <c r="I212" s="122"/>
      <c r="J212" s="49"/>
      <c r="K212" s="50"/>
      <c r="L212" s="50"/>
      <c r="M212" s="90"/>
      <c r="N212" s="50"/>
      <c r="O212" s="50"/>
      <c r="P212" s="90"/>
      <c r="Q212" s="52">
        <f t="shared" si="125"/>
        <v>0</v>
      </c>
      <c r="R212" s="52">
        <f t="shared" si="126"/>
        <v>0</v>
      </c>
      <c r="S212" s="53">
        <f t="shared" si="127"/>
        <v>0</v>
      </c>
      <c r="T212" s="54">
        <f t="shared" si="128"/>
        <v>0</v>
      </c>
      <c r="U212" s="115">
        <f>SUM(Tableau1[[#This Row],[Vente confiserie]:[Vente boisson]])</f>
        <v>0</v>
      </c>
      <c r="V212" s="55"/>
      <c r="W212" s="55"/>
      <c r="X212" s="135">
        <f>SUM(Tableau1[[#This Row],[Vente lunette]:[Location lunette]])</f>
        <v>0</v>
      </c>
      <c r="Y212" s="55"/>
      <c r="Z212" s="55"/>
      <c r="AA212" s="55"/>
      <c r="AB212" s="55"/>
      <c r="AC212" s="56">
        <f t="shared" si="118"/>
        <v>0</v>
      </c>
      <c r="AD212" s="57"/>
      <c r="AE212" s="57"/>
      <c r="AF212" s="57"/>
      <c r="AG212" s="57"/>
      <c r="AH212" s="57"/>
      <c r="AI212" s="57"/>
      <c r="AJ212" s="118">
        <f>(Tableau1[[#This Row],[Recette guichet ]]*1.1275177)-Tableau1[[#This Row],[Recette guichet ]]</f>
        <v>0</v>
      </c>
      <c r="AK212" s="57"/>
      <c r="AL212" s="56">
        <f t="shared" si="119"/>
        <v>0</v>
      </c>
      <c r="AM212" s="58"/>
      <c r="AN212" s="58"/>
      <c r="AO212" s="58"/>
      <c r="AP212" s="115">
        <f t="shared" si="129"/>
        <v>0</v>
      </c>
      <c r="AQ212" s="69"/>
      <c r="AR212" s="69"/>
      <c r="AS212" s="69"/>
      <c r="AT212" s="69"/>
      <c r="AU212" s="59">
        <f t="shared" si="130"/>
        <v>0</v>
      </c>
      <c r="AV212" s="60">
        <f t="shared" si="131"/>
        <v>0</v>
      </c>
      <c r="AW212" s="58"/>
      <c r="AX212" s="58"/>
      <c r="AY212" s="58"/>
      <c r="AZ212" s="60">
        <f t="shared" si="121"/>
        <v>0</v>
      </c>
      <c r="BA212" s="58"/>
      <c r="BB212" s="58"/>
      <c r="BC212" s="58"/>
      <c r="BD212" s="60">
        <f>SUM(Tableau1[[#This Row],[ticket/carte/abonnement périmé]:[Autres ou non précisé 5]])</f>
        <v>0</v>
      </c>
      <c r="BE212" s="58"/>
      <c r="BF212" s="58"/>
      <c r="BG212" s="58"/>
      <c r="BH212" s="61">
        <f t="shared" si="132"/>
        <v>0</v>
      </c>
      <c r="BI212" s="120"/>
      <c r="BJ212" s="120"/>
      <c r="BK212" s="62">
        <f t="shared" si="133"/>
        <v>0</v>
      </c>
      <c r="BL212" s="120"/>
      <c r="BM212" s="120"/>
      <c r="BN212" s="120"/>
      <c r="BO212" s="120"/>
      <c r="BP212" s="120"/>
      <c r="BQ212" s="63"/>
      <c r="BR212" s="52">
        <f t="shared" si="134"/>
        <v>0</v>
      </c>
      <c r="BS212" s="52">
        <f t="shared" si="135"/>
        <v>0</v>
      </c>
      <c r="BT212" s="61">
        <f t="shared" si="136"/>
        <v>0</v>
      </c>
      <c r="BU212" s="64">
        <f t="shared" si="137"/>
        <v>0</v>
      </c>
      <c r="BV212" s="119">
        <f>SUM(Tableau1[[#This Row],[Achats confiserie]:[Achats boisson]])</f>
        <v>0</v>
      </c>
      <c r="BW212" s="58"/>
      <c r="BX212" s="69"/>
      <c r="BY212" s="58"/>
      <c r="BZ212" s="56">
        <f t="shared" si="138"/>
        <v>0</v>
      </c>
      <c r="CA212" s="66"/>
      <c r="CB212" s="66"/>
      <c r="CC212" s="56">
        <f t="shared" si="139"/>
        <v>0</v>
      </c>
      <c r="CD212" s="55"/>
      <c r="CE212" s="65"/>
      <c r="CF212" s="55"/>
      <c r="CG212" s="55"/>
      <c r="CH212" s="67">
        <f t="shared" si="140"/>
        <v>0</v>
      </c>
      <c r="CI212" s="68">
        <f t="shared" si="156"/>
        <v>0</v>
      </c>
      <c r="CJ212" s="55"/>
      <c r="CK212" s="55"/>
      <c r="CL212" s="55"/>
      <c r="CM212" s="55"/>
      <c r="CN212" s="55"/>
      <c r="CO212" s="68">
        <f t="shared" si="141"/>
        <v>0</v>
      </c>
      <c r="CP212" s="75">
        <f>SUM(Tableau1[[#This Row],[Fourniture eau]:[Energie (non précisé)]])</f>
        <v>0</v>
      </c>
      <c r="CQ212" s="55"/>
      <c r="CR212" s="55"/>
      <c r="CS212" s="55"/>
      <c r="CT212" s="55"/>
      <c r="CU212" s="55"/>
      <c r="CV212" s="55">
        <v>0</v>
      </c>
      <c r="CW212" s="55"/>
      <c r="CX212" s="68">
        <f>SUM(Tableau1[[#This Row],[Sous-traitance]:[Autres ou non précisé 12]])</f>
        <v>0</v>
      </c>
      <c r="CY212" s="65"/>
      <c r="CZ212" s="65"/>
      <c r="DA212" s="65"/>
      <c r="DB212" s="65"/>
      <c r="DC212" s="55"/>
      <c r="DD212" s="68">
        <f t="shared" si="122"/>
        <v>0</v>
      </c>
      <c r="DE212" s="55"/>
      <c r="DF212" s="65"/>
      <c r="DG212" s="65"/>
      <c r="DH212" s="65"/>
      <c r="DI212" s="68">
        <f>SUM(Tableau1[[#This Row],[Entretien et réparation matériel de projection]:[Autres ou non précisé 14]])</f>
        <v>0</v>
      </c>
      <c r="DJ212" s="58"/>
      <c r="DK212" s="58"/>
      <c r="DL212" s="69"/>
      <c r="DM212" s="68">
        <f t="shared" si="142"/>
        <v>0</v>
      </c>
      <c r="DN212" s="58"/>
      <c r="DO212" s="58"/>
      <c r="DP212" s="68">
        <f t="shared" si="143"/>
        <v>0</v>
      </c>
      <c r="DQ212" s="65"/>
      <c r="DR212" s="65"/>
      <c r="DS212" s="68">
        <f t="shared" si="144"/>
        <v>0</v>
      </c>
      <c r="DT212" s="65"/>
      <c r="DU212" s="65"/>
      <c r="DV212" s="65"/>
      <c r="DW212" s="68">
        <f>SUM(Tableau1[[#This Row],[Comission et courtage sur achats]:[Autres ou honoraires
 non précisé ]])</f>
        <v>0</v>
      </c>
      <c r="DX212" s="57"/>
      <c r="DY212" s="57"/>
      <c r="DZ212" s="65"/>
      <c r="EA212" s="65"/>
      <c r="EB212" s="65"/>
      <c r="EC212" s="68">
        <f t="shared" si="145"/>
        <v>0</v>
      </c>
      <c r="ED212" s="69"/>
      <c r="EE212" s="69"/>
      <c r="EF212" s="69"/>
      <c r="EG212" s="69"/>
      <c r="EH212" s="69"/>
      <c r="EI212" s="84">
        <f>SUM(Tableau1[[#This Row],[Transports sur films]:[autres ]])</f>
        <v>0</v>
      </c>
      <c r="EJ212" s="132">
        <v>0</v>
      </c>
      <c r="EK212" s="132"/>
      <c r="EL212" s="68">
        <f t="shared" si="146"/>
        <v>0</v>
      </c>
      <c r="EM212" s="65"/>
      <c r="EN212" s="65">
        <v>0</v>
      </c>
      <c r="EO212" s="65"/>
      <c r="EP212" s="65"/>
      <c r="EQ212" s="65"/>
      <c r="ER212" s="65"/>
      <c r="ES212" s="65"/>
      <c r="ET212" s="68">
        <f t="shared" si="147"/>
        <v>0</v>
      </c>
      <c r="EU212" s="65"/>
      <c r="EV212" s="65"/>
      <c r="EW212" s="65"/>
      <c r="EX212" s="65"/>
      <c r="EY212" s="65"/>
      <c r="EZ212" s="68">
        <f t="shared" si="124"/>
        <v>0</v>
      </c>
      <c r="FA212" s="65"/>
      <c r="FB212" s="65"/>
      <c r="FC212" s="70">
        <f t="shared" si="123"/>
        <v>0</v>
      </c>
      <c r="FD212" s="65"/>
      <c r="FE212" s="71">
        <f t="shared" si="148"/>
        <v>0</v>
      </c>
      <c r="FF212" s="72">
        <f t="shared" si="149"/>
        <v>0</v>
      </c>
      <c r="FG212" s="65"/>
      <c r="FH212" s="65"/>
      <c r="FI212" s="65"/>
      <c r="FJ212" s="56">
        <f t="shared" si="150"/>
        <v>0</v>
      </c>
      <c r="FK212" s="65"/>
      <c r="FL212" s="65"/>
      <c r="FM212" s="65"/>
      <c r="FN212" s="65"/>
      <c r="FO212" s="67">
        <f t="shared" si="151"/>
        <v>0</v>
      </c>
      <c r="FP212" s="57"/>
      <c r="FQ212" s="73"/>
      <c r="FR212" s="73"/>
      <c r="FS212" s="71">
        <f t="shared" si="152"/>
        <v>0</v>
      </c>
      <c r="FT212" s="91"/>
      <c r="FU212" s="91"/>
      <c r="FV212" s="67">
        <f>SUM(Tableau1[[#This Row],[Droits d''auteurs SACEM + cotisations SACEM]:[Autres ou non préciés]])</f>
        <v>0</v>
      </c>
      <c r="FW212" s="75">
        <f t="shared" si="153"/>
        <v>0</v>
      </c>
      <c r="FX212" s="74">
        <v>0</v>
      </c>
      <c r="FY212" s="74"/>
      <c r="FZ212" s="74"/>
      <c r="GA212" s="74"/>
      <c r="GB212" s="71">
        <f t="shared" si="154"/>
        <v>0</v>
      </c>
      <c r="GC212" s="92"/>
      <c r="GD212" s="92"/>
      <c r="GE212" s="67">
        <f t="shared" si="155"/>
        <v>0</v>
      </c>
      <c r="GF212" s="66"/>
      <c r="GG212" s="66"/>
      <c r="GH212" s="66"/>
      <c r="GI212" s="66"/>
      <c r="GJ212" s="77"/>
    </row>
    <row r="213" spans="1:192" ht="18.600000000000001" customHeight="1" x14ac:dyDescent="0.25">
      <c r="A213" s="89"/>
      <c r="B213" s="17"/>
      <c r="C213" s="50"/>
      <c r="D213" s="140"/>
      <c r="E213" s="51"/>
      <c r="F213" s="139">
        <f t="shared" si="120"/>
        <v>1</v>
      </c>
      <c r="G213" s="49"/>
      <c r="H213" s="50"/>
      <c r="I213" s="122"/>
      <c r="J213" s="49"/>
      <c r="K213" s="50"/>
      <c r="L213" s="50"/>
      <c r="M213" s="90"/>
      <c r="N213" s="50"/>
      <c r="O213" s="50"/>
      <c r="P213" s="90"/>
      <c r="Q213" s="52">
        <f t="shared" si="125"/>
        <v>0</v>
      </c>
      <c r="R213" s="52">
        <f t="shared" si="126"/>
        <v>0</v>
      </c>
      <c r="S213" s="53">
        <f t="shared" si="127"/>
        <v>0</v>
      </c>
      <c r="T213" s="54">
        <f t="shared" si="128"/>
        <v>0</v>
      </c>
      <c r="U213" s="115">
        <f>SUM(Tableau1[[#This Row],[Vente confiserie]:[Vente boisson]])</f>
        <v>0</v>
      </c>
      <c r="V213" s="55"/>
      <c r="W213" s="55"/>
      <c r="X213" s="135">
        <f>SUM(Tableau1[[#This Row],[Vente lunette]:[Location lunette]])</f>
        <v>0</v>
      </c>
      <c r="Y213" s="55"/>
      <c r="Z213" s="55"/>
      <c r="AA213" s="55"/>
      <c r="AB213" s="55"/>
      <c r="AC213" s="56">
        <f t="shared" ref="AC213:AC276" si="157">SUM(AD213:AI213,AK213)</f>
        <v>0</v>
      </c>
      <c r="AD213" s="57"/>
      <c r="AE213" s="57"/>
      <c r="AF213" s="57"/>
      <c r="AG213" s="57"/>
      <c r="AH213" s="57"/>
      <c r="AI213" s="57"/>
      <c r="AJ213" s="118">
        <f>(Tableau1[[#This Row],[Recette guichet ]]*1.1275177)-Tableau1[[#This Row],[Recette guichet ]]</f>
        <v>0</v>
      </c>
      <c r="AK213" s="57"/>
      <c r="AL213" s="56">
        <f t="shared" si="119"/>
        <v>0</v>
      </c>
      <c r="AM213" s="58"/>
      <c r="AN213" s="58"/>
      <c r="AO213" s="58"/>
      <c r="AP213" s="115">
        <f t="shared" si="129"/>
        <v>0</v>
      </c>
      <c r="AQ213" s="69"/>
      <c r="AR213" s="69"/>
      <c r="AS213" s="69"/>
      <c r="AT213" s="69"/>
      <c r="AU213" s="59">
        <f t="shared" si="130"/>
        <v>0</v>
      </c>
      <c r="AV213" s="60">
        <f t="shared" si="131"/>
        <v>0</v>
      </c>
      <c r="AW213" s="58"/>
      <c r="AX213" s="58"/>
      <c r="AY213" s="58"/>
      <c r="AZ213" s="60">
        <f t="shared" si="121"/>
        <v>0</v>
      </c>
      <c r="BA213" s="58"/>
      <c r="BB213" s="58"/>
      <c r="BC213" s="58"/>
      <c r="BD213" s="60">
        <f>SUM(Tableau1[[#This Row],[ticket/carte/abonnement périmé]:[Autres ou non précisé 5]])</f>
        <v>0</v>
      </c>
      <c r="BE213" s="58"/>
      <c r="BF213" s="58"/>
      <c r="BG213" s="58"/>
      <c r="BH213" s="61">
        <f t="shared" si="132"/>
        <v>0</v>
      </c>
      <c r="BI213" s="120"/>
      <c r="BJ213" s="120"/>
      <c r="BK213" s="62">
        <f t="shared" si="133"/>
        <v>0</v>
      </c>
      <c r="BL213" s="120"/>
      <c r="BM213" s="120"/>
      <c r="BN213" s="120"/>
      <c r="BO213" s="120"/>
      <c r="BP213" s="120"/>
      <c r="BQ213" s="63"/>
      <c r="BR213" s="52">
        <f t="shared" si="134"/>
        <v>0</v>
      </c>
      <c r="BS213" s="52">
        <f t="shared" si="135"/>
        <v>0</v>
      </c>
      <c r="BT213" s="61">
        <f t="shared" si="136"/>
        <v>0</v>
      </c>
      <c r="BU213" s="64">
        <f t="shared" si="137"/>
        <v>0</v>
      </c>
      <c r="BV213" s="119">
        <f>SUM(Tableau1[[#This Row],[Achats confiserie]:[Achats boisson]])</f>
        <v>0</v>
      </c>
      <c r="BW213" s="58"/>
      <c r="BX213" s="69"/>
      <c r="BY213" s="58"/>
      <c r="BZ213" s="56">
        <f t="shared" si="138"/>
        <v>0</v>
      </c>
      <c r="CA213" s="66"/>
      <c r="CB213" s="66"/>
      <c r="CC213" s="56">
        <f t="shared" si="139"/>
        <v>0</v>
      </c>
      <c r="CD213" s="55"/>
      <c r="CE213" s="65"/>
      <c r="CF213" s="55"/>
      <c r="CG213" s="55"/>
      <c r="CH213" s="67">
        <f t="shared" si="140"/>
        <v>0</v>
      </c>
      <c r="CI213" s="68">
        <f t="shared" si="156"/>
        <v>0</v>
      </c>
      <c r="CJ213" s="55"/>
      <c r="CK213" s="55"/>
      <c r="CL213" s="55"/>
      <c r="CM213" s="55"/>
      <c r="CN213" s="55"/>
      <c r="CO213" s="68">
        <f t="shared" si="141"/>
        <v>0</v>
      </c>
      <c r="CP213" s="75">
        <f>SUM(Tableau1[[#This Row],[Fourniture eau]:[Energie (non précisé)]])</f>
        <v>0</v>
      </c>
      <c r="CQ213" s="55"/>
      <c r="CR213" s="55"/>
      <c r="CS213" s="55"/>
      <c r="CT213" s="55"/>
      <c r="CU213" s="55"/>
      <c r="CV213" s="55">
        <v>0</v>
      </c>
      <c r="CW213" s="55"/>
      <c r="CX213" s="68">
        <f>SUM(Tableau1[[#This Row],[Sous-traitance]:[Autres ou non précisé 12]])</f>
        <v>0</v>
      </c>
      <c r="CY213" s="65"/>
      <c r="CZ213" s="65"/>
      <c r="DA213" s="65"/>
      <c r="DB213" s="65"/>
      <c r="DC213" s="55"/>
      <c r="DD213" s="68">
        <f t="shared" si="122"/>
        <v>0</v>
      </c>
      <c r="DE213" s="55"/>
      <c r="DF213" s="65"/>
      <c r="DG213" s="65"/>
      <c r="DH213" s="65"/>
      <c r="DI213" s="68">
        <f>SUM(Tableau1[[#This Row],[Entretien et réparation matériel de projection]:[Autres ou non précisé 14]])</f>
        <v>0</v>
      </c>
      <c r="DJ213" s="58"/>
      <c r="DK213" s="58"/>
      <c r="DL213" s="69"/>
      <c r="DM213" s="68">
        <f t="shared" si="142"/>
        <v>0</v>
      </c>
      <c r="DN213" s="58"/>
      <c r="DO213" s="58"/>
      <c r="DP213" s="68">
        <f t="shared" si="143"/>
        <v>0</v>
      </c>
      <c r="DQ213" s="65"/>
      <c r="DR213" s="65"/>
      <c r="DS213" s="68">
        <f t="shared" si="144"/>
        <v>0</v>
      </c>
      <c r="DT213" s="65"/>
      <c r="DU213" s="65"/>
      <c r="DV213" s="65"/>
      <c r="DW213" s="68">
        <f>SUM(Tableau1[[#This Row],[Comission et courtage sur achats]:[Autres ou honoraires
 non précisé ]])</f>
        <v>0</v>
      </c>
      <c r="DX213" s="57"/>
      <c r="DY213" s="57"/>
      <c r="DZ213" s="65"/>
      <c r="EA213" s="65"/>
      <c r="EB213" s="65"/>
      <c r="EC213" s="68">
        <f t="shared" si="145"/>
        <v>0</v>
      </c>
      <c r="ED213" s="69"/>
      <c r="EE213" s="69"/>
      <c r="EF213" s="69"/>
      <c r="EG213" s="69"/>
      <c r="EH213" s="69"/>
      <c r="EI213" s="84">
        <f>SUM(Tableau1[[#This Row],[Transports sur films]:[autres ]])</f>
        <v>0</v>
      </c>
      <c r="EJ213" s="132">
        <v>0</v>
      </c>
      <c r="EK213" s="132"/>
      <c r="EL213" s="68">
        <f t="shared" si="146"/>
        <v>0</v>
      </c>
      <c r="EM213" s="65"/>
      <c r="EN213" s="65">
        <v>0</v>
      </c>
      <c r="EO213" s="65"/>
      <c r="EP213" s="65"/>
      <c r="EQ213" s="65"/>
      <c r="ER213" s="65"/>
      <c r="ES213" s="65"/>
      <c r="ET213" s="68">
        <f t="shared" si="147"/>
        <v>0</v>
      </c>
      <c r="EU213" s="65"/>
      <c r="EV213" s="65"/>
      <c r="EW213" s="65"/>
      <c r="EX213" s="65"/>
      <c r="EY213" s="65"/>
      <c r="EZ213" s="68">
        <f t="shared" si="124"/>
        <v>0</v>
      </c>
      <c r="FA213" s="65"/>
      <c r="FB213" s="65"/>
      <c r="FC213" s="70">
        <f t="shared" si="123"/>
        <v>0</v>
      </c>
      <c r="FD213" s="65"/>
      <c r="FE213" s="71">
        <f t="shared" si="148"/>
        <v>0</v>
      </c>
      <c r="FF213" s="72">
        <f t="shared" si="149"/>
        <v>0</v>
      </c>
      <c r="FG213" s="65"/>
      <c r="FH213" s="65"/>
      <c r="FI213" s="65"/>
      <c r="FJ213" s="56">
        <f t="shared" si="150"/>
        <v>0</v>
      </c>
      <c r="FK213" s="65"/>
      <c r="FL213" s="65"/>
      <c r="FM213" s="65"/>
      <c r="FN213" s="65"/>
      <c r="FO213" s="67">
        <f t="shared" si="151"/>
        <v>0</v>
      </c>
      <c r="FP213" s="57"/>
      <c r="FQ213" s="73"/>
      <c r="FR213" s="73"/>
      <c r="FS213" s="71">
        <f t="shared" si="152"/>
        <v>0</v>
      </c>
      <c r="FT213" s="91"/>
      <c r="FU213" s="91"/>
      <c r="FV213" s="67">
        <f>SUM(Tableau1[[#This Row],[Droits d''auteurs SACEM + cotisations SACEM]:[Autres ou non préciés]])</f>
        <v>0</v>
      </c>
      <c r="FW213" s="75">
        <f t="shared" si="153"/>
        <v>0</v>
      </c>
      <c r="FX213" s="74">
        <v>0</v>
      </c>
      <c r="FY213" s="74"/>
      <c r="FZ213" s="74"/>
      <c r="GA213" s="74"/>
      <c r="GB213" s="71">
        <f t="shared" si="154"/>
        <v>0</v>
      </c>
      <c r="GC213" s="92"/>
      <c r="GD213" s="92"/>
      <c r="GE213" s="67">
        <f t="shared" si="155"/>
        <v>0</v>
      </c>
      <c r="GF213" s="66"/>
      <c r="GG213" s="66"/>
      <c r="GH213" s="66"/>
      <c r="GI213" s="66"/>
      <c r="GJ213" s="77"/>
    </row>
    <row r="214" spans="1:192" ht="18.600000000000001" customHeight="1" x14ac:dyDescent="0.25">
      <c r="A214" s="89"/>
      <c r="B214" s="17"/>
      <c r="C214" s="50"/>
      <c r="D214" s="140"/>
      <c r="E214" s="51"/>
      <c r="F214" s="139">
        <f t="shared" si="120"/>
        <v>1</v>
      </c>
      <c r="G214" s="49"/>
      <c r="H214" s="50"/>
      <c r="I214" s="122"/>
      <c r="J214" s="49"/>
      <c r="K214" s="50"/>
      <c r="L214" s="50"/>
      <c r="M214" s="90"/>
      <c r="N214" s="50"/>
      <c r="O214" s="50"/>
      <c r="P214" s="90"/>
      <c r="Q214" s="52">
        <f t="shared" si="125"/>
        <v>0</v>
      </c>
      <c r="R214" s="52">
        <f t="shared" si="126"/>
        <v>0</v>
      </c>
      <c r="S214" s="53">
        <f t="shared" si="127"/>
        <v>0</v>
      </c>
      <c r="T214" s="54">
        <f t="shared" si="128"/>
        <v>0</v>
      </c>
      <c r="U214" s="115">
        <f>SUM(Tableau1[[#This Row],[Vente confiserie]:[Vente boisson]])</f>
        <v>0</v>
      </c>
      <c r="V214" s="55"/>
      <c r="W214" s="55"/>
      <c r="X214" s="135">
        <f>SUM(Tableau1[[#This Row],[Vente lunette]:[Location lunette]])</f>
        <v>0</v>
      </c>
      <c r="Y214" s="55"/>
      <c r="Z214" s="55"/>
      <c r="AA214" s="55"/>
      <c r="AB214" s="55"/>
      <c r="AC214" s="56">
        <f t="shared" si="157"/>
        <v>0</v>
      </c>
      <c r="AD214" s="57"/>
      <c r="AE214" s="57"/>
      <c r="AF214" s="57"/>
      <c r="AG214" s="57"/>
      <c r="AH214" s="57"/>
      <c r="AI214" s="57"/>
      <c r="AJ214" s="118">
        <f>(Tableau1[[#This Row],[Recette guichet ]]*1.1275177)-Tableau1[[#This Row],[Recette guichet ]]</f>
        <v>0</v>
      </c>
      <c r="AK214" s="57"/>
      <c r="AL214" s="56">
        <f t="shared" si="119"/>
        <v>0</v>
      </c>
      <c r="AM214" s="58"/>
      <c r="AN214" s="58"/>
      <c r="AO214" s="58"/>
      <c r="AP214" s="115">
        <f t="shared" si="129"/>
        <v>0</v>
      </c>
      <c r="AQ214" s="69"/>
      <c r="AR214" s="69"/>
      <c r="AS214" s="69"/>
      <c r="AT214" s="69"/>
      <c r="AU214" s="59">
        <f t="shared" si="130"/>
        <v>0</v>
      </c>
      <c r="AV214" s="60">
        <f t="shared" si="131"/>
        <v>0</v>
      </c>
      <c r="AW214" s="58"/>
      <c r="AX214" s="58"/>
      <c r="AY214" s="58"/>
      <c r="AZ214" s="60">
        <f t="shared" si="121"/>
        <v>0</v>
      </c>
      <c r="BA214" s="58"/>
      <c r="BB214" s="58"/>
      <c r="BC214" s="58"/>
      <c r="BD214" s="60">
        <f>SUM(Tableau1[[#This Row],[ticket/carte/abonnement périmé]:[Autres ou non précisé 5]])</f>
        <v>0</v>
      </c>
      <c r="BE214" s="58"/>
      <c r="BF214" s="58"/>
      <c r="BG214" s="58"/>
      <c r="BH214" s="61">
        <f t="shared" si="132"/>
        <v>0</v>
      </c>
      <c r="BI214" s="120"/>
      <c r="BJ214" s="120"/>
      <c r="BK214" s="62">
        <f t="shared" si="133"/>
        <v>0</v>
      </c>
      <c r="BL214" s="120"/>
      <c r="BM214" s="120"/>
      <c r="BN214" s="120"/>
      <c r="BO214" s="120"/>
      <c r="BP214" s="120"/>
      <c r="BQ214" s="63"/>
      <c r="BR214" s="52">
        <f t="shared" si="134"/>
        <v>0</v>
      </c>
      <c r="BS214" s="52">
        <f t="shared" si="135"/>
        <v>0</v>
      </c>
      <c r="BT214" s="61">
        <f t="shared" si="136"/>
        <v>0</v>
      </c>
      <c r="BU214" s="64">
        <f t="shared" si="137"/>
        <v>0</v>
      </c>
      <c r="BV214" s="119">
        <f>SUM(Tableau1[[#This Row],[Achats confiserie]:[Achats boisson]])</f>
        <v>0</v>
      </c>
      <c r="BW214" s="58"/>
      <c r="BX214" s="69"/>
      <c r="BY214" s="58"/>
      <c r="BZ214" s="56">
        <f t="shared" si="138"/>
        <v>0</v>
      </c>
      <c r="CA214" s="66"/>
      <c r="CB214" s="66"/>
      <c r="CC214" s="56">
        <f t="shared" si="139"/>
        <v>0</v>
      </c>
      <c r="CD214" s="55"/>
      <c r="CE214" s="65"/>
      <c r="CF214" s="55"/>
      <c r="CG214" s="55"/>
      <c r="CH214" s="67">
        <f t="shared" si="140"/>
        <v>0</v>
      </c>
      <c r="CI214" s="68">
        <f t="shared" si="156"/>
        <v>0</v>
      </c>
      <c r="CJ214" s="55"/>
      <c r="CK214" s="55"/>
      <c r="CL214" s="55"/>
      <c r="CM214" s="55"/>
      <c r="CN214" s="55"/>
      <c r="CO214" s="68">
        <f t="shared" si="141"/>
        <v>0</v>
      </c>
      <c r="CP214" s="75">
        <f>SUM(Tableau1[[#This Row],[Fourniture eau]:[Energie (non précisé)]])</f>
        <v>0</v>
      </c>
      <c r="CQ214" s="55"/>
      <c r="CR214" s="55"/>
      <c r="CS214" s="55"/>
      <c r="CT214" s="55"/>
      <c r="CU214" s="55"/>
      <c r="CV214" s="55">
        <v>0</v>
      </c>
      <c r="CW214" s="55"/>
      <c r="CX214" s="68">
        <f>SUM(Tableau1[[#This Row],[Sous-traitance]:[Autres ou non précisé 12]])</f>
        <v>0</v>
      </c>
      <c r="CY214" s="65"/>
      <c r="CZ214" s="65"/>
      <c r="DA214" s="65"/>
      <c r="DB214" s="65"/>
      <c r="DC214" s="55"/>
      <c r="DD214" s="68">
        <f t="shared" si="122"/>
        <v>0</v>
      </c>
      <c r="DE214" s="55"/>
      <c r="DF214" s="65"/>
      <c r="DG214" s="65"/>
      <c r="DH214" s="65"/>
      <c r="DI214" s="68">
        <f>SUM(Tableau1[[#This Row],[Entretien et réparation matériel de projection]:[Autres ou non précisé 14]])</f>
        <v>0</v>
      </c>
      <c r="DJ214" s="58"/>
      <c r="DK214" s="58"/>
      <c r="DL214" s="69"/>
      <c r="DM214" s="68">
        <f t="shared" si="142"/>
        <v>0</v>
      </c>
      <c r="DN214" s="58"/>
      <c r="DO214" s="58"/>
      <c r="DP214" s="68">
        <f t="shared" si="143"/>
        <v>0</v>
      </c>
      <c r="DQ214" s="65"/>
      <c r="DR214" s="65"/>
      <c r="DS214" s="68">
        <f t="shared" si="144"/>
        <v>0</v>
      </c>
      <c r="DT214" s="65"/>
      <c r="DU214" s="65"/>
      <c r="DV214" s="65"/>
      <c r="DW214" s="68">
        <f>SUM(Tableau1[[#This Row],[Comission et courtage sur achats]:[Autres ou honoraires
 non précisé ]])</f>
        <v>0</v>
      </c>
      <c r="DX214" s="57"/>
      <c r="DY214" s="57"/>
      <c r="DZ214" s="65"/>
      <c r="EA214" s="65"/>
      <c r="EB214" s="65"/>
      <c r="EC214" s="68">
        <f t="shared" si="145"/>
        <v>0</v>
      </c>
      <c r="ED214" s="69"/>
      <c r="EE214" s="69"/>
      <c r="EF214" s="69"/>
      <c r="EG214" s="69"/>
      <c r="EH214" s="69"/>
      <c r="EI214" s="84">
        <f>SUM(Tableau1[[#This Row],[Transports sur films]:[autres ]])</f>
        <v>0</v>
      </c>
      <c r="EJ214" s="132">
        <v>0</v>
      </c>
      <c r="EK214" s="132"/>
      <c r="EL214" s="68">
        <f t="shared" si="146"/>
        <v>0</v>
      </c>
      <c r="EM214" s="65"/>
      <c r="EN214" s="65">
        <v>0</v>
      </c>
      <c r="EO214" s="65"/>
      <c r="EP214" s="65"/>
      <c r="EQ214" s="65"/>
      <c r="ER214" s="65"/>
      <c r="ES214" s="65"/>
      <c r="ET214" s="68">
        <f t="shared" si="147"/>
        <v>0</v>
      </c>
      <c r="EU214" s="65"/>
      <c r="EV214" s="65"/>
      <c r="EW214" s="65"/>
      <c r="EX214" s="65"/>
      <c r="EY214" s="65"/>
      <c r="EZ214" s="68">
        <f t="shared" si="124"/>
        <v>0</v>
      </c>
      <c r="FA214" s="65"/>
      <c r="FB214" s="65"/>
      <c r="FC214" s="70">
        <f t="shared" si="123"/>
        <v>0</v>
      </c>
      <c r="FD214" s="65"/>
      <c r="FE214" s="71">
        <f t="shared" si="148"/>
        <v>0</v>
      </c>
      <c r="FF214" s="72">
        <f t="shared" si="149"/>
        <v>0</v>
      </c>
      <c r="FG214" s="65"/>
      <c r="FH214" s="65"/>
      <c r="FI214" s="65"/>
      <c r="FJ214" s="56">
        <f t="shared" si="150"/>
        <v>0</v>
      </c>
      <c r="FK214" s="65"/>
      <c r="FL214" s="65"/>
      <c r="FM214" s="65"/>
      <c r="FN214" s="65"/>
      <c r="FO214" s="67">
        <f t="shared" si="151"/>
        <v>0</v>
      </c>
      <c r="FP214" s="57"/>
      <c r="FQ214" s="73"/>
      <c r="FR214" s="73"/>
      <c r="FS214" s="71">
        <f t="shared" si="152"/>
        <v>0</v>
      </c>
      <c r="FT214" s="91"/>
      <c r="FU214" s="91"/>
      <c r="FV214" s="67">
        <f>SUM(Tableau1[[#This Row],[Droits d''auteurs SACEM + cotisations SACEM]:[Autres ou non préciés]])</f>
        <v>0</v>
      </c>
      <c r="FW214" s="75">
        <f t="shared" si="153"/>
        <v>0</v>
      </c>
      <c r="FX214" s="74">
        <v>0</v>
      </c>
      <c r="FY214" s="74"/>
      <c r="FZ214" s="74"/>
      <c r="GA214" s="74"/>
      <c r="GB214" s="71">
        <f t="shared" si="154"/>
        <v>0</v>
      </c>
      <c r="GC214" s="92"/>
      <c r="GD214" s="92"/>
      <c r="GE214" s="67">
        <f t="shared" si="155"/>
        <v>0</v>
      </c>
      <c r="GF214" s="66"/>
      <c r="GG214" s="66"/>
      <c r="GH214" s="66"/>
      <c r="GI214" s="66"/>
      <c r="GJ214" s="77"/>
    </row>
    <row r="215" spans="1:192" ht="18.600000000000001" customHeight="1" x14ac:dyDescent="0.25">
      <c r="A215" s="89"/>
      <c r="B215" s="17"/>
      <c r="C215" s="50"/>
      <c r="D215" s="140"/>
      <c r="E215" s="51"/>
      <c r="F215" s="139">
        <f t="shared" si="120"/>
        <v>1</v>
      </c>
      <c r="G215" s="49"/>
      <c r="H215" s="50"/>
      <c r="I215" s="122"/>
      <c r="J215" s="49"/>
      <c r="K215" s="50"/>
      <c r="L215" s="50"/>
      <c r="M215" s="90"/>
      <c r="N215" s="50"/>
      <c r="O215" s="50"/>
      <c r="P215" s="90"/>
      <c r="Q215" s="52">
        <f t="shared" si="125"/>
        <v>0</v>
      </c>
      <c r="R215" s="52">
        <f t="shared" si="126"/>
        <v>0</v>
      </c>
      <c r="S215" s="53">
        <f t="shared" si="127"/>
        <v>0</v>
      </c>
      <c r="T215" s="54">
        <f t="shared" si="128"/>
        <v>0</v>
      </c>
      <c r="U215" s="115">
        <f>SUM(Tableau1[[#This Row],[Vente confiserie]:[Vente boisson]])</f>
        <v>0</v>
      </c>
      <c r="V215" s="55"/>
      <c r="W215" s="55"/>
      <c r="X215" s="135">
        <f>SUM(Tableau1[[#This Row],[Vente lunette]:[Location lunette]])</f>
        <v>0</v>
      </c>
      <c r="Y215" s="55"/>
      <c r="Z215" s="55"/>
      <c r="AA215" s="55"/>
      <c r="AB215" s="55"/>
      <c r="AC215" s="56">
        <f t="shared" si="157"/>
        <v>0</v>
      </c>
      <c r="AD215" s="57"/>
      <c r="AE215" s="57"/>
      <c r="AF215" s="57"/>
      <c r="AG215" s="57"/>
      <c r="AH215" s="57"/>
      <c r="AI215" s="57"/>
      <c r="AJ215" s="118">
        <f>(Tableau1[[#This Row],[Recette guichet ]]*1.1275177)-Tableau1[[#This Row],[Recette guichet ]]</f>
        <v>0</v>
      </c>
      <c r="AK215" s="57"/>
      <c r="AL215" s="56">
        <f t="shared" ref="AL215:AL278" si="158">SUM(AM215:AO215,AQ215:AT215)</f>
        <v>0</v>
      </c>
      <c r="AM215" s="58"/>
      <c r="AN215" s="58"/>
      <c r="AO215" s="58"/>
      <c r="AP215" s="115">
        <f t="shared" si="129"/>
        <v>0</v>
      </c>
      <c r="AQ215" s="69"/>
      <c r="AR215" s="69"/>
      <c r="AS215" s="69"/>
      <c r="AT215" s="69"/>
      <c r="AU215" s="59">
        <f t="shared" si="130"/>
        <v>0</v>
      </c>
      <c r="AV215" s="60">
        <f t="shared" si="131"/>
        <v>0</v>
      </c>
      <c r="AW215" s="58"/>
      <c r="AX215" s="58"/>
      <c r="AY215" s="58"/>
      <c r="AZ215" s="60">
        <f t="shared" si="121"/>
        <v>0</v>
      </c>
      <c r="BA215" s="58"/>
      <c r="BB215" s="58"/>
      <c r="BC215" s="58"/>
      <c r="BD215" s="60">
        <f>SUM(Tableau1[[#This Row],[ticket/carte/abonnement périmé]:[Autres ou non précisé 5]])</f>
        <v>0</v>
      </c>
      <c r="BE215" s="58"/>
      <c r="BF215" s="58"/>
      <c r="BG215" s="58"/>
      <c r="BH215" s="61">
        <f t="shared" si="132"/>
        <v>0</v>
      </c>
      <c r="BI215" s="120"/>
      <c r="BJ215" s="120"/>
      <c r="BK215" s="62">
        <f t="shared" si="133"/>
        <v>0</v>
      </c>
      <c r="BL215" s="120"/>
      <c r="BM215" s="120"/>
      <c r="BN215" s="120"/>
      <c r="BO215" s="120"/>
      <c r="BP215" s="120"/>
      <c r="BQ215" s="63"/>
      <c r="BR215" s="52">
        <f t="shared" si="134"/>
        <v>0</v>
      </c>
      <c r="BS215" s="52">
        <f t="shared" si="135"/>
        <v>0</v>
      </c>
      <c r="BT215" s="61">
        <f t="shared" si="136"/>
        <v>0</v>
      </c>
      <c r="BU215" s="64">
        <f t="shared" si="137"/>
        <v>0</v>
      </c>
      <c r="BV215" s="119">
        <f>SUM(Tableau1[[#This Row],[Achats confiserie]:[Achats boisson]])</f>
        <v>0</v>
      </c>
      <c r="BW215" s="58"/>
      <c r="BX215" s="69"/>
      <c r="BY215" s="58"/>
      <c r="BZ215" s="56">
        <f t="shared" si="138"/>
        <v>0</v>
      </c>
      <c r="CA215" s="66"/>
      <c r="CB215" s="66"/>
      <c r="CC215" s="56">
        <f t="shared" si="139"/>
        <v>0</v>
      </c>
      <c r="CD215" s="55"/>
      <c r="CE215" s="65"/>
      <c r="CF215" s="55"/>
      <c r="CG215" s="55"/>
      <c r="CH215" s="67">
        <f t="shared" si="140"/>
        <v>0</v>
      </c>
      <c r="CI215" s="68">
        <f t="shared" si="156"/>
        <v>0</v>
      </c>
      <c r="CJ215" s="55"/>
      <c r="CK215" s="55"/>
      <c r="CL215" s="55"/>
      <c r="CM215" s="55"/>
      <c r="CN215" s="55"/>
      <c r="CO215" s="68">
        <f t="shared" si="141"/>
        <v>0</v>
      </c>
      <c r="CP215" s="75">
        <f>SUM(Tableau1[[#This Row],[Fourniture eau]:[Energie (non précisé)]])</f>
        <v>0</v>
      </c>
      <c r="CQ215" s="55"/>
      <c r="CR215" s="55"/>
      <c r="CS215" s="55"/>
      <c r="CT215" s="55"/>
      <c r="CU215" s="55"/>
      <c r="CV215" s="55">
        <v>0</v>
      </c>
      <c r="CW215" s="55"/>
      <c r="CX215" s="68">
        <f>SUM(Tableau1[[#This Row],[Sous-traitance]:[Autres ou non précisé 12]])</f>
        <v>0</v>
      </c>
      <c r="CY215" s="65"/>
      <c r="CZ215" s="65"/>
      <c r="DA215" s="65"/>
      <c r="DB215" s="65"/>
      <c r="DC215" s="55"/>
      <c r="DD215" s="68">
        <f t="shared" si="122"/>
        <v>0</v>
      </c>
      <c r="DE215" s="55"/>
      <c r="DF215" s="65"/>
      <c r="DG215" s="65"/>
      <c r="DH215" s="65"/>
      <c r="DI215" s="68">
        <f>SUM(Tableau1[[#This Row],[Entretien et réparation matériel de projection]:[Autres ou non précisé 14]])</f>
        <v>0</v>
      </c>
      <c r="DJ215" s="58"/>
      <c r="DK215" s="58"/>
      <c r="DL215" s="69"/>
      <c r="DM215" s="68">
        <f t="shared" si="142"/>
        <v>0</v>
      </c>
      <c r="DN215" s="58"/>
      <c r="DO215" s="58"/>
      <c r="DP215" s="68">
        <f t="shared" si="143"/>
        <v>0</v>
      </c>
      <c r="DQ215" s="65"/>
      <c r="DR215" s="65"/>
      <c r="DS215" s="68">
        <f t="shared" si="144"/>
        <v>0</v>
      </c>
      <c r="DT215" s="65"/>
      <c r="DU215" s="65"/>
      <c r="DV215" s="65"/>
      <c r="DW215" s="68">
        <f>SUM(Tableau1[[#This Row],[Comission et courtage sur achats]:[Autres ou honoraires
 non précisé ]])</f>
        <v>0</v>
      </c>
      <c r="DX215" s="57"/>
      <c r="DY215" s="57"/>
      <c r="DZ215" s="65"/>
      <c r="EA215" s="65"/>
      <c r="EB215" s="65"/>
      <c r="EC215" s="68">
        <f t="shared" si="145"/>
        <v>0</v>
      </c>
      <c r="ED215" s="69"/>
      <c r="EE215" s="69"/>
      <c r="EF215" s="69"/>
      <c r="EG215" s="69"/>
      <c r="EH215" s="69"/>
      <c r="EI215" s="84">
        <f>SUM(Tableau1[[#This Row],[Transports sur films]:[autres ]])</f>
        <v>0</v>
      </c>
      <c r="EJ215" s="132">
        <v>0</v>
      </c>
      <c r="EK215" s="132"/>
      <c r="EL215" s="68">
        <f t="shared" si="146"/>
        <v>0</v>
      </c>
      <c r="EM215" s="65"/>
      <c r="EN215" s="65">
        <v>0</v>
      </c>
      <c r="EO215" s="65"/>
      <c r="EP215" s="65"/>
      <c r="EQ215" s="65"/>
      <c r="ER215" s="65"/>
      <c r="ES215" s="65"/>
      <c r="ET215" s="68">
        <f t="shared" si="147"/>
        <v>0</v>
      </c>
      <c r="EU215" s="65"/>
      <c r="EV215" s="65"/>
      <c r="EW215" s="65"/>
      <c r="EX215" s="65"/>
      <c r="EY215" s="65"/>
      <c r="EZ215" s="68">
        <f t="shared" si="124"/>
        <v>0</v>
      </c>
      <c r="FA215" s="65"/>
      <c r="FB215" s="65"/>
      <c r="FC215" s="70">
        <f t="shared" si="123"/>
        <v>0</v>
      </c>
      <c r="FD215" s="65"/>
      <c r="FE215" s="71">
        <f t="shared" si="148"/>
        <v>0</v>
      </c>
      <c r="FF215" s="72">
        <f t="shared" si="149"/>
        <v>0</v>
      </c>
      <c r="FG215" s="65"/>
      <c r="FH215" s="65"/>
      <c r="FI215" s="65"/>
      <c r="FJ215" s="56">
        <f t="shared" si="150"/>
        <v>0</v>
      </c>
      <c r="FK215" s="65"/>
      <c r="FL215" s="65"/>
      <c r="FM215" s="65"/>
      <c r="FN215" s="65"/>
      <c r="FO215" s="67">
        <f t="shared" si="151"/>
        <v>0</v>
      </c>
      <c r="FP215" s="57"/>
      <c r="FQ215" s="73"/>
      <c r="FR215" s="73"/>
      <c r="FS215" s="71">
        <f t="shared" si="152"/>
        <v>0</v>
      </c>
      <c r="FT215" s="91"/>
      <c r="FU215" s="91"/>
      <c r="FV215" s="67">
        <f>SUM(Tableau1[[#This Row],[Droits d''auteurs SACEM + cotisations SACEM]:[Autres ou non préciés]])</f>
        <v>0</v>
      </c>
      <c r="FW215" s="75">
        <f t="shared" si="153"/>
        <v>0</v>
      </c>
      <c r="FX215" s="74">
        <v>0</v>
      </c>
      <c r="FY215" s="74"/>
      <c r="FZ215" s="74"/>
      <c r="GA215" s="74"/>
      <c r="GB215" s="71">
        <f t="shared" si="154"/>
        <v>0</v>
      </c>
      <c r="GC215" s="92"/>
      <c r="GD215" s="92"/>
      <c r="GE215" s="67">
        <f t="shared" si="155"/>
        <v>0</v>
      </c>
      <c r="GF215" s="66"/>
      <c r="GG215" s="66"/>
      <c r="GH215" s="66"/>
      <c r="GI215" s="66"/>
      <c r="GJ215" s="77"/>
    </row>
    <row r="216" spans="1:192" ht="18.600000000000001" customHeight="1" x14ac:dyDescent="0.25">
      <c r="A216" s="89"/>
      <c r="B216" s="17"/>
      <c r="C216" s="50"/>
      <c r="D216" s="140"/>
      <c r="E216" s="51"/>
      <c r="F216" s="139">
        <f t="shared" si="120"/>
        <v>1</v>
      </c>
      <c r="G216" s="49"/>
      <c r="H216" s="50"/>
      <c r="I216" s="122"/>
      <c r="J216" s="49"/>
      <c r="K216" s="50"/>
      <c r="L216" s="50"/>
      <c r="M216" s="90"/>
      <c r="N216" s="50"/>
      <c r="O216" s="50"/>
      <c r="P216" s="90"/>
      <c r="Q216" s="52">
        <f t="shared" si="125"/>
        <v>0</v>
      </c>
      <c r="R216" s="52">
        <f t="shared" si="126"/>
        <v>0</v>
      </c>
      <c r="S216" s="53">
        <f t="shared" si="127"/>
        <v>0</v>
      </c>
      <c r="T216" s="54">
        <f t="shared" si="128"/>
        <v>0</v>
      </c>
      <c r="U216" s="115">
        <f>SUM(Tableau1[[#This Row],[Vente confiserie]:[Vente boisson]])</f>
        <v>0</v>
      </c>
      <c r="V216" s="55"/>
      <c r="W216" s="55"/>
      <c r="X216" s="135">
        <f>SUM(Tableau1[[#This Row],[Vente lunette]:[Location lunette]])</f>
        <v>0</v>
      </c>
      <c r="Y216" s="55"/>
      <c r="Z216" s="55"/>
      <c r="AA216" s="55"/>
      <c r="AB216" s="55"/>
      <c r="AC216" s="56">
        <f t="shared" si="157"/>
        <v>0</v>
      </c>
      <c r="AD216" s="57"/>
      <c r="AE216" s="57"/>
      <c r="AF216" s="57"/>
      <c r="AG216" s="57"/>
      <c r="AH216" s="57"/>
      <c r="AI216" s="57"/>
      <c r="AJ216" s="118">
        <f>(Tableau1[[#This Row],[Recette guichet ]]*1.1275177)-Tableau1[[#This Row],[Recette guichet ]]</f>
        <v>0</v>
      </c>
      <c r="AK216" s="57"/>
      <c r="AL216" s="56">
        <f t="shared" si="158"/>
        <v>0</v>
      </c>
      <c r="AM216" s="58"/>
      <c r="AN216" s="58"/>
      <c r="AO216" s="58"/>
      <c r="AP216" s="115">
        <f t="shared" si="129"/>
        <v>0</v>
      </c>
      <c r="AQ216" s="69"/>
      <c r="AR216" s="69"/>
      <c r="AS216" s="69"/>
      <c r="AT216" s="69"/>
      <c r="AU216" s="59">
        <f t="shared" si="130"/>
        <v>0</v>
      </c>
      <c r="AV216" s="60">
        <f t="shared" si="131"/>
        <v>0</v>
      </c>
      <c r="AW216" s="58"/>
      <c r="AX216" s="58"/>
      <c r="AY216" s="58"/>
      <c r="AZ216" s="60">
        <f t="shared" si="121"/>
        <v>0</v>
      </c>
      <c r="BA216" s="58"/>
      <c r="BB216" s="58"/>
      <c r="BC216" s="58"/>
      <c r="BD216" s="60">
        <f>SUM(Tableau1[[#This Row],[ticket/carte/abonnement périmé]:[Autres ou non précisé 5]])</f>
        <v>0</v>
      </c>
      <c r="BE216" s="58"/>
      <c r="BF216" s="58"/>
      <c r="BG216" s="58"/>
      <c r="BH216" s="61">
        <f t="shared" si="132"/>
        <v>0</v>
      </c>
      <c r="BI216" s="120"/>
      <c r="BJ216" s="120"/>
      <c r="BK216" s="62">
        <f t="shared" si="133"/>
        <v>0</v>
      </c>
      <c r="BL216" s="120"/>
      <c r="BM216" s="120"/>
      <c r="BN216" s="120"/>
      <c r="BO216" s="120"/>
      <c r="BP216" s="120"/>
      <c r="BQ216" s="63"/>
      <c r="BR216" s="52">
        <f t="shared" si="134"/>
        <v>0</v>
      </c>
      <c r="BS216" s="52">
        <f t="shared" si="135"/>
        <v>0</v>
      </c>
      <c r="BT216" s="61">
        <f t="shared" si="136"/>
        <v>0</v>
      </c>
      <c r="BU216" s="64">
        <f t="shared" si="137"/>
        <v>0</v>
      </c>
      <c r="BV216" s="119">
        <f>SUM(Tableau1[[#This Row],[Achats confiserie]:[Achats boisson]])</f>
        <v>0</v>
      </c>
      <c r="BW216" s="58"/>
      <c r="BX216" s="69"/>
      <c r="BY216" s="58"/>
      <c r="BZ216" s="56">
        <f t="shared" si="138"/>
        <v>0</v>
      </c>
      <c r="CA216" s="66"/>
      <c r="CB216" s="66"/>
      <c r="CC216" s="56">
        <f t="shared" si="139"/>
        <v>0</v>
      </c>
      <c r="CD216" s="55"/>
      <c r="CE216" s="65"/>
      <c r="CF216" s="55"/>
      <c r="CG216" s="55"/>
      <c r="CH216" s="67">
        <f t="shared" si="140"/>
        <v>0</v>
      </c>
      <c r="CI216" s="68">
        <f t="shared" si="156"/>
        <v>0</v>
      </c>
      <c r="CJ216" s="55"/>
      <c r="CK216" s="55"/>
      <c r="CL216" s="55"/>
      <c r="CM216" s="55"/>
      <c r="CN216" s="55"/>
      <c r="CO216" s="68">
        <f t="shared" si="141"/>
        <v>0</v>
      </c>
      <c r="CP216" s="75">
        <f>SUM(Tableau1[[#This Row],[Fourniture eau]:[Energie (non précisé)]])</f>
        <v>0</v>
      </c>
      <c r="CQ216" s="55"/>
      <c r="CR216" s="55"/>
      <c r="CS216" s="55"/>
      <c r="CT216" s="55"/>
      <c r="CU216" s="55"/>
      <c r="CV216" s="55">
        <v>0</v>
      </c>
      <c r="CW216" s="55"/>
      <c r="CX216" s="68">
        <f>SUM(Tableau1[[#This Row],[Sous-traitance]:[Autres ou non précisé 12]])</f>
        <v>0</v>
      </c>
      <c r="CY216" s="65"/>
      <c r="CZ216" s="65"/>
      <c r="DA216" s="65"/>
      <c r="DB216" s="65"/>
      <c r="DC216" s="55"/>
      <c r="DD216" s="68">
        <f t="shared" si="122"/>
        <v>0</v>
      </c>
      <c r="DE216" s="55"/>
      <c r="DF216" s="65"/>
      <c r="DG216" s="65"/>
      <c r="DH216" s="65"/>
      <c r="DI216" s="68">
        <f>SUM(Tableau1[[#This Row],[Entretien et réparation matériel de projection]:[Autres ou non précisé 14]])</f>
        <v>0</v>
      </c>
      <c r="DJ216" s="58"/>
      <c r="DK216" s="58"/>
      <c r="DL216" s="69"/>
      <c r="DM216" s="68">
        <f t="shared" si="142"/>
        <v>0</v>
      </c>
      <c r="DN216" s="58"/>
      <c r="DO216" s="58"/>
      <c r="DP216" s="68">
        <f t="shared" si="143"/>
        <v>0</v>
      </c>
      <c r="DQ216" s="65"/>
      <c r="DR216" s="65"/>
      <c r="DS216" s="68">
        <f t="shared" si="144"/>
        <v>0</v>
      </c>
      <c r="DT216" s="65"/>
      <c r="DU216" s="65"/>
      <c r="DV216" s="65"/>
      <c r="DW216" s="68">
        <f>SUM(Tableau1[[#This Row],[Comission et courtage sur achats]:[Autres ou honoraires
 non précisé ]])</f>
        <v>0</v>
      </c>
      <c r="DX216" s="57"/>
      <c r="DY216" s="57"/>
      <c r="DZ216" s="65"/>
      <c r="EA216" s="65"/>
      <c r="EB216" s="65"/>
      <c r="EC216" s="68">
        <f t="shared" si="145"/>
        <v>0</v>
      </c>
      <c r="ED216" s="69"/>
      <c r="EE216" s="69"/>
      <c r="EF216" s="69"/>
      <c r="EG216" s="69"/>
      <c r="EH216" s="69"/>
      <c r="EI216" s="84">
        <f>SUM(Tableau1[[#This Row],[Transports sur films]:[autres ]])</f>
        <v>0</v>
      </c>
      <c r="EJ216" s="132">
        <v>0</v>
      </c>
      <c r="EK216" s="132"/>
      <c r="EL216" s="68">
        <f t="shared" si="146"/>
        <v>0</v>
      </c>
      <c r="EM216" s="65"/>
      <c r="EN216" s="65">
        <v>0</v>
      </c>
      <c r="EO216" s="65"/>
      <c r="EP216" s="65"/>
      <c r="EQ216" s="65"/>
      <c r="ER216" s="65"/>
      <c r="ES216" s="65"/>
      <c r="ET216" s="68">
        <f t="shared" si="147"/>
        <v>0</v>
      </c>
      <c r="EU216" s="65"/>
      <c r="EV216" s="65"/>
      <c r="EW216" s="65"/>
      <c r="EX216" s="65"/>
      <c r="EY216" s="65"/>
      <c r="EZ216" s="68">
        <f t="shared" si="124"/>
        <v>0</v>
      </c>
      <c r="FA216" s="65"/>
      <c r="FB216" s="65"/>
      <c r="FC216" s="70">
        <f t="shared" si="123"/>
        <v>0</v>
      </c>
      <c r="FD216" s="65"/>
      <c r="FE216" s="71">
        <f t="shared" si="148"/>
        <v>0</v>
      </c>
      <c r="FF216" s="72">
        <f t="shared" si="149"/>
        <v>0</v>
      </c>
      <c r="FG216" s="65"/>
      <c r="FH216" s="65"/>
      <c r="FI216" s="65"/>
      <c r="FJ216" s="56">
        <f t="shared" si="150"/>
        <v>0</v>
      </c>
      <c r="FK216" s="65"/>
      <c r="FL216" s="65"/>
      <c r="FM216" s="65"/>
      <c r="FN216" s="65"/>
      <c r="FO216" s="67">
        <f t="shared" si="151"/>
        <v>0</v>
      </c>
      <c r="FP216" s="57"/>
      <c r="FQ216" s="73"/>
      <c r="FR216" s="73"/>
      <c r="FS216" s="71">
        <f t="shared" si="152"/>
        <v>0</v>
      </c>
      <c r="FT216" s="91"/>
      <c r="FU216" s="91"/>
      <c r="FV216" s="67">
        <f>SUM(Tableau1[[#This Row],[Droits d''auteurs SACEM + cotisations SACEM]:[Autres ou non préciés]])</f>
        <v>0</v>
      </c>
      <c r="FW216" s="75">
        <f t="shared" si="153"/>
        <v>0</v>
      </c>
      <c r="FX216" s="74">
        <v>0</v>
      </c>
      <c r="FY216" s="74"/>
      <c r="FZ216" s="74"/>
      <c r="GA216" s="74"/>
      <c r="GB216" s="71">
        <f t="shared" si="154"/>
        <v>0</v>
      </c>
      <c r="GC216" s="92"/>
      <c r="GD216" s="92"/>
      <c r="GE216" s="67">
        <f t="shared" si="155"/>
        <v>0</v>
      </c>
      <c r="GF216" s="66"/>
      <c r="GG216" s="66"/>
      <c r="GH216" s="66"/>
      <c r="GI216" s="66"/>
      <c r="GJ216" s="77"/>
    </row>
    <row r="217" spans="1:192" ht="18.600000000000001" customHeight="1" x14ac:dyDescent="0.25">
      <c r="A217" s="89"/>
      <c r="B217" s="17"/>
      <c r="C217" s="50"/>
      <c r="D217" s="140"/>
      <c r="E217" s="51"/>
      <c r="F217" s="139">
        <f t="shared" si="120"/>
        <v>1</v>
      </c>
      <c r="G217" s="49"/>
      <c r="H217" s="50"/>
      <c r="I217" s="122"/>
      <c r="J217" s="49"/>
      <c r="K217" s="50"/>
      <c r="L217" s="50"/>
      <c r="M217" s="90"/>
      <c r="N217" s="50"/>
      <c r="O217" s="50"/>
      <c r="P217" s="90"/>
      <c r="Q217" s="52">
        <f t="shared" si="125"/>
        <v>0</v>
      </c>
      <c r="R217" s="52">
        <f t="shared" si="126"/>
        <v>0</v>
      </c>
      <c r="S217" s="53">
        <f t="shared" si="127"/>
        <v>0</v>
      </c>
      <c r="T217" s="54">
        <f t="shared" si="128"/>
        <v>0</v>
      </c>
      <c r="U217" s="115">
        <f>SUM(Tableau1[[#This Row],[Vente confiserie]:[Vente boisson]])</f>
        <v>0</v>
      </c>
      <c r="V217" s="55"/>
      <c r="W217" s="55"/>
      <c r="X217" s="135">
        <f>SUM(Tableau1[[#This Row],[Vente lunette]:[Location lunette]])</f>
        <v>0</v>
      </c>
      <c r="Y217" s="55"/>
      <c r="Z217" s="55"/>
      <c r="AA217" s="55"/>
      <c r="AB217" s="55"/>
      <c r="AC217" s="56">
        <f t="shared" si="157"/>
        <v>0</v>
      </c>
      <c r="AD217" s="57"/>
      <c r="AE217" s="57"/>
      <c r="AF217" s="57"/>
      <c r="AG217" s="57"/>
      <c r="AH217" s="57"/>
      <c r="AI217" s="57"/>
      <c r="AJ217" s="118">
        <f>(Tableau1[[#This Row],[Recette guichet ]]*1.1275177)-Tableau1[[#This Row],[Recette guichet ]]</f>
        <v>0</v>
      </c>
      <c r="AK217" s="57"/>
      <c r="AL217" s="56">
        <f t="shared" si="158"/>
        <v>0</v>
      </c>
      <c r="AM217" s="58"/>
      <c r="AN217" s="58"/>
      <c r="AO217" s="58"/>
      <c r="AP217" s="115">
        <f t="shared" si="129"/>
        <v>0</v>
      </c>
      <c r="AQ217" s="69"/>
      <c r="AR217" s="69"/>
      <c r="AS217" s="69"/>
      <c r="AT217" s="69"/>
      <c r="AU217" s="59">
        <f t="shared" si="130"/>
        <v>0</v>
      </c>
      <c r="AV217" s="60">
        <f t="shared" si="131"/>
        <v>0</v>
      </c>
      <c r="AW217" s="58"/>
      <c r="AX217" s="58"/>
      <c r="AY217" s="58"/>
      <c r="AZ217" s="60">
        <f t="shared" si="121"/>
        <v>0</v>
      </c>
      <c r="BA217" s="58"/>
      <c r="BB217" s="58"/>
      <c r="BC217" s="58"/>
      <c r="BD217" s="60">
        <f>SUM(Tableau1[[#This Row],[ticket/carte/abonnement périmé]:[Autres ou non précisé 5]])</f>
        <v>0</v>
      </c>
      <c r="BE217" s="58"/>
      <c r="BF217" s="58"/>
      <c r="BG217" s="58"/>
      <c r="BH217" s="61">
        <f t="shared" si="132"/>
        <v>0</v>
      </c>
      <c r="BI217" s="120"/>
      <c r="BJ217" s="120"/>
      <c r="BK217" s="62">
        <f t="shared" si="133"/>
        <v>0</v>
      </c>
      <c r="BL217" s="120"/>
      <c r="BM217" s="120"/>
      <c r="BN217" s="120"/>
      <c r="BO217" s="120"/>
      <c r="BP217" s="120"/>
      <c r="BQ217" s="63"/>
      <c r="BR217" s="52">
        <f t="shared" si="134"/>
        <v>0</v>
      </c>
      <c r="BS217" s="52">
        <f t="shared" si="135"/>
        <v>0</v>
      </c>
      <c r="BT217" s="61">
        <f t="shared" si="136"/>
        <v>0</v>
      </c>
      <c r="BU217" s="64">
        <f t="shared" si="137"/>
        <v>0</v>
      </c>
      <c r="BV217" s="119">
        <f>SUM(Tableau1[[#This Row],[Achats confiserie]:[Achats boisson]])</f>
        <v>0</v>
      </c>
      <c r="BW217" s="58"/>
      <c r="BX217" s="69"/>
      <c r="BY217" s="58"/>
      <c r="BZ217" s="56">
        <f t="shared" si="138"/>
        <v>0</v>
      </c>
      <c r="CA217" s="66"/>
      <c r="CB217" s="66"/>
      <c r="CC217" s="56">
        <f t="shared" si="139"/>
        <v>0</v>
      </c>
      <c r="CD217" s="55"/>
      <c r="CE217" s="65"/>
      <c r="CF217" s="55"/>
      <c r="CG217" s="55"/>
      <c r="CH217" s="67">
        <f t="shared" si="140"/>
        <v>0</v>
      </c>
      <c r="CI217" s="68">
        <f t="shared" si="156"/>
        <v>0</v>
      </c>
      <c r="CJ217" s="55"/>
      <c r="CK217" s="55"/>
      <c r="CL217" s="55"/>
      <c r="CM217" s="55"/>
      <c r="CN217" s="55"/>
      <c r="CO217" s="68">
        <f t="shared" si="141"/>
        <v>0</v>
      </c>
      <c r="CP217" s="75">
        <f>SUM(Tableau1[[#This Row],[Fourniture eau]:[Energie (non précisé)]])</f>
        <v>0</v>
      </c>
      <c r="CQ217" s="55"/>
      <c r="CR217" s="55"/>
      <c r="CS217" s="55"/>
      <c r="CT217" s="55"/>
      <c r="CU217" s="55"/>
      <c r="CV217" s="55">
        <v>0</v>
      </c>
      <c r="CW217" s="55"/>
      <c r="CX217" s="68">
        <f>SUM(Tableau1[[#This Row],[Sous-traitance]:[Autres ou non précisé 12]])</f>
        <v>0</v>
      </c>
      <c r="CY217" s="65"/>
      <c r="CZ217" s="65"/>
      <c r="DA217" s="65"/>
      <c r="DB217" s="65"/>
      <c r="DC217" s="55"/>
      <c r="DD217" s="68">
        <f t="shared" si="122"/>
        <v>0</v>
      </c>
      <c r="DE217" s="55"/>
      <c r="DF217" s="65"/>
      <c r="DG217" s="65"/>
      <c r="DH217" s="65"/>
      <c r="DI217" s="68">
        <f>SUM(Tableau1[[#This Row],[Entretien et réparation matériel de projection]:[Autres ou non précisé 14]])</f>
        <v>0</v>
      </c>
      <c r="DJ217" s="58"/>
      <c r="DK217" s="58"/>
      <c r="DL217" s="69"/>
      <c r="DM217" s="68">
        <f t="shared" si="142"/>
        <v>0</v>
      </c>
      <c r="DN217" s="58"/>
      <c r="DO217" s="58"/>
      <c r="DP217" s="68">
        <f t="shared" si="143"/>
        <v>0</v>
      </c>
      <c r="DQ217" s="65"/>
      <c r="DR217" s="65"/>
      <c r="DS217" s="68">
        <f t="shared" si="144"/>
        <v>0</v>
      </c>
      <c r="DT217" s="65"/>
      <c r="DU217" s="65"/>
      <c r="DV217" s="65"/>
      <c r="DW217" s="68">
        <f>SUM(Tableau1[[#This Row],[Comission et courtage sur achats]:[Autres ou honoraires
 non précisé ]])</f>
        <v>0</v>
      </c>
      <c r="DX217" s="57"/>
      <c r="DY217" s="57"/>
      <c r="DZ217" s="65"/>
      <c r="EA217" s="65"/>
      <c r="EB217" s="65"/>
      <c r="EC217" s="68">
        <f t="shared" si="145"/>
        <v>0</v>
      </c>
      <c r="ED217" s="69"/>
      <c r="EE217" s="69"/>
      <c r="EF217" s="69"/>
      <c r="EG217" s="69"/>
      <c r="EH217" s="69"/>
      <c r="EI217" s="84">
        <f>SUM(Tableau1[[#This Row],[Transports sur films]:[autres ]])</f>
        <v>0</v>
      </c>
      <c r="EJ217" s="132">
        <v>0</v>
      </c>
      <c r="EK217" s="132"/>
      <c r="EL217" s="68">
        <f t="shared" si="146"/>
        <v>0</v>
      </c>
      <c r="EM217" s="65"/>
      <c r="EN217" s="65">
        <v>0</v>
      </c>
      <c r="EO217" s="65"/>
      <c r="EP217" s="65"/>
      <c r="EQ217" s="65"/>
      <c r="ER217" s="65"/>
      <c r="ES217" s="65"/>
      <c r="ET217" s="68">
        <f t="shared" si="147"/>
        <v>0</v>
      </c>
      <c r="EU217" s="65"/>
      <c r="EV217" s="65"/>
      <c r="EW217" s="65"/>
      <c r="EX217" s="65"/>
      <c r="EY217" s="65"/>
      <c r="EZ217" s="68">
        <f t="shared" si="124"/>
        <v>0</v>
      </c>
      <c r="FA217" s="65"/>
      <c r="FB217" s="65"/>
      <c r="FC217" s="70">
        <f t="shared" si="123"/>
        <v>0</v>
      </c>
      <c r="FD217" s="65"/>
      <c r="FE217" s="71">
        <f t="shared" si="148"/>
        <v>0</v>
      </c>
      <c r="FF217" s="72">
        <f t="shared" si="149"/>
        <v>0</v>
      </c>
      <c r="FG217" s="65"/>
      <c r="FH217" s="65"/>
      <c r="FI217" s="65"/>
      <c r="FJ217" s="56">
        <f t="shared" si="150"/>
        <v>0</v>
      </c>
      <c r="FK217" s="65"/>
      <c r="FL217" s="65"/>
      <c r="FM217" s="65"/>
      <c r="FN217" s="65"/>
      <c r="FO217" s="67">
        <f t="shared" si="151"/>
        <v>0</v>
      </c>
      <c r="FP217" s="57"/>
      <c r="FQ217" s="73"/>
      <c r="FR217" s="73"/>
      <c r="FS217" s="71">
        <f t="shared" si="152"/>
        <v>0</v>
      </c>
      <c r="FT217" s="91"/>
      <c r="FU217" s="91"/>
      <c r="FV217" s="67">
        <f>SUM(Tableau1[[#This Row],[Droits d''auteurs SACEM + cotisations SACEM]:[Autres ou non préciés]])</f>
        <v>0</v>
      </c>
      <c r="FW217" s="75">
        <f t="shared" si="153"/>
        <v>0</v>
      </c>
      <c r="FX217" s="74">
        <v>0</v>
      </c>
      <c r="FY217" s="74"/>
      <c r="FZ217" s="74"/>
      <c r="GA217" s="74"/>
      <c r="GB217" s="71">
        <f t="shared" si="154"/>
        <v>0</v>
      </c>
      <c r="GC217" s="92"/>
      <c r="GD217" s="92"/>
      <c r="GE217" s="67">
        <f t="shared" si="155"/>
        <v>0</v>
      </c>
      <c r="GF217" s="66"/>
      <c r="GG217" s="66"/>
      <c r="GH217" s="66"/>
      <c r="GI217" s="66"/>
      <c r="GJ217" s="77"/>
    </row>
    <row r="218" spans="1:192" ht="18.600000000000001" customHeight="1" x14ac:dyDescent="0.25">
      <c r="A218" s="89"/>
      <c r="B218" s="17"/>
      <c r="C218" s="50"/>
      <c r="D218" s="140"/>
      <c r="E218" s="51"/>
      <c r="F218" s="139">
        <f t="shared" si="120"/>
        <v>1</v>
      </c>
      <c r="G218" s="49"/>
      <c r="H218" s="50"/>
      <c r="I218" s="122"/>
      <c r="J218" s="49"/>
      <c r="K218" s="50"/>
      <c r="L218" s="50"/>
      <c r="M218" s="90"/>
      <c r="N218" s="50"/>
      <c r="O218" s="50"/>
      <c r="P218" s="90"/>
      <c r="Q218" s="52">
        <f t="shared" si="125"/>
        <v>0</v>
      </c>
      <c r="R218" s="52">
        <f t="shared" si="126"/>
        <v>0</v>
      </c>
      <c r="S218" s="53">
        <f t="shared" si="127"/>
        <v>0</v>
      </c>
      <c r="T218" s="54">
        <f t="shared" si="128"/>
        <v>0</v>
      </c>
      <c r="U218" s="115">
        <f>SUM(Tableau1[[#This Row],[Vente confiserie]:[Vente boisson]])</f>
        <v>0</v>
      </c>
      <c r="V218" s="55"/>
      <c r="W218" s="55"/>
      <c r="X218" s="135">
        <f>SUM(Tableau1[[#This Row],[Vente lunette]:[Location lunette]])</f>
        <v>0</v>
      </c>
      <c r="Y218" s="55"/>
      <c r="Z218" s="55"/>
      <c r="AA218" s="55"/>
      <c r="AB218" s="55"/>
      <c r="AC218" s="56">
        <f t="shared" si="157"/>
        <v>0</v>
      </c>
      <c r="AD218" s="57"/>
      <c r="AE218" s="57"/>
      <c r="AF218" s="57"/>
      <c r="AG218" s="57"/>
      <c r="AH218" s="57"/>
      <c r="AI218" s="57"/>
      <c r="AJ218" s="118">
        <f>(Tableau1[[#This Row],[Recette guichet ]]*1.1275177)-Tableau1[[#This Row],[Recette guichet ]]</f>
        <v>0</v>
      </c>
      <c r="AK218" s="57"/>
      <c r="AL218" s="56">
        <f t="shared" si="158"/>
        <v>0</v>
      </c>
      <c r="AM218" s="58"/>
      <c r="AN218" s="58"/>
      <c r="AO218" s="58"/>
      <c r="AP218" s="115">
        <f t="shared" si="129"/>
        <v>0</v>
      </c>
      <c r="AQ218" s="69"/>
      <c r="AR218" s="69"/>
      <c r="AS218" s="69"/>
      <c r="AT218" s="69"/>
      <c r="AU218" s="59">
        <f t="shared" si="130"/>
        <v>0</v>
      </c>
      <c r="AV218" s="60">
        <f t="shared" si="131"/>
        <v>0</v>
      </c>
      <c r="AW218" s="58"/>
      <c r="AX218" s="58"/>
      <c r="AY218" s="58"/>
      <c r="AZ218" s="60">
        <f t="shared" si="121"/>
        <v>0</v>
      </c>
      <c r="BA218" s="58"/>
      <c r="BB218" s="58"/>
      <c r="BC218" s="58"/>
      <c r="BD218" s="60">
        <f>SUM(Tableau1[[#This Row],[ticket/carte/abonnement périmé]:[Autres ou non précisé 5]])</f>
        <v>0</v>
      </c>
      <c r="BE218" s="58"/>
      <c r="BF218" s="58"/>
      <c r="BG218" s="58"/>
      <c r="BH218" s="61">
        <f t="shared" si="132"/>
        <v>0</v>
      </c>
      <c r="BI218" s="120"/>
      <c r="BJ218" s="120"/>
      <c r="BK218" s="62">
        <f t="shared" si="133"/>
        <v>0</v>
      </c>
      <c r="BL218" s="120"/>
      <c r="BM218" s="120"/>
      <c r="BN218" s="120"/>
      <c r="BO218" s="120"/>
      <c r="BP218" s="120"/>
      <c r="BQ218" s="63"/>
      <c r="BR218" s="52">
        <f t="shared" si="134"/>
        <v>0</v>
      </c>
      <c r="BS218" s="52">
        <f t="shared" si="135"/>
        <v>0</v>
      </c>
      <c r="BT218" s="61">
        <f t="shared" si="136"/>
        <v>0</v>
      </c>
      <c r="BU218" s="64">
        <f t="shared" si="137"/>
        <v>0</v>
      </c>
      <c r="BV218" s="119">
        <f>SUM(Tableau1[[#This Row],[Achats confiserie]:[Achats boisson]])</f>
        <v>0</v>
      </c>
      <c r="BW218" s="58"/>
      <c r="BX218" s="69"/>
      <c r="BY218" s="58"/>
      <c r="BZ218" s="56">
        <f t="shared" si="138"/>
        <v>0</v>
      </c>
      <c r="CA218" s="66"/>
      <c r="CB218" s="66"/>
      <c r="CC218" s="56">
        <f t="shared" si="139"/>
        <v>0</v>
      </c>
      <c r="CD218" s="55"/>
      <c r="CE218" s="65"/>
      <c r="CF218" s="55"/>
      <c r="CG218" s="55"/>
      <c r="CH218" s="67">
        <f t="shared" si="140"/>
        <v>0</v>
      </c>
      <c r="CI218" s="68">
        <f t="shared" si="156"/>
        <v>0</v>
      </c>
      <c r="CJ218" s="55"/>
      <c r="CK218" s="55"/>
      <c r="CL218" s="55"/>
      <c r="CM218" s="55"/>
      <c r="CN218" s="55"/>
      <c r="CO218" s="68">
        <f t="shared" si="141"/>
        <v>0</v>
      </c>
      <c r="CP218" s="75">
        <f>SUM(Tableau1[[#This Row],[Fourniture eau]:[Energie (non précisé)]])</f>
        <v>0</v>
      </c>
      <c r="CQ218" s="55"/>
      <c r="CR218" s="55"/>
      <c r="CS218" s="55"/>
      <c r="CT218" s="55"/>
      <c r="CU218" s="55"/>
      <c r="CV218" s="55">
        <v>0</v>
      </c>
      <c r="CW218" s="55"/>
      <c r="CX218" s="68">
        <f>SUM(Tableau1[[#This Row],[Sous-traitance]:[Autres ou non précisé 12]])</f>
        <v>0</v>
      </c>
      <c r="CY218" s="65"/>
      <c r="CZ218" s="65"/>
      <c r="DA218" s="65"/>
      <c r="DB218" s="65"/>
      <c r="DC218" s="55"/>
      <c r="DD218" s="68">
        <f t="shared" si="122"/>
        <v>0</v>
      </c>
      <c r="DE218" s="55"/>
      <c r="DF218" s="65"/>
      <c r="DG218" s="65"/>
      <c r="DH218" s="65"/>
      <c r="DI218" s="68">
        <f>SUM(Tableau1[[#This Row],[Entretien et réparation matériel de projection]:[Autres ou non précisé 14]])</f>
        <v>0</v>
      </c>
      <c r="DJ218" s="58"/>
      <c r="DK218" s="58"/>
      <c r="DL218" s="69"/>
      <c r="DM218" s="68">
        <f t="shared" si="142"/>
        <v>0</v>
      </c>
      <c r="DN218" s="58"/>
      <c r="DO218" s="58"/>
      <c r="DP218" s="68">
        <f t="shared" si="143"/>
        <v>0</v>
      </c>
      <c r="DQ218" s="65"/>
      <c r="DR218" s="65"/>
      <c r="DS218" s="68">
        <f t="shared" si="144"/>
        <v>0</v>
      </c>
      <c r="DT218" s="65"/>
      <c r="DU218" s="65"/>
      <c r="DV218" s="65"/>
      <c r="DW218" s="68">
        <f>SUM(Tableau1[[#This Row],[Comission et courtage sur achats]:[Autres ou honoraires
 non précisé ]])</f>
        <v>0</v>
      </c>
      <c r="DX218" s="57"/>
      <c r="DY218" s="57"/>
      <c r="DZ218" s="65"/>
      <c r="EA218" s="65"/>
      <c r="EB218" s="65"/>
      <c r="EC218" s="68">
        <f t="shared" si="145"/>
        <v>0</v>
      </c>
      <c r="ED218" s="69"/>
      <c r="EE218" s="69"/>
      <c r="EF218" s="69"/>
      <c r="EG218" s="69"/>
      <c r="EH218" s="69"/>
      <c r="EI218" s="84">
        <f>SUM(Tableau1[[#This Row],[Transports sur films]:[autres ]])</f>
        <v>0</v>
      </c>
      <c r="EJ218" s="132">
        <v>0</v>
      </c>
      <c r="EK218" s="132"/>
      <c r="EL218" s="68">
        <f t="shared" si="146"/>
        <v>0</v>
      </c>
      <c r="EM218" s="65"/>
      <c r="EN218" s="65">
        <v>0</v>
      </c>
      <c r="EO218" s="65"/>
      <c r="EP218" s="65"/>
      <c r="EQ218" s="65"/>
      <c r="ER218" s="65"/>
      <c r="ES218" s="65"/>
      <c r="ET218" s="68">
        <f t="shared" si="147"/>
        <v>0</v>
      </c>
      <c r="EU218" s="65"/>
      <c r="EV218" s="65"/>
      <c r="EW218" s="65"/>
      <c r="EX218" s="65"/>
      <c r="EY218" s="65"/>
      <c r="EZ218" s="68">
        <f t="shared" si="124"/>
        <v>0</v>
      </c>
      <c r="FA218" s="65"/>
      <c r="FB218" s="65"/>
      <c r="FC218" s="70">
        <f t="shared" si="123"/>
        <v>0</v>
      </c>
      <c r="FD218" s="65"/>
      <c r="FE218" s="71">
        <f t="shared" si="148"/>
        <v>0</v>
      </c>
      <c r="FF218" s="72">
        <f t="shared" si="149"/>
        <v>0</v>
      </c>
      <c r="FG218" s="65"/>
      <c r="FH218" s="65"/>
      <c r="FI218" s="65"/>
      <c r="FJ218" s="56">
        <f t="shared" si="150"/>
        <v>0</v>
      </c>
      <c r="FK218" s="65"/>
      <c r="FL218" s="65"/>
      <c r="FM218" s="65"/>
      <c r="FN218" s="65"/>
      <c r="FO218" s="67">
        <f t="shared" si="151"/>
        <v>0</v>
      </c>
      <c r="FP218" s="57"/>
      <c r="FQ218" s="73"/>
      <c r="FR218" s="73"/>
      <c r="FS218" s="71">
        <f t="shared" si="152"/>
        <v>0</v>
      </c>
      <c r="FT218" s="91"/>
      <c r="FU218" s="91"/>
      <c r="FV218" s="67">
        <f>SUM(Tableau1[[#This Row],[Droits d''auteurs SACEM + cotisations SACEM]:[Autres ou non préciés]])</f>
        <v>0</v>
      </c>
      <c r="FW218" s="75">
        <f t="shared" si="153"/>
        <v>0</v>
      </c>
      <c r="FX218" s="74">
        <v>0</v>
      </c>
      <c r="FY218" s="74"/>
      <c r="FZ218" s="74"/>
      <c r="GA218" s="74"/>
      <c r="GB218" s="71">
        <f t="shared" si="154"/>
        <v>0</v>
      </c>
      <c r="GC218" s="92"/>
      <c r="GD218" s="92"/>
      <c r="GE218" s="67">
        <f t="shared" si="155"/>
        <v>0</v>
      </c>
      <c r="GF218" s="66"/>
      <c r="GG218" s="66"/>
      <c r="GH218" s="66"/>
      <c r="GI218" s="66"/>
      <c r="GJ218" s="77"/>
    </row>
    <row r="219" spans="1:192" ht="18.600000000000001" customHeight="1" x14ac:dyDescent="0.25">
      <c r="A219" s="89"/>
      <c r="B219" s="17"/>
      <c r="C219" s="50"/>
      <c r="D219" s="140"/>
      <c r="E219" s="51"/>
      <c r="F219" s="139">
        <f t="shared" si="120"/>
        <v>1</v>
      </c>
      <c r="G219" s="49"/>
      <c r="H219" s="50"/>
      <c r="I219" s="122"/>
      <c r="J219" s="49"/>
      <c r="K219" s="50"/>
      <c r="L219" s="50"/>
      <c r="M219" s="90"/>
      <c r="N219" s="50"/>
      <c r="O219" s="50"/>
      <c r="P219" s="90"/>
      <c r="Q219" s="52">
        <f t="shared" si="125"/>
        <v>0</v>
      </c>
      <c r="R219" s="52">
        <f t="shared" si="126"/>
        <v>0</v>
      </c>
      <c r="S219" s="53">
        <f t="shared" si="127"/>
        <v>0</v>
      </c>
      <c r="T219" s="54">
        <f t="shared" si="128"/>
        <v>0</v>
      </c>
      <c r="U219" s="115">
        <f>SUM(Tableau1[[#This Row],[Vente confiserie]:[Vente boisson]])</f>
        <v>0</v>
      </c>
      <c r="V219" s="55"/>
      <c r="W219" s="55"/>
      <c r="X219" s="135">
        <f>SUM(Tableau1[[#This Row],[Vente lunette]:[Location lunette]])</f>
        <v>0</v>
      </c>
      <c r="Y219" s="55"/>
      <c r="Z219" s="55"/>
      <c r="AA219" s="55"/>
      <c r="AB219" s="55"/>
      <c r="AC219" s="56">
        <f t="shared" si="157"/>
        <v>0</v>
      </c>
      <c r="AD219" s="57"/>
      <c r="AE219" s="57"/>
      <c r="AF219" s="57"/>
      <c r="AG219" s="57"/>
      <c r="AH219" s="57"/>
      <c r="AI219" s="57"/>
      <c r="AJ219" s="118">
        <f>(Tableau1[[#This Row],[Recette guichet ]]*1.1275177)-Tableau1[[#This Row],[Recette guichet ]]</f>
        <v>0</v>
      </c>
      <c r="AK219" s="57"/>
      <c r="AL219" s="56">
        <f t="shared" si="158"/>
        <v>0</v>
      </c>
      <c r="AM219" s="58"/>
      <c r="AN219" s="58"/>
      <c r="AO219" s="58"/>
      <c r="AP219" s="115">
        <f t="shared" si="129"/>
        <v>0</v>
      </c>
      <c r="AQ219" s="69"/>
      <c r="AR219" s="69"/>
      <c r="AS219" s="69"/>
      <c r="AT219" s="69"/>
      <c r="AU219" s="59">
        <f t="shared" si="130"/>
        <v>0</v>
      </c>
      <c r="AV219" s="60">
        <f t="shared" si="131"/>
        <v>0</v>
      </c>
      <c r="AW219" s="58"/>
      <c r="AX219" s="58"/>
      <c r="AY219" s="58"/>
      <c r="AZ219" s="60">
        <f t="shared" si="121"/>
        <v>0</v>
      </c>
      <c r="BA219" s="58"/>
      <c r="BB219" s="58"/>
      <c r="BC219" s="58"/>
      <c r="BD219" s="60">
        <f>SUM(Tableau1[[#This Row],[ticket/carte/abonnement périmé]:[Autres ou non précisé 5]])</f>
        <v>0</v>
      </c>
      <c r="BE219" s="58"/>
      <c r="BF219" s="58"/>
      <c r="BG219" s="58"/>
      <c r="BH219" s="61">
        <f t="shared" si="132"/>
        <v>0</v>
      </c>
      <c r="BI219" s="120"/>
      <c r="BJ219" s="120"/>
      <c r="BK219" s="62">
        <f t="shared" si="133"/>
        <v>0</v>
      </c>
      <c r="BL219" s="120"/>
      <c r="BM219" s="120"/>
      <c r="BN219" s="120"/>
      <c r="BO219" s="120"/>
      <c r="BP219" s="120"/>
      <c r="BQ219" s="63"/>
      <c r="BR219" s="52">
        <f t="shared" si="134"/>
        <v>0</v>
      </c>
      <c r="BS219" s="52">
        <f t="shared" si="135"/>
        <v>0</v>
      </c>
      <c r="BT219" s="61">
        <f t="shared" si="136"/>
        <v>0</v>
      </c>
      <c r="BU219" s="64">
        <f t="shared" si="137"/>
        <v>0</v>
      </c>
      <c r="BV219" s="119">
        <f>SUM(Tableau1[[#This Row],[Achats confiserie]:[Achats boisson]])</f>
        <v>0</v>
      </c>
      <c r="BW219" s="58"/>
      <c r="BX219" s="69"/>
      <c r="BY219" s="58"/>
      <c r="BZ219" s="56">
        <f t="shared" si="138"/>
        <v>0</v>
      </c>
      <c r="CA219" s="66"/>
      <c r="CB219" s="66"/>
      <c r="CC219" s="56">
        <f t="shared" si="139"/>
        <v>0</v>
      </c>
      <c r="CD219" s="55"/>
      <c r="CE219" s="65"/>
      <c r="CF219" s="55"/>
      <c r="CG219" s="55"/>
      <c r="CH219" s="67">
        <f t="shared" si="140"/>
        <v>0</v>
      </c>
      <c r="CI219" s="68">
        <f t="shared" si="156"/>
        <v>0</v>
      </c>
      <c r="CJ219" s="55"/>
      <c r="CK219" s="55"/>
      <c r="CL219" s="55"/>
      <c r="CM219" s="55"/>
      <c r="CN219" s="55"/>
      <c r="CO219" s="68">
        <f t="shared" si="141"/>
        <v>0</v>
      </c>
      <c r="CP219" s="75">
        <f>SUM(Tableau1[[#This Row],[Fourniture eau]:[Energie (non précisé)]])</f>
        <v>0</v>
      </c>
      <c r="CQ219" s="55"/>
      <c r="CR219" s="55"/>
      <c r="CS219" s="55"/>
      <c r="CT219" s="55"/>
      <c r="CU219" s="55"/>
      <c r="CV219" s="55">
        <v>0</v>
      </c>
      <c r="CW219" s="55"/>
      <c r="CX219" s="68">
        <f>SUM(Tableau1[[#This Row],[Sous-traitance]:[Autres ou non précisé 12]])</f>
        <v>0</v>
      </c>
      <c r="CY219" s="65"/>
      <c r="CZ219" s="65"/>
      <c r="DA219" s="65"/>
      <c r="DB219" s="65"/>
      <c r="DC219" s="55"/>
      <c r="DD219" s="68">
        <f t="shared" si="122"/>
        <v>0</v>
      </c>
      <c r="DE219" s="55"/>
      <c r="DF219" s="65"/>
      <c r="DG219" s="65"/>
      <c r="DH219" s="65"/>
      <c r="DI219" s="68">
        <f>SUM(Tableau1[[#This Row],[Entretien et réparation matériel de projection]:[Autres ou non précisé 14]])</f>
        <v>0</v>
      </c>
      <c r="DJ219" s="58"/>
      <c r="DK219" s="58"/>
      <c r="DL219" s="69"/>
      <c r="DM219" s="68">
        <f t="shared" si="142"/>
        <v>0</v>
      </c>
      <c r="DN219" s="58"/>
      <c r="DO219" s="58"/>
      <c r="DP219" s="68">
        <f t="shared" si="143"/>
        <v>0</v>
      </c>
      <c r="DQ219" s="65"/>
      <c r="DR219" s="65"/>
      <c r="DS219" s="68">
        <f t="shared" si="144"/>
        <v>0</v>
      </c>
      <c r="DT219" s="65"/>
      <c r="DU219" s="65"/>
      <c r="DV219" s="65"/>
      <c r="DW219" s="68">
        <f>SUM(Tableau1[[#This Row],[Comission et courtage sur achats]:[Autres ou honoraires
 non précisé ]])</f>
        <v>0</v>
      </c>
      <c r="DX219" s="57"/>
      <c r="DY219" s="57"/>
      <c r="DZ219" s="65"/>
      <c r="EA219" s="65"/>
      <c r="EB219" s="65"/>
      <c r="EC219" s="68">
        <f t="shared" si="145"/>
        <v>0</v>
      </c>
      <c r="ED219" s="69"/>
      <c r="EE219" s="69"/>
      <c r="EF219" s="69"/>
      <c r="EG219" s="69"/>
      <c r="EH219" s="69"/>
      <c r="EI219" s="84">
        <f>SUM(Tableau1[[#This Row],[Transports sur films]:[autres ]])</f>
        <v>0</v>
      </c>
      <c r="EJ219" s="132">
        <v>0</v>
      </c>
      <c r="EK219" s="132"/>
      <c r="EL219" s="68">
        <f t="shared" si="146"/>
        <v>0</v>
      </c>
      <c r="EM219" s="65"/>
      <c r="EN219" s="65">
        <v>0</v>
      </c>
      <c r="EO219" s="65"/>
      <c r="EP219" s="65"/>
      <c r="EQ219" s="65"/>
      <c r="ER219" s="65"/>
      <c r="ES219" s="65"/>
      <c r="ET219" s="68">
        <f t="shared" si="147"/>
        <v>0</v>
      </c>
      <c r="EU219" s="65"/>
      <c r="EV219" s="65"/>
      <c r="EW219" s="65"/>
      <c r="EX219" s="65"/>
      <c r="EY219" s="65"/>
      <c r="EZ219" s="68">
        <f t="shared" si="124"/>
        <v>0</v>
      </c>
      <c r="FA219" s="65"/>
      <c r="FB219" s="65"/>
      <c r="FC219" s="70">
        <f t="shared" si="123"/>
        <v>0</v>
      </c>
      <c r="FD219" s="65"/>
      <c r="FE219" s="71">
        <f t="shared" si="148"/>
        <v>0</v>
      </c>
      <c r="FF219" s="72">
        <f t="shared" si="149"/>
        <v>0</v>
      </c>
      <c r="FG219" s="65"/>
      <c r="FH219" s="65"/>
      <c r="FI219" s="65"/>
      <c r="FJ219" s="56">
        <f t="shared" si="150"/>
        <v>0</v>
      </c>
      <c r="FK219" s="65"/>
      <c r="FL219" s="65"/>
      <c r="FM219" s="65"/>
      <c r="FN219" s="65"/>
      <c r="FO219" s="67">
        <f t="shared" si="151"/>
        <v>0</v>
      </c>
      <c r="FP219" s="57"/>
      <c r="FQ219" s="73"/>
      <c r="FR219" s="73"/>
      <c r="FS219" s="71">
        <f t="shared" si="152"/>
        <v>0</v>
      </c>
      <c r="FT219" s="91"/>
      <c r="FU219" s="91"/>
      <c r="FV219" s="67">
        <f>SUM(Tableau1[[#This Row],[Droits d''auteurs SACEM + cotisations SACEM]:[Autres ou non préciés]])</f>
        <v>0</v>
      </c>
      <c r="FW219" s="75">
        <f t="shared" si="153"/>
        <v>0</v>
      </c>
      <c r="FX219" s="74">
        <v>0</v>
      </c>
      <c r="FY219" s="74"/>
      <c r="FZ219" s="74"/>
      <c r="GA219" s="74"/>
      <c r="GB219" s="71">
        <f t="shared" si="154"/>
        <v>0</v>
      </c>
      <c r="GC219" s="92"/>
      <c r="GD219" s="92"/>
      <c r="GE219" s="67">
        <f t="shared" si="155"/>
        <v>0</v>
      </c>
      <c r="GF219" s="66"/>
      <c r="GG219" s="66"/>
      <c r="GH219" s="66"/>
      <c r="GI219" s="66"/>
      <c r="GJ219" s="77"/>
    </row>
    <row r="220" spans="1:192" ht="18.600000000000001" customHeight="1" x14ac:dyDescent="0.25">
      <c r="A220" s="89"/>
      <c r="B220" s="17"/>
      <c r="C220" s="50"/>
      <c r="D220" s="140"/>
      <c r="E220" s="51"/>
      <c r="F220" s="139">
        <f t="shared" si="120"/>
        <v>1</v>
      </c>
      <c r="G220" s="49"/>
      <c r="H220" s="50"/>
      <c r="I220" s="122"/>
      <c r="J220" s="49"/>
      <c r="K220" s="50"/>
      <c r="L220" s="50"/>
      <c r="M220" s="90"/>
      <c r="N220" s="50"/>
      <c r="O220" s="50"/>
      <c r="P220" s="90"/>
      <c r="Q220" s="52">
        <f t="shared" si="125"/>
        <v>0</v>
      </c>
      <c r="R220" s="52">
        <f t="shared" si="126"/>
        <v>0</v>
      </c>
      <c r="S220" s="53">
        <f t="shared" si="127"/>
        <v>0</v>
      </c>
      <c r="T220" s="54">
        <f t="shared" si="128"/>
        <v>0</v>
      </c>
      <c r="U220" s="115">
        <f>SUM(Tableau1[[#This Row],[Vente confiserie]:[Vente boisson]])</f>
        <v>0</v>
      </c>
      <c r="V220" s="55"/>
      <c r="W220" s="55"/>
      <c r="X220" s="135">
        <f>SUM(Tableau1[[#This Row],[Vente lunette]:[Location lunette]])</f>
        <v>0</v>
      </c>
      <c r="Y220" s="55"/>
      <c r="Z220" s="55"/>
      <c r="AA220" s="55"/>
      <c r="AB220" s="55"/>
      <c r="AC220" s="56">
        <f t="shared" si="157"/>
        <v>0</v>
      </c>
      <c r="AD220" s="57"/>
      <c r="AE220" s="57"/>
      <c r="AF220" s="57"/>
      <c r="AG220" s="57"/>
      <c r="AH220" s="57"/>
      <c r="AI220" s="57"/>
      <c r="AJ220" s="118">
        <f>(Tableau1[[#This Row],[Recette guichet ]]*1.1275177)-Tableau1[[#This Row],[Recette guichet ]]</f>
        <v>0</v>
      </c>
      <c r="AK220" s="57"/>
      <c r="AL220" s="56">
        <f t="shared" si="158"/>
        <v>0</v>
      </c>
      <c r="AM220" s="58"/>
      <c r="AN220" s="58"/>
      <c r="AO220" s="58"/>
      <c r="AP220" s="115">
        <f t="shared" si="129"/>
        <v>0</v>
      </c>
      <c r="AQ220" s="69"/>
      <c r="AR220" s="69"/>
      <c r="AS220" s="69"/>
      <c r="AT220" s="69"/>
      <c r="AU220" s="59">
        <f t="shared" si="130"/>
        <v>0</v>
      </c>
      <c r="AV220" s="60">
        <f t="shared" si="131"/>
        <v>0</v>
      </c>
      <c r="AW220" s="58"/>
      <c r="AX220" s="58"/>
      <c r="AY220" s="58"/>
      <c r="AZ220" s="60">
        <f t="shared" si="121"/>
        <v>0</v>
      </c>
      <c r="BA220" s="58"/>
      <c r="BB220" s="58"/>
      <c r="BC220" s="58"/>
      <c r="BD220" s="60">
        <f>SUM(Tableau1[[#This Row],[ticket/carte/abonnement périmé]:[Autres ou non précisé 5]])</f>
        <v>0</v>
      </c>
      <c r="BE220" s="58"/>
      <c r="BF220" s="58"/>
      <c r="BG220" s="58"/>
      <c r="BH220" s="61">
        <f t="shared" si="132"/>
        <v>0</v>
      </c>
      <c r="BI220" s="120"/>
      <c r="BJ220" s="120"/>
      <c r="BK220" s="62">
        <f t="shared" si="133"/>
        <v>0</v>
      </c>
      <c r="BL220" s="120"/>
      <c r="BM220" s="120"/>
      <c r="BN220" s="120"/>
      <c r="BO220" s="120"/>
      <c r="BP220" s="120"/>
      <c r="BQ220" s="63"/>
      <c r="BR220" s="52">
        <f t="shared" si="134"/>
        <v>0</v>
      </c>
      <c r="BS220" s="52">
        <f t="shared" si="135"/>
        <v>0</v>
      </c>
      <c r="BT220" s="61">
        <f t="shared" si="136"/>
        <v>0</v>
      </c>
      <c r="BU220" s="64">
        <f t="shared" si="137"/>
        <v>0</v>
      </c>
      <c r="BV220" s="119">
        <f>SUM(Tableau1[[#This Row],[Achats confiserie]:[Achats boisson]])</f>
        <v>0</v>
      </c>
      <c r="BW220" s="58"/>
      <c r="BX220" s="69"/>
      <c r="BY220" s="58"/>
      <c r="BZ220" s="56">
        <f t="shared" si="138"/>
        <v>0</v>
      </c>
      <c r="CA220" s="66"/>
      <c r="CB220" s="66"/>
      <c r="CC220" s="56">
        <f t="shared" si="139"/>
        <v>0</v>
      </c>
      <c r="CD220" s="55"/>
      <c r="CE220" s="65"/>
      <c r="CF220" s="55"/>
      <c r="CG220" s="55"/>
      <c r="CH220" s="67">
        <f t="shared" si="140"/>
        <v>0</v>
      </c>
      <c r="CI220" s="68">
        <f t="shared" si="156"/>
        <v>0</v>
      </c>
      <c r="CJ220" s="55"/>
      <c r="CK220" s="55"/>
      <c r="CL220" s="55"/>
      <c r="CM220" s="55"/>
      <c r="CN220" s="55"/>
      <c r="CO220" s="68">
        <f t="shared" si="141"/>
        <v>0</v>
      </c>
      <c r="CP220" s="75">
        <f>SUM(Tableau1[[#This Row],[Fourniture eau]:[Energie (non précisé)]])</f>
        <v>0</v>
      </c>
      <c r="CQ220" s="55"/>
      <c r="CR220" s="55"/>
      <c r="CS220" s="55"/>
      <c r="CT220" s="55"/>
      <c r="CU220" s="55"/>
      <c r="CV220" s="55">
        <v>0</v>
      </c>
      <c r="CW220" s="55"/>
      <c r="CX220" s="68">
        <f>SUM(Tableau1[[#This Row],[Sous-traitance]:[Autres ou non précisé 12]])</f>
        <v>0</v>
      </c>
      <c r="CY220" s="65"/>
      <c r="CZ220" s="65"/>
      <c r="DA220" s="65"/>
      <c r="DB220" s="65"/>
      <c r="DC220" s="55"/>
      <c r="DD220" s="68">
        <f t="shared" si="122"/>
        <v>0</v>
      </c>
      <c r="DE220" s="55"/>
      <c r="DF220" s="65"/>
      <c r="DG220" s="65"/>
      <c r="DH220" s="65"/>
      <c r="DI220" s="68">
        <f>SUM(Tableau1[[#This Row],[Entretien et réparation matériel de projection]:[Autres ou non précisé 14]])</f>
        <v>0</v>
      </c>
      <c r="DJ220" s="58"/>
      <c r="DK220" s="58"/>
      <c r="DL220" s="69"/>
      <c r="DM220" s="68">
        <f t="shared" si="142"/>
        <v>0</v>
      </c>
      <c r="DN220" s="58"/>
      <c r="DO220" s="58"/>
      <c r="DP220" s="68">
        <f t="shared" si="143"/>
        <v>0</v>
      </c>
      <c r="DQ220" s="65"/>
      <c r="DR220" s="65"/>
      <c r="DS220" s="68">
        <f t="shared" si="144"/>
        <v>0</v>
      </c>
      <c r="DT220" s="65"/>
      <c r="DU220" s="65"/>
      <c r="DV220" s="65"/>
      <c r="DW220" s="68">
        <f>SUM(Tableau1[[#This Row],[Comission et courtage sur achats]:[Autres ou honoraires
 non précisé ]])</f>
        <v>0</v>
      </c>
      <c r="DX220" s="57"/>
      <c r="DY220" s="57"/>
      <c r="DZ220" s="65"/>
      <c r="EA220" s="65"/>
      <c r="EB220" s="65"/>
      <c r="EC220" s="68">
        <f t="shared" si="145"/>
        <v>0</v>
      </c>
      <c r="ED220" s="69"/>
      <c r="EE220" s="69"/>
      <c r="EF220" s="69"/>
      <c r="EG220" s="69"/>
      <c r="EH220" s="69"/>
      <c r="EI220" s="84">
        <f>SUM(Tableau1[[#This Row],[Transports sur films]:[autres ]])</f>
        <v>0</v>
      </c>
      <c r="EJ220" s="132">
        <v>0</v>
      </c>
      <c r="EK220" s="132"/>
      <c r="EL220" s="68">
        <f t="shared" si="146"/>
        <v>0</v>
      </c>
      <c r="EM220" s="65"/>
      <c r="EN220" s="65">
        <v>0</v>
      </c>
      <c r="EO220" s="65"/>
      <c r="EP220" s="65"/>
      <c r="EQ220" s="65"/>
      <c r="ER220" s="65"/>
      <c r="ES220" s="65"/>
      <c r="ET220" s="68">
        <f t="shared" si="147"/>
        <v>0</v>
      </c>
      <c r="EU220" s="65"/>
      <c r="EV220" s="65"/>
      <c r="EW220" s="65"/>
      <c r="EX220" s="65"/>
      <c r="EY220" s="65"/>
      <c r="EZ220" s="68">
        <f t="shared" si="124"/>
        <v>0</v>
      </c>
      <c r="FA220" s="65"/>
      <c r="FB220" s="65"/>
      <c r="FC220" s="70">
        <f t="shared" si="123"/>
        <v>0</v>
      </c>
      <c r="FD220" s="65"/>
      <c r="FE220" s="71">
        <f t="shared" si="148"/>
        <v>0</v>
      </c>
      <c r="FF220" s="72">
        <f t="shared" si="149"/>
        <v>0</v>
      </c>
      <c r="FG220" s="65"/>
      <c r="FH220" s="65"/>
      <c r="FI220" s="65"/>
      <c r="FJ220" s="56">
        <f t="shared" si="150"/>
        <v>0</v>
      </c>
      <c r="FK220" s="65"/>
      <c r="FL220" s="65"/>
      <c r="FM220" s="65"/>
      <c r="FN220" s="65"/>
      <c r="FO220" s="67">
        <f t="shared" si="151"/>
        <v>0</v>
      </c>
      <c r="FP220" s="57"/>
      <c r="FQ220" s="73"/>
      <c r="FR220" s="73"/>
      <c r="FS220" s="71">
        <f t="shared" si="152"/>
        <v>0</v>
      </c>
      <c r="FT220" s="91"/>
      <c r="FU220" s="91"/>
      <c r="FV220" s="67">
        <f>SUM(Tableau1[[#This Row],[Droits d''auteurs SACEM + cotisations SACEM]:[Autres ou non préciés]])</f>
        <v>0</v>
      </c>
      <c r="FW220" s="75">
        <f t="shared" si="153"/>
        <v>0</v>
      </c>
      <c r="FX220" s="74">
        <v>0</v>
      </c>
      <c r="FY220" s="74"/>
      <c r="FZ220" s="74"/>
      <c r="GA220" s="74"/>
      <c r="GB220" s="71">
        <f t="shared" si="154"/>
        <v>0</v>
      </c>
      <c r="GC220" s="92"/>
      <c r="GD220" s="92"/>
      <c r="GE220" s="67">
        <f t="shared" si="155"/>
        <v>0</v>
      </c>
      <c r="GF220" s="66"/>
      <c r="GG220" s="66"/>
      <c r="GH220" s="66"/>
      <c r="GI220" s="66"/>
      <c r="GJ220" s="77"/>
    </row>
    <row r="221" spans="1:192" ht="18.600000000000001" customHeight="1" x14ac:dyDescent="0.25">
      <c r="A221" s="89"/>
      <c r="B221" s="17"/>
      <c r="C221" s="50"/>
      <c r="D221" s="140"/>
      <c r="E221" s="51"/>
      <c r="F221" s="139">
        <f t="shared" si="120"/>
        <v>1</v>
      </c>
      <c r="G221" s="49"/>
      <c r="H221" s="50"/>
      <c r="I221" s="122"/>
      <c r="J221" s="49"/>
      <c r="K221" s="50"/>
      <c r="L221" s="50"/>
      <c r="M221" s="90"/>
      <c r="N221" s="50"/>
      <c r="O221" s="50"/>
      <c r="P221" s="90"/>
      <c r="Q221" s="52">
        <f t="shared" si="125"/>
        <v>0</v>
      </c>
      <c r="R221" s="52">
        <f t="shared" si="126"/>
        <v>0</v>
      </c>
      <c r="S221" s="53">
        <f t="shared" si="127"/>
        <v>0</v>
      </c>
      <c r="T221" s="54">
        <f t="shared" si="128"/>
        <v>0</v>
      </c>
      <c r="U221" s="115">
        <f>SUM(Tableau1[[#This Row],[Vente confiserie]:[Vente boisson]])</f>
        <v>0</v>
      </c>
      <c r="V221" s="55"/>
      <c r="W221" s="55"/>
      <c r="X221" s="135">
        <f>SUM(Tableau1[[#This Row],[Vente lunette]:[Location lunette]])</f>
        <v>0</v>
      </c>
      <c r="Y221" s="55"/>
      <c r="Z221" s="55"/>
      <c r="AA221" s="55"/>
      <c r="AB221" s="55"/>
      <c r="AC221" s="56">
        <f t="shared" si="157"/>
        <v>0</v>
      </c>
      <c r="AD221" s="57"/>
      <c r="AE221" s="57"/>
      <c r="AF221" s="57"/>
      <c r="AG221" s="57"/>
      <c r="AH221" s="57"/>
      <c r="AI221" s="57"/>
      <c r="AJ221" s="118">
        <f>(Tableau1[[#This Row],[Recette guichet ]]*1.1275177)-Tableau1[[#This Row],[Recette guichet ]]</f>
        <v>0</v>
      </c>
      <c r="AK221" s="57"/>
      <c r="AL221" s="56">
        <f t="shared" si="158"/>
        <v>0</v>
      </c>
      <c r="AM221" s="58"/>
      <c r="AN221" s="58"/>
      <c r="AO221" s="58"/>
      <c r="AP221" s="115">
        <f t="shared" si="129"/>
        <v>0</v>
      </c>
      <c r="AQ221" s="69"/>
      <c r="AR221" s="69"/>
      <c r="AS221" s="69"/>
      <c r="AT221" s="69"/>
      <c r="AU221" s="59">
        <f t="shared" si="130"/>
        <v>0</v>
      </c>
      <c r="AV221" s="60">
        <f t="shared" si="131"/>
        <v>0</v>
      </c>
      <c r="AW221" s="58"/>
      <c r="AX221" s="58"/>
      <c r="AY221" s="58"/>
      <c r="AZ221" s="60">
        <f t="shared" si="121"/>
        <v>0</v>
      </c>
      <c r="BA221" s="58"/>
      <c r="BB221" s="58"/>
      <c r="BC221" s="58"/>
      <c r="BD221" s="60">
        <f>SUM(Tableau1[[#This Row],[ticket/carte/abonnement périmé]:[Autres ou non précisé 5]])</f>
        <v>0</v>
      </c>
      <c r="BE221" s="58"/>
      <c r="BF221" s="58"/>
      <c r="BG221" s="58"/>
      <c r="BH221" s="61">
        <f t="shared" si="132"/>
        <v>0</v>
      </c>
      <c r="BI221" s="120"/>
      <c r="BJ221" s="120"/>
      <c r="BK221" s="62">
        <f t="shared" si="133"/>
        <v>0</v>
      </c>
      <c r="BL221" s="120"/>
      <c r="BM221" s="120"/>
      <c r="BN221" s="120"/>
      <c r="BO221" s="120"/>
      <c r="BP221" s="120"/>
      <c r="BQ221" s="63"/>
      <c r="BR221" s="52">
        <f t="shared" si="134"/>
        <v>0</v>
      </c>
      <c r="BS221" s="52">
        <f t="shared" si="135"/>
        <v>0</v>
      </c>
      <c r="BT221" s="61">
        <f t="shared" si="136"/>
        <v>0</v>
      </c>
      <c r="BU221" s="64">
        <f t="shared" si="137"/>
        <v>0</v>
      </c>
      <c r="BV221" s="119">
        <f>SUM(Tableau1[[#This Row],[Achats confiserie]:[Achats boisson]])</f>
        <v>0</v>
      </c>
      <c r="BW221" s="58"/>
      <c r="BX221" s="69"/>
      <c r="BY221" s="58"/>
      <c r="BZ221" s="56">
        <f t="shared" si="138"/>
        <v>0</v>
      </c>
      <c r="CA221" s="66"/>
      <c r="CB221" s="66"/>
      <c r="CC221" s="56">
        <f t="shared" si="139"/>
        <v>0</v>
      </c>
      <c r="CD221" s="55"/>
      <c r="CE221" s="65"/>
      <c r="CF221" s="55"/>
      <c r="CG221" s="55"/>
      <c r="CH221" s="67">
        <f t="shared" si="140"/>
        <v>0</v>
      </c>
      <c r="CI221" s="68">
        <f t="shared" si="156"/>
        <v>0</v>
      </c>
      <c r="CJ221" s="55"/>
      <c r="CK221" s="55"/>
      <c r="CL221" s="55"/>
      <c r="CM221" s="55"/>
      <c r="CN221" s="55"/>
      <c r="CO221" s="68">
        <f t="shared" si="141"/>
        <v>0</v>
      </c>
      <c r="CP221" s="75">
        <f>SUM(Tableau1[[#This Row],[Fourniture eau]:[Energie (non précisé)]])</f>
        <v>0</v>
      </c>
      <c r="CQ221" s="55"/>
      <c r="CR221" s="55"/>
      <c r="CS221" s="55"/>
      <c r="CT221" s="55"/>
      <c r="CU221" s="55"/>
      <c r="CV221" s="55">
        <v>0</v>
      </c>
      <c r="CW221" s="55"/>
      <c r="CX221" s="68">
        <f>SUM(Tableau1[[#This Row],[Sous-traitance]:[Autres ou non précisé 12]])</f>
        <v>0</v>
      </c>
      <c r="CY221" s="65"/>
      <c r="CZ221" s="65"/>
      <c r="DA221" s="65"/>
      <c r="DB221" s="65"/>
      <c r="DC221" s="55"/>
      <c r="DD221" s="68">
        <f t="shared" si="122"/>
        <v>0</v>
      </c>
      <c r="DE221" s="55"/>
      <c r="DF221" s="65"/>
      <c r="DG221" s="65"/>
      <c r="DH221" s="65"/>
      <c r="DI221" s="68">
        <f>SUM(Tableau1[[#This Row],[Entretien et réparation matériel de projection]:[Autres ou non précisé 14]])</f>
        <v>0</v>
      </c>
      <c r="DJ221" s="58"/>
      <c r="DK221" s="58"/>
      <c r="DL221" s="69"/>
      <c r="DM221" s="68">
        <f t="shared" si="142"/>
        <v>0</v>
      </c>
      <c r="DN221" s="58"/>
      <c r="DO221" s="58"/>
      <c r="DP221" s="68">
        <f t="shared" si="143"/>
        <v>0</v>
      </c>
      <c r="DQ221" s="65"/>
      <c r="DR221" s="65"/>
      <c r="DS221" s="68">
        <f t="shared" si="144"/>
        <v>0</v>
      </c>
      <c r="DT221" s="65"/>
      <c r="DU221" s="65"/>
      <c r="DV221" s="65"/>
      <c r="DW221" s="68">
        <f>SUM(Tableau1[[#This Row],[Comission et courtage sur achats]:[Autres ou honoraires
 non précisé ]])</f>
        <v>0</v>
      </c>
      <c r="DX221" s="57"/>
      <c r="DY221" s="57"/>
      <c r="DZ221" s="65"/>
      <c r="EA221" s="65"/>
      <c r="EB221" s="65"/>
      <c r="EC221" s="68">
        <f t="shared" si="145"/>
        <v>0</v>
      </c>
      <c r="ED221" s="69"/>
      <c r="EE221" s="69"/>
      <c r="EF221" s="69"/>
      <c r="EG221" s="69"/>
      <c r="EH221" s="69"/>
      <c r="EI221" s="84">
        <f>SUM(Tableau1[[#This Row],[Transports sur films]:[autres ]])</f>
        <v>0</v>
      </c>
      <c r="EJ221" s="132">
        <v>0</v>
      </c>
      <c r="EK221" s="132"/>
      <c r="EL221" s="68">
        <f t="shared" si="146"/>
        <v>0</v>
      </c>
      <c r="EM221" s="65"/>
      <c r="EN221" s="65">
        <v>0</v>
      </c>
      <c r="EO221" s="65"/>
      <c r="EP221" s="65"/>
      <c r="EQ221" s="65"/>
      <c r="ER221" s="65"/>
      <c r="ES221" s="65"/>
      <c r="ET221" s="68">
        <f t="shared" si="147"/>
        <v>0</v>
      </c>
      <c r="EU221" s="65"/>
      <c r="EV221" s="65"/>
      <c r="EW221" s="65"/>
      <c r="EX221" s="65"/>
      <c r="EY221" s="65"/>
      <c r="EZ221" s="68">
        <f t="shared" si="124"/>
        <v>0</v>
      </c>
      <c r="FA221" s="65"/>
      <c r="FB221" s="65"/>
      <c r="FC221" s="70">
        <f t="shared" si="123"/>
        <v>0</v>
      </c>
      <c r="FD221" s="65"/>
      <c r="FE221" s="71">
        <f t="shared" si="148"/>
        <v>0</v>
      </c>
      <c r="FF221" s="72">
        <f t="shared" si="149"/>
        <v>0</v>
      </c>
      <c r="FG221" s="65"/>
      <c r="FH221" s="65"/>
      <c r="FI221" s="65"/>
      <c r="FJ221" s="56">
        <f t="shared" si="150"/>
        <v>0</v>
      </c>
      <c r="FK221" s="65"/>
      <c r="FL221" s="65"/>
      <c r="FM221" s="65"/>
      <c r="FN221" s="65"/>
      <c r="FO221" s="67">
        <f t="shared" si="151"/>
        <v>0</v>
      </c>
      <c r="FP221" s="57"/>
      <c r="FQ221" s="73"/>
      <c r="FR221" s="73"/>
      <c r="FS221" s="71">
        <f t="shared" si="152"/>
        <v>0</v>
      </c>
      <c r="FT221" s="91"/>
      <c r="FU221" s="91"/>
      <c r="FV221" s="67">
        <f>SUM(Tableau1[[#This Row],[Droits d''auteurs SACEM + cotisations SACEM]:[Autres ou non préciés]])</f>
        <v>0</v>
      </c>
      <c r="FW221" s="75">
        <f t="shared" si="153"/>
        <v>0</v>
      </c>
      <c r="FX221" s="74">
        <v>0</v>
      </c>
      <c r="FY221" s="74"/>
      <c r="FZ221" s="74"/>
      <c r="GA221" s="74"/>
      <c r="GB221" s="71">
        <f t="shared" si="154"/>
        <v>0</v>
      </c>
      <c r="GC221" s="92"/>
      <c r="GD221" s="92"/>
      <c r="GE221" s="67">
        <f t="shared" si="155"/>
        <v>0</v>
      </c>
      <c r="GF221" s="66"/>
      <c r="GG221" s="66"/>
      <c r="GH221" s="66"/>
      <c r="GI221" s="66"/>
      <c r="GJ221" s="77"/>
    </row>
    <row r="222" spans="1:192" ht="18.600000000000001" customHeight="1" x14ac:dyDescent="0.25">
      <c r="A222" s="89"/>
      <c r="B222" s="17"/>
      <c r="C222" s="50"/>
      <c r="D222" s="140"/>
      <c r="E222" s="51"/>
      <c r="F222" s="139">
        <f t="shared" si="120"/>
        <v>1</v>
      </c>
      <c r="G222" s="49"/>
      <c r="H222" s="50"/>
      <c r="I222" s="122"/>
      <c r="J222" s="49"/>
      <c r="K222" s="50"/>
      <c r="L222" s="50"/>
      <c r="M222" s="90"/>
      <c r="N222" s="50"/>
      <c r="O222" s="50"/>
      <c r="P222" s="90"/>
      <c r="Q222" s="52">
        <f t="shared" si="125"/>
        <v>0</v>
      </c>
      <c r="R222" s="52">
        <f t="shared" si="126"/>
        <v>0</v>
      </c>
      <c r="S222" s="53">
        <f t="shared" si="127"/>
        <v>0</v>
      </c>
      <c r="T222" s="54">
        <f t="shared" si="128"/>
        <v>0</v>
      </c>
      <c r="U222" s="115">
        <f>SUM(Tableau1[[#This Row],[Vente confiserie]:[Vente boisson]])</f>
        <v>0</v>
      </c>
      <c r="V222" s="55"/>
      <c r="W222" s="55"/>
      <c r="X222" s="135">
        <f>SUM(Tableau1[[#This Row],[Vente lunette]:[Location lunette]])</f>
        <v>0</v>
      </c>
      <c r="Y222" s="55"/>
      <c r="Z222" s="55"/>
      <c r="AA222" s="55"/>
      <c r="AB222" s="55"/>
      <c r="AC222" s="56">
        <f t="shared" si="157"/>
        <v>0</v>
      </c>
      <c r="AD222" s="57"/>
      <c r="AE222" s="57"/>
      <c r="AF222" s="57"/>
      <c r="AG222" s="57"/>
      <c r="AH222" s="57"/>
      <c r="AI222" s="57"/>
      <c r="AJ222" s="118">
        <f>(Tableau1[[#This Row],[Recette guichet ]]*1.1275177)-Tableau1[[#This Row],[Recette guichet ]]</f>
        <v>0</v>
      </c>
      <c r="AK222" s="57"/>
      <c r="AL222" s="56">
        <f t="shared" si="158"/>
        <v>0</v>
      </c>
      <c r="AM222" s="58"/>
      <c r="AN222" s="58"/>
      <c r="AO222" s="58"/>
      <c r="AP222" s="115">
        <f t="shared" si="129"/>
        <v>0</v>
      </c>
      <c r="AQ222" s="69"/>
      <c r="AR222" s="69"/>
      <c r="AS222" s="69"/>
      <c r="AT222" s="69"/>
      <c r="AU222" s="59">
        <f t="shared" si="130"/>
        <v>0</v>
      </c>
      <c r="AV222" s="60">
        <f t="shared" si="131"/>
        <v>0</v>
      </c>
      <c r="AW222" s="58"/>
      <c r="AX222" s="58"/>
      <c r="AY222" s="58"/>
      <c r="AZ222" s="60">
        <f t="shared" si="121"/>
        <v>0</v>
      </c>
      <c r="BA222" s="58"/>
      <c r="BB222" s="58"/>
      <c r="BC222" s="58"/>
      <c r="BD222" s="60">
        <f>SUM(Tableau1[[#This Row],[ticket/carte/abonnement périmé]:[Autres ou non précisé 5]])</f>
        <v>0</v>
      </c>
      <c r="BE222" s="58"/>
      <c r="BF222" s="58"/>
      <c r="BG222" s="58"/>
      <c r="BH222" s="61">
        <f t="shared" si="132"/>
        <v>0</v>
      </c>
      <c r="BI222" s="120"/>
      <c r="BJ222" s="120"/>
      <c r="BK222" s="62">
        <f t="shared" si="133"/>
        <v>0</v>
      </c>
      <c r="BL222" s="120"/>
      <c r="BM222" s="120"/>
      <c r="BN222" s="120"/>
      <c r="BO222" s="120"/>
      <c r="BP222" s="120"/>
      <c r="BQ222" s="63"/>
      <c r="BR222" s="52">
        <f t="shared" si="134"/>
        <v>0</v>
      </c>
      <c r="BS222" s="52">
        <f t="shared" si="135"/>
        <v>0</v>
      </c>
      <c r="BT222" s="61">
        <f t="shared" si="136"/>
        <v>0</v>
      </c>
      <c r="BU222" s="64">
        <f t="shared" si="137"/>
        <v>0</v>
      </c>
      <c r="BV222" s="119">
        <f>SUM(Tableau1[[#This Row],[Achats confiserie]:[Achats boisson]])</f>
        <v>0</v>
      </c>
      <c r="BW222" s="58"/>
      <c r="BX222" s="69"/>
      <c r="BY222" s="58"/>
      <c r="BZ222" s="56">
        <f t="shared" si="138"/>
        <v>0</v>
      </c>
      <c r="CA222" s="66"/>
      <c r="CB222" s="66"/>
      <c r="CC222" s="56">
        <f t="shared" si="139"/>
        <v>0</v>
      </c>
      <c r="CD222" s="55"/>
      <c r="CE222" s="65"/>
      <c r="CF222" s="55"/>
      <c r="CG222" s="55"/>
      <c r="CH222" s="67">
        <f t="shared" si="140"/>
        <v>0</v>
      </c>
      <c r="CI222" s="68">
        <f t="shared" si="156"/>
        <v>0</v>
      </c>
      <c r="CJ222" s="55"/>
      <c r="CK222" s="55"/>
      <c r="CL222" s="55"/>
      <c r="CM222" s="55"/>
      <c r="CN222" s="55"/>
      <c r="CO222" s="68">
        <f t="shared" si="141"/>
        <v>0</v>
      </c>
      <c r="CP222" s="75">
        <f>SUM(Tableau1[[#This Row],[Fourniture eau]:[Energie (non précisé)]])</f>
        <v>0</v>
      </c>
      <c r="CQ222" s="55"/>
      <c r="CR222" s="55"/>
      <c r="CS222" s="55"/>
      <c r="CT222" s="55"/>
      <c r="CU222" s="55"/>
      <c r="CV222" s="55">
        <v>0</v>
      </c>
      <c r="CW222" s="55"/>
      <c r="CX222" s="68">
        <f>SUM(Tableau1[[#This Row],[Sous-traitance]:[Autres ou non précisé 12]])</f>
        <v>0</v>
      </c>
      <c r="CY222" s="65"/>
      <c r="CZ222" s="65"/>
      <c r="DA222" s="65"/>
      <c r="DB222" s="65"/>
      <c r="DC222" s="55"/>
      <c r="DD222" s="68">
        <f t="shared" si="122"/>
        <v>0</v>
      </c>
      <c r="DE222" s="55"/>
      <c r="DF222" s="65"/>
      <c r="DG222" s="65"/>
      <c r="DH222" s="65"/>
      <c r="DI222" s="68">
        <f>SUM(Tableau1[[#This Row],[Entretien et réparation matériel de projection]:[Autres ou non précisé 14]])</f>
        <v>0</v>
      </c>
      <c r="DJ222" s="58"/>
      <c r="DK222" s="58"/>
      <c r="DL222" s="69"/>
      <c r="DM222" s="68">
        <f t="shared" si="142"/>
        <v>0</v>
      </c>
      <c r="DN222" s="58"/>
      <c r="DO222" s="58"/>
      <c r="DP222" s="68">
        <f t="shared" si="143"/>
        <v>0</v>
      </c>
      <c r="DQ222" s="65"/>
      <c r="DR222" s="65"/>
      <c r="DS222" s="68">
        <f t="shared" si="144"/>
        <v>0</v>
      </c>
      <c r="DT222" s="65"/>
      <c r="DU222" s="65"/>
      <c r="DV222" s="65"/>
      <c r="DW222" s="68">
        <f>SUM(Tableau1[[#This Row],[Comission et courtage sur achats]:[Autres ou honoraires
 non précisé ]])</f>
        <v>0</v>
      </c>
      <c r="DX222" s="57"/>
      <c r="DY222" s="57"/>
      <c r="DZ222" s="65"/>
      <c r="EA222" s="65"/>
      <c r="EB222" s="65"/>
      <c r="EC222" s="68">
        <f t="shared" si="145"/>
        <v>0</v>
      </c>
      <c r="ED222" s="69"/>
      <c r="EE222" s="69"/>
      <c r="EF222" s="69"/>
      <c r="EG222" s="69"/>
      <c r="EH222" s="69"/>
      <c r="EI222" s="84">
        <f>SUM(Tableau1[[#This Row],[Transports sur films]:[autres ]])</f>
        <v>0</v>
      </c>
      <c r="EJ222" s="132">
        <v>0</v>
      </c>
      <c r="EK222" s="132"/>
      <c r="EL222" s="68">
        <f t="shared" si="146"/>
        <v>0</v>
      </c>
      <c r="EM222" s="65"/>
      <c r="EN222" s="65">
        <v>0</v>
      </c>
      <c r="EO222" s="65"/>
      <c r="EP222" s="65"/>
      <c r="EQ222" s="65"/>
      <c r="ER222" s="65"/>
      <c r="ES222" s="65"/>
      <c r="ET222" s="68">
        <f t="shared" si="147"/>
        <v>0</v>
      </c>
      <c r="EU222" s="65"/>
      <c r="EV222" s="65"/>
      <c r="EW222" s="65"/>
      <c r="EX222" s="65"/>
      <c r="EY222" s="65"/>
      <c r="EZ222" s="68">
        <f t="shared" si="124"/>
        <v>0</v>
      </c>
      <c r="FA222" s="65"/>
      <c r="FB222" s="65"/>
      <c r="FC222" s="70">
        <f t="shared" si="123"/>
        <v>0</v>
      </c>
      <c r="FD222" s="65"/>
      <c r="FE222" s="71">
        <f t="shared" si="148"/>
        <v>0</v>
      </c>
      <c r="FF222" s="72">
        <f t="shared" si="149"/>
        <v>0</v>
      </c>
      <c r="FG222" s="65"/>
      <c r="FH222" s="65"/>
      <c r="FI222" s="65"/>
      <c r="FJ222" s="56">
        <f t="shared" si="150"/>
        <v>0</v>
      </c>
      <c r="FK222" s="65"/>
      <c r="FL222" s="65"/>
      <c r="FM222" s="65"/>
      <c r="FN222" s="65"/>
      <c r="FO222" s="67">
        <f t="shared" si="151"/>
        <v>0</v>
      </c>
      <c r="FP222" s="57"/>
      <c r="FQ222" s="73"/>
      <c r="FR222" s="73"/>
      <c r="FS222" s="71">
        <f t="shared" si="152"/>
        <v>0</v>
      </c>
      <c r="FT222" s="91"/>
      <c r="FU222" s="91"/>
      <c r="FV222" s="67">
        <f>SUM(Tableau1[[#This Row],[Droits d''auteurs SACEM + cotisations SACEM]:[Autres ou non préciés]])</f>
        <v>0</v>
      </c>
      <c r="FW222" s="75">
        <f t="shared" si="153"/>
        <v>0</v>
      </c>
      <c r="FX222" s="74">
        <v>0</v>
      </c>
      <c r="FY222" s="74"/>
      <c r="FZ222" s="74"/>
      <c r="GA222" s="74"/>
      <c r="GB222" s="71">
        <f t="shared" si="154"/>
        <v>0</v>
      </c>
      <c r="GC222" s="92"/>
      <c r="GD222" s="92"/>
      <c r="GE222" s="67">
        <f t="shared" si="155"/>
        <v>0</v>
      </c>
      <c r="GF222" s="66"/>
      <c r="GG222" s="66"/>
      <c r="GH222" s="66"/>
      <c r="GI222" s="66"/>
      <c r="GJ222" s="77"/>
    </row>
    <row r="223" spans="1:192" ht="18.600000000000001" customHeight="1" x14ac:dyDescent="0.25">
      <c r="A223" s="89"/>
      <c r="B223" s="17"/>
      <c r="C223" s="50"/>
      <c r="D223" s="140"/>
      <c r="E223" s="51"/>
      <c r="F223" s="139">
        <f t="shared" si="120"/>
        <v>1</v>
      </c>
      <c r="G223" s="49"/>
      <c r="H223" s="50"/>
      <c r="I223" s="122"/>
      <c r="J223" s="49"/>
      <c r="K223" s="50"/>
      <c r="L223" s="50"/>
      <c r="M223" s="90"/>
      <c r="N223" s="50"/>
      <c r="O223" s="50"/>
      <c r="P223" s="90"/>
      <c r="Q223" s="52">
        <f t="shared" si="125"/>
        <v>0</v>
      </c>
      <c r="R223" s="52">
        <f t="shared" si="126"/>
        <v>0</v>
      </c>
      <c r="S223" s="53">
        <f t="shared" si="127"/>
        <v>0</v>
      </c>
      <c r="T223" s="54">
        <f t="shared" si="128"/>
        <v>0</v>
      </c>
      <c r="U223" s="115">
        <f>SUM(Tableau1[[#This Row],[Vente confiserie]:[Vente boisson]])</f>
        <v>0</v>
      </c>
      <c r="V223" s="55"/>
      <c r="W223" s="55"/>
      <c r="X223" s="135">
        <f>SUM(Tableau1[[#This Row],[Vente lunette]:[Location lunette]])</f>
        <v>0</v>
      </c>
      <c r="Y223" s="55"/>
      <c r="Z223" s="55"/>
      <c r="AA223" s="55"/>
      <c r="AB223" s="55"/>
      <c r="AC223" s="56">
        <f t="shared" si="157"/>
        <v>0</v>
      </c>
      <c r="AD223" s="57"/>
      <c r="AE223" s="57"/>
      <c r="AF223" s="57"/>
      <c r="AG223" s="57"/>
      <c r="AH223" s="57"/>
      <c r="AI223" s="57"/>
      <c r="AJ223" s="118">
        <f>(Tableau1[[#This Row],[Recette guichet ]]*1.1275177)-Tableau1[[#This Row],[Recette guichet ]]</f>
        <v>0</v>
      </c>
      <c r="AK223" s="57"/>
      <c r="AL223" s="56">
        <f t="shared" si="158"/>
        <v>0</v>
      </c>
      <c r="AM223" s="58"/>
      <c r="AN223" s="58"/>
      <c r="AO223" s="58"/>
      <c r="AP223" s="115">
        <f t="shared" si="129"/>
        <v>0</v>
      </c>
      <c r="AQ223" s="69"/>
      <c r="AR223" s="69"/>
      <c r="AS223" s="69"/>
      <c r="AT223" s="69"/>
      <c r="AU223" s="59">
        <f t="shared" si="130"/>
        <v>0</v>
      </c>
      <c r="AV223" s="60">
        <f t="shared" si="131"/>
        <v>0</v>
      </c>
      <c r="AW223" s="58"/>
      <c r="AX223" s="58"/>
      <c r="AY223" s="58"/>
      <c r="AZ223" s="60">
        <f t="shared" si="121"/>
        <v>0</v>
      </c>
      <c r="BA223" s="58"/>
      <c r="BB223" s="58"/>
      <c r="BC223" s="58"/>
      <c r="BD223" s="60">
        <f>SUM(Tableau1[[#This Row],[ticket/carte/abonnement périmé]:[Autres ou non précisé 5]])</f>
        <v>0</v>
      </c>
      <c r="BE223" s="58"/>
      <c r="BF223" s="58"/>
      <c r="BG223" s="58"/>
      <c r="BH223" s="61">
        <f t="shared" si="132"/>
        <v>0</v>
      </c>
      <c r="BI223" s="120"/>
      <c r="BJ223" s="120"/>
      <c r="BK223" s="62">
        <f t="shared" si="133"/>
        <v>0</v>
      </c>
      <c r="BL223" s="120"/>
      <c r="BM223" s="120"/>
      <c r="BN223" s="120"/>
      <c r="BO223" s="120"/>
      <c r="BP223" s="120"/>
      <c r="BQ223" s="63"/>
      <c r="BR223" s="52">
        <f t="shared" si="134"/>
        <v>0</v>
      </c>
      <c r="BS223" s="52">
        <f t="shared" si="135"/>
        <v>0</v>
      </c>
      <c r="BT223" s="61">
        <f t="shared" si="136"/>
        <v>0</v>
      </c>
      <c r="BU223" s="64">
        <f t="shared" si="137"/>
        <v>0</v>
      </c>
      <c r="BV223" s="119">
        <f>SUM(Tableau1[[#This Row],[Achats confiserie]:[Achats boisson]])</f>
        <v>0</v>
      </c>
      <c r="BW223" s="58"/>
      <c r="BX223" s="69"/>
      <c r="BY223" s="58"/>
      <c r="BZ223" s="56">
        <f t="shared" si="138"/>
        <v>0</v>
      </c>
      <c r="CA223" s="66"/>
      <c r="CB223" s="66"/>
      <c r="CC223" s="56">
        <f t="shared" si="139"/>
        <v>0</v>
      </c>
      <c r="CD223" s="55"/>
      <c r="CE223" s="65"/>
      <c r="CF223" s="55"/>
      <c r="CG223" s="55"/>
      <c r="CH223" s="67">
        <f t="shared" si="140"/>
        <v>0</v>
      </c>
      <c r="CI223" s="68">
        <f t="shared" si="156"/>
        <v>0</v>
      </c>
      <c r="CJ223" s="55"/>
      <c r="CK223" s="55"/>
      <c r="CL223" s="55"/>
      <c r="CM223" s="55"/>
      <c r="CN223" s="55"/>
      <c r="CO223" s="68">
        <f t="shared" si="141"/>
        <v>0</v>
      </c>
      <c r="CP223" s="75">
        <f>SUM(Tableau1[[#This Row],[Fourniture eau]:[Energie (non précisé)]])</f>
        <v>0</v>
      </c>
      <c r="CQ223" s="55"/>
      <c r="CR223" s="55"/>
      <c r="CS223" s="55"/>
      <c r="CT223" s="55"/>
      <c r="CU223" s="55"/>
      <c r="CV223" s="55">
        <v>0</v>
      </c>
      <c r="CW223" s="55"/>
      <c r="CX223" s="68">
        <f>SUM(Tableau1[[#This Row],[Sous-traitance]:[Autres ou non précisé 12]])</f>
        <v>0</v>
      </c>
      <c r="CY223" s="65"/>
      <c r="CZ223" s="65"/>
      <c r="DA223" s="65"/>
      <c r="DB223" s="65"/>
      <c r="DC223" s="55"/>
      <c r="DD223" s="68">
        <f t="shared" si="122"/>
        <v>0</v>
      </c>
      <c r="DE223" s="55"/>
      <c r="DF223" s="65"/>
      <c r="DG223" s="65"/>
      <c r="DH223" s="65"/>
      <c r="DI223" s="68">
        <f>SUM(Tableau1[[#This Row],[Entretien et réparation matériel de projection]:[Autres ou non précisé 14]])</f>
        <v>0</v>
      </c>
      <c r="DJ223" s="58"/>
      <c r="DK223" s="58"/>
      <c r="DL223" s="69"/>
      <c r="DM223" s="68">
        <f t="shared" si="142"/>
        <v>0</v>
      </c>
      <c r="DN223" s="58"/>
      <c r="DO223" s="58"/>
      <c r="DP223" s="68">
        <f t="shared" si="143"/>
        <v>0</v>
      </c>
      <c r="DQ223" s="65"/>
      <c r="DR223" s="65"/>
      <c r="DS223" s="68">
        <f t="shared" si="144"/>
        <v>0</v>
      </c>
      <c r="DT223" s="65"/>
      <c r="DU223" s="65"/>
      <c r="DV223" s="65"/>
      <c r="DW223" s="68">
        <f>SUM(Tableau1[[#This Row],[Comission et courtage sur achats]:[Autres ou honoraires
 non précisé ]])</f>
        <v>0</v>
      </c>
      <c r="DX223" s="57"/>
      <c r="DY223" s="57"/>
      <c r="DZ223" s="65"/>
      <c r="EA223" s="65"/>
      <c r="EB223" s="65"/>
      <c r="EC223" s="68">
        <f t="shared" si="145"/>
        <v>0</v>
      </c>
      <c r="ED223" s="69"/>
      <c r="EE223" s="69"/>
      <c r="EF223" s="69"/>
      <c r="EG223" s="69"/>
      <c r="EH223" s="69"/>
      <c r="EI223" s="84">
        <f>SUM(Tableau1[[#This Row],[Transports sur films]:[autres ]])</f>
        <v>0</v>
      </c>
      <c r="EJ223" s="132">
        <v>0</v>
      </c>
      <c r="EK223" s="132"/>
      <c r="EL223" s="68">
        <f t="shared" si="146"/>
        <v>0</v>
      </c>
      <c r="EM223" s="65"/>
      <c r="EN223" s="65">
        <v>0</v>
      </c>
      <c r="EO223" s="65"/>
      <c r="EP223" s="65"/>
      <c r="EQ223" s="65"/>
      <c r="ER223" s="65"/>
      <c r="ES223" s="65"/>
      <c r="ET223" s="68">
        <f t="shared" si="147"/>
        <v>0</v>
      </c>
      <c r="EU223" s="65"/>
      <c r="EV223" s="65"/>
      <c r="EW223" s="65"/>
      <c r="EX223" s="65"/>
      <c r="EY223" s="65"/>
      <c r="EZ223" s="68">
        <f t="shared" si="124"/>
        <v>0</v>
      </c>
      <c r="FA223" s="65"/>
      <c r="FB223" s="65"/>
      <c r="FC223" s="70">
        <f t="shared" si="123"/>
        <v>0</v>
      </c>
      <c r="FD223" s="65"/>
      <c r="FE223" s="71">
        <f t="shared" si="148"/>
        <v>0</v>
      </c>
      <c r="FF223" s="72">
        <f t="shared" si="149"/>
        <v>0</v>
      </c>
      <c r="FG223" s="65"/>
      <c r="FH223" s="65"/>
      <c r="FI223" s="65"/>
      <c r="FJ223" s="56">
        <f t="shared" si="150"/>
        <v>0</v>
      </c>
      <c r="FK223" s="65"/>
      <c r="FL223" s="65"/>
      <c r="FM223" s="65"/>
      <c r="FN223" s="65"/>
      <c r="FO223" s="67">
        <f t="shared" si="151"/>
        <v>0</v>
      </c>
      <c r="FP223" s="57"/>
      <c r="FQ223" s="73"/>
      <c r="FR223" s="73"/>
      <c r="FS223" s="71">
        <f t="shared" si="152"/>
        <v>0</v>
      </c>
      <c r="FT223" s="91"/>
      <c r="FU223" s="91"/>
      <c r="FV223" s="67">
        <f>SUM(Tableau1[[#This Row],[Droits d''auteurs SACEM + cotisations SACEM]:[Autres ou non préciés]])</f>
        <v>0</v>
      </c>
      <c r="FW223" s="75">
        <f t="shared" si="153"/>
        <v>0</v>
      </c>
      <c r="FX223" s="74">
        <v>0</v>
      </c>
      <c r="FY223" s="74"/>
      <c r="FZ223" s="74"/>
      <c r="GA223" s="74"/>
      <c r="GB223" s="71">
        <f t="shared" si="154"/>
        <v>0</v>
      </c>
      <c r="GC223" s="92"/>
      <c r="GD223" s="92"/>
      <c r="GE223" s="67">
        <f t="shared" si="155"/>
        <v>0</v>
      </c>
      <c r="GF223" s="66"/>
      <c r="GG223" s="66"/>
      <c r="GH223" s="66"/>
      <c r="GI223" s="66"/>
      <c r="GJ223" s="77"/>
    </row>
    <row r="224" spans="1:192" ht="18.600000000000001" customHeight="1" x14ac:dyDescent="0.25">
      <c r="A224" s="89"/>
      <c r="B224" s="17"/>
      <c r="C224" s="50"/>
      <c r="D224" s="140"/>
      <c r="E224" s="51"/>
      <c r="F224" s="139">
        <f t="shared" si="120"/>
        <v>1</v>
      </c>
      <c r="G224" s="49"/>
      <c r="H224" s="50"/>
      <c r="I224" s="122"/>
      <c r="J224" s="49"/>
      <c r="K224" s="50"/>
      <c r="L224" s="50"/>
      <c r="M224" s="90"/>
      <c r="N224" s="50"/>
      <c r="O224" s="50"/>
      <c r="P224" s="90"/>
      <c r="Q224" s="52">
        <f t="shared" si="125"/>
        <v>0</v>
      </c>
      <c r="R224" s="52">
        <f t="shared" si="126"/>
        <v>0</v>
      </c>
      <c r="S224" s="53">
        <f t="shared" si="127"/>
        <v>0</v>
      </c>
      <c r="T224" s="54">
        <f t="shared" si="128"/>
        <v>0</v>
      </c>
      <c r="U224" s="115">
        <f>SUM(Tableau1[[#This Row],[Vente confiserie]:[Vente boisson]])</f>
        <v>0</v>
      </c>
      <c r="V224" s="55"/>
      <c r="W224" s="55"/>
      <c r="X224" s="135">
        <f>SUM(Tableau1[[#This Row],[Vente lunette]:[Location lunette]])</f>
        <v>0</v>
      </c>
      <c r="Y224" s="55"/>
      <c r="Z224" s="55"/>
      <c r="AA224" s="55"/>
      <c r="AB224" s="55"/>
      <c r="AC224" s="56">
        <f t="shared" si="157"/>
        <v>0</v>
      </c>
      <c r="AD224" s="57"/>
      <c r="AE224" s="57"/>
      <c r="AF224" s="57"/>
      <c r="AG224" s="57"/>
      <c r="AH224" s="57"/>
      <c r="AI224" s="57"/>
      <c r="AJ224" s="118">
        <f>(Tableau1[[#This Row],[Recette guichet ]]*1.1275177)-Tableau1[[#This Row],[Recette guichet ]]</f>
        <v>0</v>
      </c>
      <c r="AK224" s="57"/>
      <c r="AL224" s="56">
        <f t="shared" si="158"/>
        <v>0</v>
      </c>
      <c r="AM224" s="58"/>
      <c r="AN224" s="58"/>
      <c r="AO224" s="58"/>
      <c r="AP224" s="115">
        <f t="shared" si="129"/>
        <v>0</v>
      </c>
      <c r="AQ224" s="69"/>
      <c r="AR224" s="69"/>
      <c r="AS224" s="69"/>
      <c r="AT224" s="69"/>
      <c r="AU224" s="59">
        <f t="shared" si="130"/>
        <v>0</v>
      </c>
      <c r="AV224" s="60">
        <f t="shared" si="131"/>
        <v>0</v>
      </c>
      <c r="AW224" s="58"/>
      <c r="AX224" s="58"/>
      <c r="AY224" s="58"/>
      <c r="AZ224" s="60">
        <f t="shared" si="121"/>
        <v>0</v>
      </c>
      <c r="BA224" s="58"/>
      <c r="BB224" s="58"/>
      <c r="BC224" s="58"/>
      <c r="BD224" s="60">
        <f>SUM(Tableau1[[#This Row],[ticket/carte/abonnement périmé]:[Autres ou non précisé 5]])</f>
        <v>0</v>
      </c>
      <c r="BE224" s="58"/>
      <c r="BF224" s="58"/>
      <c r="BG224" s="58"/>
      <c r="BH224" s="61">
        <f t="shared" si="132"/>
        <v>0</v>
      </c>
      <c r="BI224" s="120"/>
      <c r="BJ224" s="120"/>
      <c r="BK224" s="62">
        <f t="shared" si="133"/>
        <v>0</v>
      </c>
      <c r="BL224" s="120"/>
      <c r="BM224" s="120"/>
      <c r="BN224" s="120"/>
      <c r="BO224" s="120"/>
      <c r="BP224" s="120"/>
      <c r="BQ224" s="63"/>
      <c r="BR224" s="52">
        <f t="shared" si="134"/>
        <v>0</v>
      </c>
      <c r="BS224" s="52">
        <f t="shared" si="135"/>
        <v>0</v>
      </c>
      <c r="BT224" s="61">
        <f t="shared" si="136"/>
        <v>0</v>
      </c>
      <c r="BU224" s="64">
        <f t="shared" si="137"/>
        <v>0</v>
      </c>
      <c r="BV224" s="119">
        <f>SUM(Tableau1[[#This Row],[Achats confiserie]:[Achats boisson]])</f>
        <v>0</v>
      </c>
      <c r="BW224" s="58"/>
      <c r="BX224" s="69"/>
      <c r="BY224" s="58"/>
      <c r="BZ224" s="56">
        <f t="shared" si="138"/>
        <v>0</v>
      </c>
      <c r="CA224" s="66"/>
      <c r="CB224" s="66"/>
      <c r="CC224" s="56">
        <f t="shared" si="139"/>
        <v>0</v>
      </c>
      <c r="CD224" s="55"/>
      <c r="CE224" s="65"/>
      <c r="CF224" s="55"/>
      <c r="CG224" s="55"/>
      <c r="CH224" s="67">
        <f t="shared" si="140"/>
        <v>0</v>
      </c>
      <c r="CI224" s="68">
        <f t="shared" si="156"/>
        <v>0</v>
      </c>
      <c r="CJ224" s="55"/>
      <c r="CK224" s="55"/>
      <c r="CL224" s="55"/>
      <c r="CM224" s="55"/>
      <c r="CN224" s="55"/>
      <c r="CO224" s="68">
        <f t="shared" si="141"/>
        <v>0</v>
      </c>
      <c r="CP224" s="75">
        <f>SUM(Tableau1[[#This Row],[Fourniture eau]:[Energie (non précisé)]])</f>
        <v>0</v>
      </c>
      <c r="CQ224" s="55"/>
      <c r="CR224" s="55"/>
      <c r="CS224" s="55"/>
      <c r="CT224" s="55"/>
      <c r="CU224" s="55"/>
      <c r="CV224" s="55">
        <v>0</v>
      </c>
      <c r="CW224" s="55"/>
      <c r="CX224" s="68">
        <f>SUM(Tableau1[[#This Row],[Sous-traitance]:[Autres ou non précisé 12]])</f>
        <v>0</v>
      </c>
      <c r="CY224" s="65"/>
      <c r="CZ224" s="65"/>
      <c r="DA224" s="65"/>
      <c r="DB224" s="65"/>
      <c r="DC224" s="55"/>
      <c r="DD224" s="68">
        <f t="shared" si="122"/>
        <v>0</v>
      </c>
      <c r="DE224" s="55"/>
      <c r="DF224" s="65"/>
      <c r="DG224" s="65"/>
      <c r="DH224" s="65"/>
      <c r="DI224" s="68">
        <f>SUM(Tableau1[[#This Row],[Entretien et réparation matériel de projection]:[Autres ou non précisé 14]])</f>
        <v>0</v>
      </c>
      <c r="DJ224" s="58"/>
      <c r="DK224" s="58"/>
      <c r="DL224" s="69"/>
      <c r="DM224" s="68">
        <f t="shared" si="142"/>
        <v>0</v>
      </c>
      <c r="DN224" s="58"/>
      <c r="DO224" s="58"/>
      <c r="DP224" s="68">
        <f t="shared" si="143"/>
        <v>0</v>
      </c>
      <c r="DQ224" s="65"/>
      <c r="DR224" s="65"/>
      <c r="DS224" s="68">
        <f t="shared" si="144"/>
        <v>0</v>
      </c>
      <c r="DT224" s="65"/>
      <c r="DU224" s="65"/>
      <c r="DV224" s="65"/>
      <c r="DW224" s="68">
        <f>SUM(Tableau1[[#This Row],[Comission et courtage sur achats]:[Autres ou honoraires
 non précisé ]])</f>
        <v>0</v>
      </c>
      <c r="DX224" s="57"/>
      <c r="DY224" s="57"/>
      <c r="DZ224" s="65"/>
      <c r="EA224" s="65"/>
      <c r="EB224" s="65"/>
      <c r="EC224" s="68">
        <f t="shared" si="145"/>
        <v>0</v>
      </c>
      <c r="ED224" s="69"/>
      <c r="EE224" s="69"/>
      <c r="EF224" s="69"/>
      <c r="EG224" s="69"/>
      <c r="EH224" s="69"/>
      <c r="EI224" s="84">
        <f>SUM(Tableau1[[#This Row],[Transports sur films]:[autres ]])</f>
        <v>0</v>
      </c>
      <c r="EJ224" s="132">
        <v>0</v>
      </c>
      <c r="EK224" s="132"/>
      <c r="EL224" s="68">
        <f t="shared" si="146"/>
        <v>0</v>
      </c>
      <c r="EM224" s="65"/>
      <c r="EN224" s="65">
        <v>0</v>
      </c>
      <c r="EO224" s="65"/>
      <c r="EP224" s="65"/>
      <c r="EQ224" s="65"/>
      <c r="ER224" s="65"/>
      <c r="ES224" s="65"/>
      <c r="ET224" s="68">
        <f t="shared" si="147"/>
        <v>0</v>
      </c>
      <c r="EU224" s="65"/>
      <c r="EV224" s="65"/>
      <c r="EW224" s="65"/>
      <c r="EX224" s="65"/>
      <c r="EY224" s="65"/>
      <c r="EZ224" s="68">
        <f t="shared" si="124"/>
        <v>0</v>
      </c>
      <c r="FA224" s="65"/>
      <c r="FB224" s="65"/>
      <c r="FC224" s="70">
        <f t="shared" si="123"/>
        <v>0</v>
      </c>
      <c r="FD224" s="65"/>
      <c r="FE224" s="71">
        <f t="shared" si="148"/>
        <v>0</v>
      </c>
      <c r="FF224" s="72">
        <f t="shared" si="149"/>
        <v>0</v>
      </c>
      <c r="FG224" s="65"/>
      <c r="FH224" s="65"/>
      <c r="FI224" s="65"/>
      <c r="FJ224" s="56">
        <f t="shared" si="150"/>
        <v>0</v>
      </c>
      <c r="FK224" s="65"/>
      <c r="FL224" s="65"/>
      <c r="FM224" s="65"/>
      <c r="FN224" s="65"/>
      <c r="FO224" s="67">
        <f t="shared" si="151"/>
        <v>0</v>
      </c>
      <c r="FP224" s="57"/>
      <c r="FQ224" s="73"/>
      <c r="FR224" s="73"/>
      <c r="FS224" s="71">
        <f t="shared" si="152"/>
        <v>0</v>
      </c>
      <c r="FT224" s="91"/>
      <c r="FU224" s="91"/>
      <c r="FV224" s="67">
        <f>SUM(Tableau1[[#This Row],[Droits d''auteurs SACEM + cotisations SACEM]:[Autres ou non préciés]])</f>
        <v>0</v>
      </c>
      <c r="FW224" s="75">
        <f t="shared" si="153"/>
        <v>0</v>
      </c>
      <c r="FX224" s="74">
        <v>0</v>
      </c>
      <c r="FY224" s="74"/>
      <c r="FZ224" s="74"/>
      <c r="GA224" s="74"/>
      <c r="GB224" s="71">
        <f t="shared" si="154"/>
        <v>0</v>
      </c>
      <c r="GC224" s="92"/>
      <c r="GD224" s="92"/>
      <c r="GE224" s="67">
        <f t="shared" si="155"/>
        <v>0</v>
      </c>
      <c r="GF224" s="66"/>
      <c r="GG224" s="66"/>
      <c r="GH224" s="66"/>
      <c r="GI224" s="66"/>
      <c r="GJ224" s="77"/>
    </row>
    <row r="225" spans="1:192" ht="18.600000000000001" customHeight="1" x14ac:dyDescent="0.25">
      <c r="A225" s="89"/>
      <c r="B225" s="17"/>
      <c r="C225" s="50"/>
      <c r="D225" s="140"/>
      <c r="E225" s="51"/>
      <c r="F225" s="139">
        <f t="shared" si="120"/>
        <v>1</v>
      </c>
      <c r="G225" s="49"/>
      <c r="H225" s="50"/>
      <c r="I225" s="122"/>
      <c r="J225" s="49"/>
      <c r="K225" s="50"/>
      <c r="L225" s="50"/>
      <c r="M225" s="90"/>
      <c r="N225" s="50"/>
      <c r="O225" s="50"/>
      <c r="P225" s="90"/>
      <c r="Q225" s="52">
        <f t="shared" si="125"/>
        <v>0</v>
      </c>
      <c r="R225" s="52">
        <f t="shared" si="126"/>
        <v>0</v>
      </c>
      <c r="S225" s="53">
        <f t="shared" si="127"/>
        <v>0</v>
      </c>
      <c r="T225" s="54">
        <f t="shared" si="128"/>
        <v>0</v>
      </c>
      <c r="U225" s="115">
        <f>SUM(Tableau1[[#This Row],[Vente confiserie]:[Vente boisson]])</f>
        <v>0</v>
      </c>
      <c r="V225" s="55"/>
      <c r="W225" s="55"/>
      <c r="X225" s="135">
        <f>SUM(Tableau1[[#This Row],[Vente lunette]:[Location lunette]])</f>
        <v>0</v>
      </c>
      <c r="Y225" s="55"/>
      <c r="Z225" s="55"/>
      <c r="AA225" s="55"/>
      <c r="AB225" s="55"/>
      <c r="AC225" s="56">
        <f t="shared" si="157"/>
        <v>0</v>
      </c>
      <c r="AD225" s="57"/>
      <c r="AE225" s="57"/>
      <c r="AF225" s="57"/>
      <c r="AG225" s="57"/>
      <c r="AH225" s="57"/>
      <c r="AI225" s="57"/>
      <c r="AJ225" s="118">
        <f>(Tableau1[[#This Row],[Recette guichet ]]*1.1275177)-Tableau1[[#This Row],[Recette guichet ]]</f>
        <v>0</v>
      </c>
      <c r="AK225" s="57"/>
      <c r="AL225" s="56">
        <f t="shared" si="158"/>
        <v>0</v>
      </c>
      <c r="AM225" s="58"/>
      <c r="AN225" s="58"/>
      <c r="AO225" s="58"/>
      <c r="AP225" s="115">
        <f t="shared" si="129"/>
        <v>0</v>
      </c>
      <c r="AQ225" s="69"/>
      <c r="AR225" s="69"/>
      <c r="AS225" s="69"/>
      <c r="AT225" s="69"/>
      <c r="AU225" s="59">
        <f t="shared" si="130"/>
        <v>0</v>
      </c>
      <c r="AV225" s="60">
        <f t="shared" si="131"/>
        <v>0</v>
      </c>
      <c r="AW225" s="58"/>
      <c r="AX225" s="58"/>
      <c r="AY225" s="58"/>
      <c r="AZ225" s="60">
        <f t="shared" si="121"/>
        <v>0</v>
      </c>
      <c r="BA225" s="58"/>
      <c r="BB225" s="58"/>
      <c r="BC225" s="58"/>
      <c r="BD225" s="60">
        <f>SUM(Tableau1[[#This Row],[ticket/carte/abonnement périmé]:[Autres ou non précisé 5]])</f>
        <v>0</v>
      </c>
      <c r="BE225" s="58"/>
      <c r="BF225" s="58"/>
      <c r="BG225" s="58"/>
      <c r="BH225" s="61">
        <f t="shared" si="132"/>
        <v>0</v>
      </c>
      <c r="BI225" s="120"/>
      <c r="BJ225" s="120"/>
      <c r="BK225" s="62">
        <f t="shared" si="133"/>
        <v>0</v>
      </c>
      <c r="BL225" s="120"/>
      <c r="BM225" s="120"/>
      <c r="BN225" s="120"/>
      <c r="BO225" s="120"/>
      <c r="BP225" s="120"/>
      <c r="BQ225" s="63"/>
      <c r="BR225" s="52">
        <f t="shared" si="134"/>
        <v>0</v>
      </c>
      <c r="BS225" s="52">
        <f t="shared" si="135"/>
        <v>0</v>
      </c>
      <c r="BT225" s="61">
        <f t="shared" si="136"/>
        <v>0</v>
      </c>
      <c r="BU225" s="64">
        <f t="shared" si="137"/>
        <v>0</v>
      </c>
      <c r="BV225" s="119">
        <f>SUM(Tableau1[[#This Row],[Achats confiserie]:[Achats boisson]])</f>
        <v>0</v>
      </c>
      <c r="BW225" s="58"/>
      <c r="BX225" s="69"/>
      <c r="BY225" s="58"/>
      <c r="BZ225" s="56">
        <f t="shared" si="138"/>
        <v>0</v>
      </c>
      <c r="CA225" s="66"/>
      <c r="CB225" s="66"/>
      <c r="CC225" s="56">
        <f t="shared" si="139"/>
        <v>0</v>
      </c>
      <c r="CD225" s="55"/>
      <c r="CE225" s="65"/>
      <c r="CF225" s="55"/>
      <c r="CG225" s="55"/>
      <c r="CH225" s="67">
        <f t="shared" si="140"/>
        <v>0</v>
      </c>
      <c r="CI225" s="68">
        <f t="shared" si="156"/>
        <v>0</v>
      </c>
      <c r="CJ225" s="55"/>
      <c r="CK225" s="55"/>
      <c r="CL225" s="55"/>
      <c r="CM225" s="55"/>
      <c r="CN225" s="55"/>
      <c r="CO225" s="68">
        <f t="shared" si="141"/>
        <v>0</v>
      </c>
      <c r="CP225" s="75">
        <f>SUM(Tableau1[[#This Row],[Fourniture eau]:[Energie (non précisé)]])</f>
        <v>0</v>
      </c>
      <c r="CQ225" s="55"/>
      <c r="CR225" s="55"/>
      <c r="CS225" s="55"/>
      <c r="CT225" s="55"/>
      <c r="CU225" s="55"/>
      <c r="CV225" s="55">
        <v>0</v>
      </c>
      <c r="CW225" s="55"/>
      <c r="CX225" s="68">
        <f>SUM(Tableau1[[#This Row],[Sous-traitance]:[Autres ou non précisé 12]])</f>
        <v>0</v>
      </c>
      <c r="CY225" s="65"/>
      <c r="CZ225" s="65"/>
      <c r="DA225" s="65"/>
      <c r="DB225" s="65"/>
      <c r="DC225" s="55"/>
      <c r="DD225" s="68">
        <f t="shared" si="122"/>
        <v>0</v>
      </c>
      <c r="DE225" s="55"/>
      <c r="DF225" s="65"/>
      <c r="DG225" s="65"/>
      <c r="DH225" s="65"/>
      <c r="DI225" s="68">
        <f>SUM(Tableau1[[#This Row],[Entretien et réparation matériel de projection]:[Autres ou non précisé 14]])</f>
        <v>0</v>
      </c>
      <c r="DJ225" s="58"/>
      <c r="DK225" s="58"/>
      <c r="DL225" s="69"/>
      <c r="DM225" s="68">
        <f t="shared" si="142"/>
        <v>0</v>
      </c>
      <c r="DN225" s="58"/>
      <c r="DO225" s="58"/>
      <c r="DP225" s="68">
        <f t="shared" si="143"/>
        <v>0</v>
      </c>
      <c r="DQ225" s="65"/>
      <c r="DR225" s="65"/>
      <c r="DS225" s="68">
        <f t="shared" si="144"/>
        <v>0</v>
      </c>
      <c r="DT225" s="65"/>
      <c r="DU225" s="65"/>
      <c r="DV225" s="65"/>
      <c r="DW225" s="68">
        <f>SUM(Tableau1[[#This Row],[Comission et courtage sur achats]:[Autres ou honoraires
 non précisé ]])</f>
        <v>0</v>
      </c>
      <c r="DX225" s="57"/>
      <c r="DY225" s="57"/>
      <c r="DZ225" s="65"/>
      <c r="EA225" s="65"/>
      <c r="EB225" s="65"/>
      <c r="EC225" s="68">
        <f t="shared" si="145"/>
        <v>0</v>
      </c>
      <c r="ED225" s="69"/>
      <c r="EE225" s="69"/>
      <c r="EF225" s="69"/>
      <c r="EG225" s="69"/>
      <c r="EH225" s="69"/>
      <c r="EI225" s="84">
        <f>SUM(Tableau1[[#This Row],[Transports sur films]:[autres ]])</f>
        <v>0</v>
      </c>
      <c r="EJ225" s="132">
        <v>0</v>
      </c>
      <c r="EK225" s="132"/>
      <c r="EL225" s="68">
        <f t="shared" si="146"/>
        <v>0</v>
      </c>
      <c r="EM225" s="65"/>
      <c r="EN225" s="65">
        <v>0</v>
      </c>
      <c r="EO225" s="65"/>
      <c r="EP225" s="65"/>
      <c r="EQ225" s="65"/>
      <c r="ER225" s="65"/>
      <c r="ES225" s="65"/>
      <c r="ET225" s="68">
        <f t="shared" si="147"/>
        <v>0</v>
      </c>
      <c r="EU225" s="65"/>
      <c r="EV225" s="65"/>
      <c r="EW225" s="65"/>
      <c r="EX225" s="65"/>
      <c r="EY225" s="65"/>
      <c r="EZ225" s="68">
        <f t="shared" si="124"/>
        <v>0</v>
      </c>
      <c r="FA225" s="65"/>
      <c r="FB225" s="65"/>
      <c r="FC225" s="70">
        <f t="shared" si="123"/>
        <v>0</v>
      </c>
      <c r="FD225" s="65"/>
      <c r="FE225" s="71">
        <f t="shared" si="148"/>
        <v>0</v>
      </c>
      <c r="FF225" s="72">
        <f t="shared" si="149"/>
        <v>0</v>
      </c>
      <c r="FG225" s="65"/>
      <c r="FH225" s="65"/>
      <c r="FI225" s="65"/>
      <c r="FJ225" s="56">
        <f t="shared" si="150"/>
        <v>0</v>
      </c>
      <c r="FK225" s="65"/>
      <c r="FL225" s="65"/>
      <c r="FM225" s="65"/>
      <c r="FN225" s="65"/>
      <c r="FO225" s="67">
        <f t="shared" si="151"/>
        <v>0</v>
      </c>
      <c r="FP225" s="57"/>
      <c r="FQ225" s="73"/>
      <c r="FR225" s="73"/>
      <c r="FS225" s="71">
        <f t="shared" si="152"/>
        <v>0</v>
      </c>
      <c r="FT225" s="91"/>
      <c r="FU225" s="91"/>
      <c r="FV225" s="67">
        <f>SUM(Tableau1[[#This Row],[Droits d''auteurs SACEM + cotisations SACEM]:[Autres ou non préciés]])</f>
        <v>0</v>
      </c>
      <c r="FW225" s="75">
        <f t="shared" si="153"/>
        <v>0</v>
      </c>
      <c r="FX225" s="74">
        <v>0</v>
      </c>
      <c r="FY225" s="74"/>
      <c r="FZ225" s="74"/>
      <c r="GA225" s="74"/>
      <c r="GB225" s="71">
        <f t="shared" si="154"/>
        <v>0</v>
      </c>
      <c r="GC225" s="92"/>
      <c r="GD225" s="92"/>
      <c r="GE225" s="67">
        <f t="shared" si="155"/>
        <v>0</v>
      </c>
      <c r="GF225" s="66"/>
      <c r="GG225" s="66"/>
      <c r="GH225" s="66"/>
      <c r="GI225" s="66"/>
      <c r="GJ225" s="77"/>
    </row>
    <row r="226" spans="1:192" ht="18.600000000000001" customHeight="1" x14ac:dyDescent="0.25">
      <c r="A226" s="89"/>
      <c r="B226" s="17"/>
      <c r="C226" s="50"/>
      <c r="D226" s="140"/>
      <c r="E226" s="51"/>
      <c r="F226" s="139">
        <f t="shared" si="120"/>
        <v>1</v>
      </c>
      <c r="G226" s="49"/>
      <c r="H226" s="50"/>
      <c r="I226" s="122"/>
      <c r="J226" s="49"/>
      <c r="K226" s="50"/>
      <c r="L226" s="50"/>
      <c r="M226" s="90"/>
      <c r="N226" s="50"/>
      <c r="O226" s="50"/>
      <c r="P226" s="90"/>
      <c r="Q226" s="52">
        <f t="shared" si="125"/>
        <v>0</v>
      </c>
      <c r="R226" s="52">
        <f t="shared" si="126"/>
        <v>0</v>
      </c>
      <c r="S226" s="53">
        <f t="shared" si="127"/>
        <v>0</v>
      </c>
      <c r="T226" s="54">
        <f t="shared" si="128"/>
        <v>0</v>
      </c>
      <c r="U226" s="115">
        <f>SUM(Tableau1[[#This Row],[Vente confiserie]:[Vente boisson]])</f>
        <v>0</v>
      </c>
      <c r="V226" s="55"/>
      <c r="W226" s="55"/>
      <c r="X226" s="135">
        <f>SUM(Tableau1[[#This Row],[Vente lunette]:[Location lunette]])</f>
        <v>0</v>
      </c>
      <c r="Y226" s="55"/>
      <c r="Z226" s="55"/>
      <c r="AA226" s="55"/>
      <c r="AB226" s="55"/>
      <c r="AC226" s="56">
        <f t="shared" si="157"/>
        <v>0</v>
      </c>
      <c r="AD226" s="57"/>
      <c r="AE226" s="57"/>
      <c r="AF226" s="57"/>
      <c r="AG226" s="57"/>
      <c r="AH226" s="57"/>
      <c r="AI226" s="57"/>
      <c r="AJ226" s="118">
        <f>(Tableau1[[#This Row],[Recette guichet ]]*1.1275177)-Tableau1[[#This Row],[Recette guichet ]]</f>
        <v>0</v>
      </c>
      <c r="AK226" s="57"/>
      <c r="AL226" s="56">
        <f t="shared" si="158"/>
        <v>0</v>
      </c>
      <c r="AM226" s="58"/>
      <c r="AN226" s="58"/>
      <c r="AO226" s="58"/>
      <c r="AP226" s="115">
        <f t="shared" si="129"/>
        <v>0</v>
      </c>
      <c r="AQ226" s="69"/>
      <c r="AR226" s="69"/>
      <c r="AS226" s="69"/>
      <c r="AT226" s="69"/>
      <c r="AU226" s="59">
        <f t="shared" si="130"/>
        <v>0</v>
      </c>
      <c r="AV226" s="60">
        <f t="shared" si="131"/>
        <v>0</v>
      </c>
      <c r="AW226" s="58"/>
      <c r="AX226" s="58"/>
      <c r="AY226" s="58"/>
      <c r="AZ226" s="60">
        <f t="shared" si="121"/>
        <v>0</v>
      </c>
      <c r="BA226" s="58"/>
      <c r="BB226" s="58"/>
      <c r="BC226" s="58"/>
      <c r="BD226" s="60">
        <f>SUM(Tableau1[[#This Row],[ticket/carte/abonnement périmé]:[Autres ou non précisé 5]])</f>
        <v>0</v>
      </c>
      <c r="BE226" s="58"/>
      <c r="BF226" s="58"/>
      <c r="BG226" s="58"/>
      <c r="BH226" s="61">
        <f t="shared" si="132"/>
        <v>0</v>
      </c>
      <c r="BI226" s="120"/>
      <c r="BJ226" s="120"/>
      <c r="BK226" s="62">
        <f t="shared" si="133"/>
        <v>0</v>
      </c>
      <c r="BL226" s="120"/>
      <c r="BM226" s="120"/>
      <c r="BN226" s="120"/>
      <c r="BO226" s="120"/>
      <c r="BP226" s="120"/>
      <c r="BQ226" s="63"/>
      <c r="BR226" s="52">
        <f t="shared" si="134"/>
        <v>0</v>
      </c>
      <c r="BS226" s="52">
        <f t="shared" si="135"/>
        <v>0</v>
      </c>
      <c r="BT226" s="61">
        <f t="shared" si="136"/>
        <v>0</v>
      </c>
      <c r="BU226" s="64">
        <f t="shared" si="137"/>
        <v>0</v>
      </c>
      <c r="BV226" s="119">
        <f>SUM(Tableau1[[#This Row],[Achats confiserie]:[Achats boisson]])</f>
        <v>0</v>
      </c>
      <c r="BW226" s="58"/>
      <c r="BX226" s="69"/>
      <c r="BY226" s="58"/>
      <c r="BZ226" s="56">
        <f t="shared" si="138"/>
        <v>0</v>
      </c>
      <c r="CA226" s="66"/>
      <c r="CB226" s="66"/>
      <c r="CC226" s="56">
        <f t="shared" si="139"/>
        <v>0</v>
      </c>
      <c r="CD226" s="55"/>
      <c r="CE226" s="65"/>
      <c r="CF226" s="55"/>
      <c r="CG226" s="55"/>
      <c r="CH226" s="67">
        <f t="shared" si="140"/>
        <v>0</v>
      </c>
      <c r="CI226" s="68">
        <f t="shared" si="156"/>
        <v>0</v>
      </c>
      <c r="CJ226" s="55"/>
      <c r="CK226" s="55"/>
      <c r="CL226" s="55"/>
      <c r="CM226" s="55"/>
      <c r="CN226" s="55"/>
      <c r="CO226" s="68">
        <f t="shared" si="141"/>
        <v>0</v>
      </c>
      <c r="CP226" s="75">
        <f>SUM(Tableau1[[#This Row],[Fourniture eau]:[Energie (non précisé)]])</f>
        <v>0</v>
      </c>
      <c r="CQ226" s="55"/>
      <c r="CR226" s="55"/>
      <c r="CS226" s="55"/>
      <c r="CT226" s="55"/>
      <c r="CU226" s="55"/>
      <c r="CV226" s="55">
        <v>0</v>
      </c>
      <c r="CW226" s="55"/>
      <c r="CX226" s="68">
        <f>SUM(Tableau1[[#This Row],[Sous-traitance]:[Autres ou non précisé 12]])</f>
        <v>0</v>
      </c>
      <c r="CY226" s="65"/>
      <c r="CZ226" s="65"/>
      <c r="DA226" s="65"/>
      <c r="DB226" s="65"/>
      <c r="DC226" s="55"/>
      <c r="DD226" s="68">
        <f t="shared" si="122"/>
        <v>0</v>
      </c>
      <c r="DE226" s="55"/>
      <c r="DF226" s="65"/>
      <c r="DG226" s="65"/>
      <c r="DH226" s="65"/>
      <c r="DI226" s="68">
        <f>SUM(Tableau1[[#This Row],[Entretien et réparation matériel de projection]:[Autres ou non précisé 14]])</f>
        <v>0</v>
      </c>
      <c r="DJ226" s="58"/>
      <c r="DK226" s="58"/>
      <c r="DL226" s="69"/>
      <c r="DM226" s="68">
        <f t="shared" si="142"/>
        <v>0</v>
      </c>
      <c r="DN226" s="58"/>
      <c r="DO226" s="58"/>
      <c r="DP226" s="68">
        <f t="shared" si="143"/>
        <v>0</v>
      </c>
      <c r="DQ226" s="65"/>
      <c r="DR226" s="65"/>
      <c r="DS226" s="68">
        <f t="shared" si="144"/>
        <v>0</v>
      </c>
      <c r="DT226" s="65"/>
      <c r="DU226" s="65"/>
      <c r="DV226" s="65"/>
      <c r="DW226" s="68">
        <f>SUM(Tableau1[[#This Row],[Comission et courtage sur achats]:[Autres ou honoraires
 non précisé ]])</f>
        <v>0</v>
      </c>
      <c r="DX226" s="57"/>
      <c r="DY226" s="57"/>
      <c r="DZ226" s="65"/>
      <c r="EA226" s="65"/>
      <c r="EB226" s="65"/>
      <c r="EC226" s="68">
        <f t="shared" si="145"/>
        <v>0</v>
      </c>
      <c r="ED226" s="69"/>
      <c r="EE226" s="69"/>
      <c r="EF226" s="69"/>
      <c r="EG226" s="69"/>
      <c r="EH226" s="69"/>
      <c r="EI226" s="84">
        <f>SUM(Tableau1[[#This Row],[Transports sur films]:[autres ]])</f>
        <v>0</v>
      </c>
      <c r="EJ226" s="132">
        <v>0</v>
      </c>
      <c r="EK226" s="132"/>
      <c r="EL226" s="68">
        <f t="shared" si="146"/>
        <v>0</v>
      </c>
      <c r="EM226" s="65"/>
      <c r="EN226" s="65">
        <v>0</v>
      </c>
      <c r="EO226" s="65"/>
      <c r="EP226" s="65"/>
      <c r="EQ226" s="65"/>
      <c r="ER226" s="65"/>
      <c r="ES226" s="65"/>
      <c r="ET226" s="68">
        <f t="shared" si="147"/>
        <v>0</v>
      </c>
      <c r="EU226" s="65"/>
      <c r="EV226" s="65"/>
      <c r="EW226" s="65"/>
      <c r="EX226" s="65"/>
      <c r="EY226" s="65"/>
      <c r="EZ226" s="68">
        <f t="shared" si="124"/>
        <v>0</v>
      </c>
      <c r="FA226" s="65"/>
      <c r="FB226" s="65"/>
      <c r="FC226" s="70">
        <f t="shared" si="123"/>
        <v>0</v>
      </c>
      <c r="FD226" s="65"/>
      <c r="FE226" s="71">
        <f t="shared" si="148"/>
        <v>0</v>
      </c>
      <c r="FF226" s="72">
        <f t="shared" si="149"/>
        <v>0</v>
      </c>
      <c r="FG226" s="65"/>
      <c r="FH226" s="65"/>
      <c r="FI226" s="65"/>
      <c r="FJ226" s="56">
        <f t="shared" si="150"/>
        <v>0</v>
      </c>
      <c r="FK226" s="65"/>
      <c r="FL226" s="65"/>
      <c r="FM226" s="65"/>
      <c r="FN226" s="65"/>
      <c r="FO226" s="67">
        <f t="shared" si="151"/>
        <v>0</v>
      </c>
      <c r="FP226" s="57"/>
      <c r="FQ226" s="73"/>
      <c r="FR226" s="73"/>
      <c r="FS226" s="71">
        <f t="shared" si="152"/>
        <v>0</v>
      </c>
      <c r="FT226" s="91"/>
      <c r="FU226" s="91"/>
      <c r="FV226" s="67">
        <f>SUM(Tableau1[[#This Row],[Droits d''auteurs SACEM + cotisations SACEM]:[Autres ou non préciés]])</f>
        <v>0</v>
      </c>
      <c r="FW226" s="75">
        <f t="shared" si="153"/>
        <v>0</v>
      </c>
      <c r="FX226" s="74">
        <v>0</v>
      </c>
      <c r="FY226" s="74"/>
      <c r="FZ226" s="74"/>
      <c r="GA226" s="74"/>
      <c r="GB226" s="71">
        <f t="shared" si="154"/>
        <v>0</v>
      </c>
      <c r="GC226" s="92"/>
      <c r="GD226" s="92"/>
      <c r="GE226" s="67">
        <f t="shared" si="155"/>
        <v>0</v>
      </c>
      <c r="GF226" s="66"/>
      <c r="GG226" s="66"/>
      <c r="GH226" s="66"/>
      <c r="GI226" s="66"/>
      <c r="GJ226" s="77"/>
    </row>
    <row r="227" spans="1:192" ht="18.600000000000001" customHeight="1" x14ac:dyDescent="0.25">
      <c r="A227" s="89"/>
      <c r="B227" s="17"/>
      <c r="C227" s="50"/>
      <c r="D227" s="140"/>
      <c r="E227" s="51"/>
      <c r="F227" s="139">
        <f t="shared" si="120"/>
        <v>1</v>
      </c>
      <c r="G227" s="49"/>
      <c r="H227" s="50"/>
      <c r="I227" s="122"/>
      <c r="J227" s="49"/>
      <c r="K227" s="50"/>
      <c r="L227" s="50"/>
      <c r="M227" s="90"/>
      <c r="N227" s="50"/>
      <c r="O227" s="50"/>
      <c r="P227" s="90"/>
      <c r="Q227" s="52">
        <f t="shared" si="125"/>
        <v>0</v>
      </c>
      <c r="R227" s="52">
        <f t="shared" si="126"/>
        <v>0</v>
      </c>
      <c r="S227" s="53">
        <f t="shared" si="127"/>
        <v>0</v>
      </c>
      <c r="T227" s="54">
        <f t="shared" si="128"/>
        <v>0</v>
      </c>
      <c r="U227" s="115">
        <f>SUM(Tableau1[[#This Row],[Vente confiserie]:[Vente boisson]])</f>
        <v>0</v>
      </c>
      <c r="V227" s="55"/>
      <c r="W227" s="55"/>
      <c r="X227" s="135">
        <f>SUM(Tableau1[[#This Row],[Vente lunette]:[Location lunette]])</f>
        <v>0</v>
      </c>
      <c r="Y227" s="55"/>
      <c r="Z227" s="55"/>
      <c r="AA227" s="55"/>
      <c r="AB227" s="55"/>
      <c r="AC227" s="56">
        <f t="shared" si="157"/>
        <v>0</v>
      </c>
      <c r="AD227" s="57"/>
      <c r="AE227" s="57"/>
      <c r="AF227" s="57"/>
      <c r="AG227" s="57"/>
      <c r="AH227" s="57"/>
      <c r="AI227" s="57"/>
      <c r="AJ227" s="118">
        <f>(Tableau1[[#This Row],[Recette guichet ]]*1.1275177)-Tableau1[[#This Row],[Recette guichet ]]</f>
        <v>0</v>
      </c>
      <c r="AK227" s="57"/>
      <c r="AL227" s="56">
        <f t="shared" si="158"/>
        <v>0</v>
      </c>
      <c r="AM227" s="58"/>
      <c r="AN227" s="58"/>
      <c r="AO227" s="58"/>
      <c r="AP227" s="115">
        <f t="shared" si="129"/>
        <v>0</v>
      </c>
      <c r="AQ227" s="69"/>
      <c r="AR227" s="69"/>
      <c r="AS227" s="69"/>
      <c r="AT227" s="69"/>
      <c r="AU227" s="59">
        <f t="shared" si="130"/>
        <v>0</v>
      </c>
      <c r="AV227" s="60">
        <f t="shared" si="131"/>
        <v>0</v>
      </c>
      <c r="AW227" s="58"/>
      <c r="AX227" s="58"/>
      <c r="AY227" s="58"/>
      <c r="AZ227" s="60">
        <f t="shared" si="121"/>
        <v>0</v>
      </c>
      <c r="BA227" s="58"/>
      <c r="BB227" s="58"/>
      <c r="BC227" s="58"/>
      <c r="BD227" s="60">
        <f>SUM(Tableau1[[#This Row],[ticket/carte/abonnement périmé]:[Autres ou non précisé 5]])</f>
        <v>0</v>
      </c>
      <c r="BE227" s="58"/>
      <c r="BF227" s="58"/>
      <c r="BG227" s="58"/>
      <c r="BH227" s="61">
        <f t="shared" si="132"/>
        <v>0</v>
      </c>
      <c r="BI227" s="120"/>
      <c r="BJ227" s="120"/>
      <c r="BK227" s="62">
        <f t="shared" si="133"/>
        <v>0</v>
      </c>
      <c r="BL227" s="120"/>
      <c r="BM227" s="120"/>
      <c r="BN227" s="120"/>
      <c r="BO227" s="120"/>
      <c r="BP227" s="120"/>
      <c r="BQ227" s="63"/>
      <c r="BR227" s="52">
        <f t="shared" si="134"/>
        <v>0</v>
      </c>
      <c r="BS227" s="52">
        <f t="shared" si="135"/>
        <v>0</v>
      </c>
      <c r="BT227" s="61">
        <f t="shared" si="136"/>
        <v>0</v>
      </c>
      <c r="BU227" s="64">
        <f t="shared" si="137"/>
        <v>0</v>
      </c>
      <c r="BV227" s="119">
        <f>SUM(Tableau1[[#This Row],[Achats confiserie]:[Achats boisson]])</f>
        <v>0</v>
      </c>
      <c r="BW227" s="58"/>
      <c r="BX227" s="69"/>
      <c r="BY227" s="58"/>
      <c r="BZ227" s="56">
        <f t="shared" si="138"/>
        <v>0</v>
      </c>
      <c r="CA227" s="66"/>
      <c r="CB227" s="66"/>
      <c r="CC227" s="56">
        <f t="shared" si="139"/>
        <v>0</v>
      </c>
      <c r="CD227" s="55"/>
      <c r="CE227" s="65"/>
      <c r="CF227" s="55"/>
      <c r="CG227" s="55"/>
      <c r="CH227" s="67">
        <f t="shared" si="140"/>
        <v>0</v>
      </c>
      <c r="CI227" s="68">
        <f t="shared" si="156"/>
        <v>0</v>
      </c>
      <c r="CJ227" s="55"/>
      <c r="CK227" s="55"/>
      <c r="CL227" s="55"/>
      <c r="CM227" s="55"/>
      <c r="CN227" s="55"/>
      <c r="CO227" s="68">
        <f t="shared" si="141"/>
        <v>0</v>
      </c>
      <c r="CP227" s="75">
        <f>SUM(Tableau1[[#This Row],[Fourniture eau]:[Energie (non précisé)]])</f>
        <v>0</v>
      </c>
      <c r="CQ227" s="55"/>
      <c r="CR227" s="55"/>
      <c r="CS227" s="55"/>
      <c r="CT227" s="55"/>
      <c r="CU227" s="55"/>
      <c r="CV227" s="55">
        <v>0</v>
      </c>
      <c r="CW227" s="55"/>
      <c r="CX227" s="68">
        <f>SUM(Tableau1[[#This Row],[Sous-traitance]:[Autres ou non précisé 12]])</f>
        <v>0</v>
      </c>
      <c r="CY227" s="65"/>
      <c r="CZ227" s="65"/>
      <c r="DA227" s="65"/>
      <c r="DB227" s="65"/>
      <c r="DC227" s="55"/>
      <c r="DD227" s="68">
        <f t="shared" si="122"/>
        <v>0</v>
      </c>
      <c r="DE227" s="55"/>
      <c r="DF227" s="65"/>
      <c r="DG227" s="65"/>
      <c r="DH227" s="65"/>
      <c r="DI227" s="68">
        <f>SUM(Tableau1[[#This Row],[Entretien et réparation matériel de projection]:[Autres ou non précisé 14]])</f>
        <v>0</v>
      </c>
      <c r="DJ227" s="58"/>
      <c r="DK227" s="58"/>
      <c r="DL227" s="69"/>
      <c r="DM227" s="68">
        <f t="shared" si="142"/>
        <v>0</v>
      </c>
      <c r="DN227" s="58"/>
      <c r="DO227" s="58"/>
      <c r="DP227" s="68">
        <f t="shared" si="143"/>
        <v>0</v>
      </c>
      <c r="DQ227" s="65"/>
      <c r="DR227" s="65"/>
      <c r="DS227" s="68">
        <f t="shared" si="144"/>
        <v>0</v>
      </c>
      <c r="DT227" s="65"/>
      <c r="DU227" s="65"/>
      <c r="DV227" s="65"/>
      <c r="DW227" s="68">
        <f>SUM(Tableau1[[#This Row],[Comission et courtage sur achats]:[Autres ou honoraires
 non précisé ]])</f>
        <v>0</v>
      </c>
      <c r="DX227" s="57"/>
      <c r="DY227" s="57"/>
      <c r="DZ227" s="65"/>
      <c r="EA227" s="65"/>
      <c r="EB227" s="65"/>
      <c r="EC227" s="68">
        <f t="shared" si="145"/>
        <v>0</v>
      </c>
      <c r="ED227" s="69"/>
      <c r="EE227" s="69"/>
      <c r="EF227" s="69"/>
      <c r="EG227" s="69"/>
      <c r="EH227" s="69"/>
      <c r="EI227" s="84">
        <f>SUM(Tableau1[[#This Row],[Transports sur films]:[autres ]])</f>
        <v>0</v>
      </c>
      <c r="EJ227" s="132">
        <v>0</v>
      </c>
      <c r="EK227" s="132"/>
      <c r="EL227" s="68">
        <f t="shared" si="146"/>
        <v>0</v>
      </c>
      <c r="EM227" s="65"/>
      <c r="EN227" s="65">
        <v>0</v>
      </c>
      <c r="EO227" s="65"/>
      <c r="EP227" s="65"/>
      <c r="EQ227" s="65"/>
      <c r="ER227" s="65"/>
      <c r="ES227" s="65"/>
      <c r="ET227" s="68">
        <f t="shared" si="147"/>
        <v>0</v>
      </c>
      <c r="EU227" s="65"/>
      <c r="EV227" s="65"/>
      <c r="EW227" s="65"/>
      <c r="EX227" s="65"/>
      <c r="EY227" s="65"/>
      <c r="EZ227" s="68">
        <f t="shared" si="124"/>
        <v>0</v>
      </c>
      <c r="FA227" s="65"/>
      <c r="FB227" s="65"/>
      <c r="FC227" s="70">
        <f t="shared" si="123"/>
        <v>0</v>
      </c>
      <c r="FD227" s="65"/>
      <c r="FE227" s="71">
        <f t="shared" si="148"/>
        <v>0</v>
      </c>
      <c r="FF227" s="72">
        <f t="shared" si="149"/>
        <v>0</v>
      </c>
      <c r="FG227" s="65"/>
      <c r="FH227" s="65"/>
      <c r="FI227" s="65"/>
      <c r="FJ227" s="56">
        <f t="shared" si="150"/>
        <v>0</v>
      </c>
      <c r="FK227" s="65"/>
      <c r="FL227" s="65"/>
      <c r="FM227" s="65"/>
      <c r="FN227" s="65"/>
      <c r="FO227" s="67">
        <f t="shared" si="151"/>
        <v>0</v>
      </c>
      <c r="FP227" s="57"/>
      <c r="FQ227" s="73"/>
      <c r="FR227" s="73"/>
      <c r="FS227" s="71">
        <f t="shared" si="152"/>
        <v>0</v>
      </c>
      <c r="FT227" s="91"/>
      <c r="FU227" s="91"/>
      <c r="FV227" s="67">
        <f>SUM(Tableau1[[#This Row],[Droits d''auteurs SACEM + cotisations SACEM]:[Autres ou non préciés]])</f>
        <v>0</v>
      </c>
      <c r="FW227" s="75">
        <f t="shared" si="153"/>
        <v>0</v>
      </c>
      <c r="FX227" s="74">
        <v>0</v>
      </c>
      <c r="FY227" s="74"/>
      <c r="FZ227" s="74"/>
      <c r="GA227" s="74"/>
      <c r="GB227" s="71">
        <f t="shared" si="154"/>
        <v>0</v>
      </c>
      <c r="GC227" s="92"/>
      <c r="GD227" s="92"/>
      <c r="GE227" s="67">
        <f t="shared" si="155"/>
        <v>0</v>
      </c>
      <c r="GF227" s="66"/>
      <c r="GG227" s="66"/>
      <c r="GH227" s="66"/>
      <c r="GI227" s="66"/>
      <c r="GJ227" s="77"/>
    </row>
    <row r="228" spans="1:192" ht="18.600000000000001" customHeight="1" x14ac:dyDescent="0.25">
      <c r="A228" s="89"/>
      <c r="B228" s="17"/>
      <c r="C228" s="50"/>
      <c r="D228" s="140"/>
      <c r="E228" s="51"/>
      <c r="F228" s="139">
        <f t="shared" si="120"/>
        <v>1</v>
      </c>
      <c r="G228" s="49"/>
      <c r="H228" s="50"/>
      <c r="I228" s="122"/>
      <c r="J228" s="49"/>
      <c r="K228" s="50"/>
      <c r="L228" s="50"/>
      <c r="M228" s="90"/>
      <c r="N228" s="50"/>
      <c r="O228" s="50"/>
      <c r="P228" s="90"/>
      <c r="Q228" s="52">
        <f t="shared" si="125"/>
        <v>0</v>
      </c>
      <c r="R228" s="52">
        <f t="shared" si="126"/>
        <v>0</v>
      </c>
      <c r="S228" s="53">
        <f t="shared" si="127"/>
        <v>0</v>
      </c>
      <c r="T228" s="54">
        <f t="shared" si="128"/>
        <v>0</v>
      </c>
      <c r="U228" s="115">
        <f>SUM(Tableau1[[#This Row],[Vente confiserie]:[Vente boisson]])</f>
        <v>0</v>
      </c>
      <c r="V228" s="55"/>
      <c r="W228" s="55"/>
      <c r="X228" s="135">
        <f>SUM(Tableau1[[#This Row],[Vente lunette]:[Location lunette]])</f>
        <v>0</v>
      </c>
      <c r="Y228" s="55"/>
      <c r="Z228" s="55"/>
      <c r="AA228" s="55"/>
      <c r="AB228" s="55"/>
      <c r="AC228" s="56">
        <f t="shared" si="157"/>
        <v>0</v>
      </c>
      <c r="AD228" s="57"/>
      <c r="AE228" s="57"/>
      <c r="AF228" s="57"/>
      <c r="AG228" s="57"/>
      <c r="AH228" s="57"/>
      <c r="AI228" s="57"/>
      <c r="AJ228" s="118">
        <f>(Tableau1[[#This Row],[Recette guichet ]]*1.1275177)-Tableau1[[#This Row],[Recette guichet ]]</f>
        <v>0</v>
      </c>
      <c r="AK228" s="57"/>
      <c r="AL228" s="56">
        <f t="shared" si="158"/>
        <v>0</v>
      </c>
      <c r="AM228" s="58"/>
      <c r="AN228" s="58"/>
      <c r="AO228" s="58"/>
      <c r="AP228" s="115">
        <f t="shared" si="129"/>
        <v>0</v>
      </c>
      <c r="AQ228" s="69"/>
      <c r="AR228" s="69"/>
      <c r="AS228" s="69"/>
      <c r="AT228" s="69"/>
      <c r="AU228" s="59">
        <f t="shared" si="130"/>
        <v>0</v>
      </c>
      <c r="AV228" s="60">
        <f t="shared" si="131"/>
        <v>0</v>
      </c>
      <c r="AW228" s="58"/>
      <c r="AX228" s="58"/>
      <c r="AY228" s="58"/>
      <c r="AZ228" s="60">
        <f t="shared" si="121"/>
        <v>0</v>
      </c>
      <c r="BA228" s="58"/>
      <c r="BB228" s="58"/>
      <c r="BC228" s="58"/>
      <c r="BD228" s="60">
        <f>SUM(Tableau1[[#This Row],[ticket/carte/abonnement périmé]:[Autres ou non précisé 5]])</f>
        <v>0</v>
      </c>
      <c r="BE228" s="58"/>
      <c r="BF228" s="58"/>
      <c r="BG228" s="58"/>
      <c r="BH228" s="61">
        <f t="shared" si="132"/>
        <v>0</v>
      </c>
      <c r="BI228" s="120"/>
      <c r="BJ228" s="120"/>
      <c r="BK228" s="62">
        <f t="shared" si="133"/>
        <v>0</v>
      </c>
      <c r="BL228" s="120"/>
      <c r="BM228" s="120"/>
      <c r="BN228" s="120"/>
      <c r="BO228" s="120"/>
      <c r="BP228" s="120"/>
      <c r="BQ228" s="63"/>
      <c r="BR228" s="52">
        <f t="shared" si="134"/>
        <v>0</v>
      </c>
      <c r="BS228" s="52">
        <f t="shared" si="135"/>
        <v>0</v>
      </c>
      <c r="BT228" s="61">
        <f t="shared" si="136"/>
        <v>0</v>
      </c>
      <c r="BU228" s="64">
        <f t="shared" si="137"/>
        <v>0</v>
      </c>
      <c r="BV228" s="119">
        <f>SUM(Tableau1[[#This Row],[Achats confiserie]:[Achats boisson]])</f>
        <v>0</v>
      </c>
      <c r="BW228" s="58"/>
      <c r="BX228" s="69"/>
      <c r="BY228" s="58"/>
      <c r="BZ228" s="56">
        <f t="shared" si="138"/>
        <v>0</v>
      </c>
      <c r="CA228" s="66"/>
      <c r="CB228" s="66"/>
      <c r="CC228" s="56">
        <f t="shared" si="139"/>
        <v>0</v>
      </c>
      <c r="CD228" s="55"/>
      <c r="CE228" s="65"/>
      <c r="CF228" s="55"/>
      <c r="CG228" s="55"/>
      <c r="CH228" s="67">
        <f t="shared" si="140"/>
        <v>0</v>
      </c>
      <c r="CI228" s="68">
        <f t="shared" si="156"/>
        <v>0</v>
      </c>
      <c r="CJ228" s="55"/>
      <c r="CK228" s="55"/>
      <c r="CL228" s="55"/>
      <c r="CM228" s="55"/>
      <c r="CN228" s="55"/>
      <c r="CO228" s="68">
        <f t="shared" si="141"/>
        <v>0</v>
      </c>
      <c r="CP228" s="75">
        <f>SUM(Tableau1[[#This Row],[Fourniture eau]:[Energie (non précisé)]])</f>
        <v>0</v>
      </c>
      <c r="CQ228" s="55"/>
      <c r="CR228" s="55"/>
      <c r="CS228" s="55"/>
      <c r="CT228" s="55"/>
      <c r="CU228" s="55"/>
      <c r="CV228" s="55">
        <v>0</v>
      </c>
      <c r="CW228" s="55"/>
      <c r="CX228" s="68">
        <f>SUM(Tableau1[[#This Row],[Sous-traitance]:[Autres ou non précisé 12]])</f>
        <v>0</v>
      </c>
      <c r="CY228" s="65"/>
      <c r="CZ228" s="65"/>
      <c r="DA228" s="65"/>
      <c r="DB228" s="65"/>
      <c r="DC228" s="55"/>
      <c r="DD228" s="68">
        <f t="shared" si="122"/>
        <v>0</v>
      </c>
      <c r="DE228" s="55"/>
      <c r="DF228" s="65"/>
      <c r="DG228" s="65"/>
      <c r="DH228" s="65"/>
      <c r="DI228" s="68">
        <f>SUM(Tableau1[[#This Row],[Entretien et réparation matériel de projection]:[Autres ou non précisé 14]])</f>
        <v>0</v>
      </c>
      <c r="DJ228" s="58"/>
      <c r="DK228" s="58"/>
      <c r="DL228" s="69"/>
      <c r="DM228" s="68">
        <f t="shared" si="142"/>
        <v>0</v>
      </c>
      <c r="DN228" s="58"/>
      <c r="DO228" s="58"/>
      <c r="DP228" s="68">
        <f t="shared" si="143"/>
        <v>0</v>
      </c>
      <c r="DQ228" s="65"/>
      <c r="DR228" s="65"/>
      <c r="DS228" s="68">
        <f t="shared" si="144"/>
        <v>0</v>
      </c>
      <c r="DT228" s="65"/>
      <c r="DU228" s="65"/>
      <c r="DV228" s="65"/>
      <c r="DW228" s="68">
        <f>SUM(Tableau1[[#This Row],[Comission et courtage sur achats]:[Autres ou honoraires
 non précisé ]])</f>
        <v>0</v>
      </c>
      <c r="DX228" s="57"/>
      <c r="DY228" s="57"/>
      <c r="DZ228" s="65"/>
      <c r="EA228" s="65"/>
      <c r="EB228" s="65"/>
      <c r="EC228" s="68">
        <f t="shared" si="145"/>
        <v>0</v>
      </c>
      <c r="ED228" s="69"/>
      <c r="EE228" s="69"/>
      <c r="EF228" s="69"/>
      <c r="EG228" s="69"/>
      <c r="EH228" s="69"/>
      <c r="EI228" s="84">
        <f>SUM(Tableau1[[#This Row],[Transports sur films]:[autres ]])</f>
        <v>0</v>
      </c>
      <c r="EJ228" s="132">
        <v>0</v>
      </c>
      <c r="EK228" s="132"/>
      <c r="EL228" s="68">
        <f t="shared" si="146"/>
        <v>0</v>
      </c>
      <c r="EM228" s="65"/>
      <c r="EN228" s="65">
        <v>0</v>
      </c>
      <c r="EO228" s="65"/>
      <c r="EP228" s="65"/>
      <c r="EQ228" s="65"/>
      <c r="ER228" s="65"/>
      <c r="ES228" s="65"/>
      <c r="ET228" s="68">
        <f t="shared" si="147"/>
        <v>0</v>
      </c>
      <c r="EU228" s="65"/>
      <c r="EV228" s="65"/>
      <c r="EW228" s="65"/>
      <c r="EX228" s="65"/>
      <c r="EY228" s="65"/>
      <c r="EZ228" s="68">
        <f t="shared" si="124"/>
        <v>0</v>
      </c>
      <c r="FA228" s="65"/>
      <c r="FB228" s="65"/>
      <c r="FC228" s="70">
        <f t="shared" si="123"/>
        <v>0</v>
      </c>
      <c r="FD228" s="65"/>
      <c r="FE228" s="71">
        <f t="shared" si="148"/>
        <v>0</v>
      </c>
      <c r="FF228" s="72">
        <f t="shared" si="149"/>
        <v>0</v>
      </c>
      <c r="FG228" s="65"/>
      <c r="FH228" s="65"/>
      <c r="FI228" s="65"/>
      <c r="FJ228" s="56">
        <f t="shared" si="150"/>
        <v>0</v>
      </c>
      <c r="FK228" s="65"/>
      <c r="FL228" s="65"/>
      <c r="FM228" s="65"/>
      <c r="FN228" s="65"/>
      <c r="FO228" s="67">
        <f t="shared" si="151"/>
        <v>0</v>
      </c>
      <c r="FP228" s="57"/>
      <c r="FQ228" s="73"/>
      <c r="FR228" s="73"/>
      <c r="FS228" s="71">
        <f t="shared" si="152"/>
        <v>0</v>
      </c>
      <c r="FT228" s="91"/>
      <c r="FU228" s="91"/>
      <c r="FV228" s="67">
        <f>SUM(Tableau1[[#This Row],[Droits d''auteurs SACEM + cotisations SACEM]:[Autres ou non préciés]])</f>
        <v>0</v>
      </c>
      <c r="FW228" s="75">
        <f t="shared" si="153"/>
        <v>0</v>
      </c>
      <c r="FX228" s="74">
        <v>0</v>
      </c>
      <c r="FY228" s="74"/>
      <c r="FZ228" s="74"/>
      <c r="GA228" s="74"/>
      <c r="GB228" s="71">
        <f t="shared" si="154"/>
        <v>0</v>
      </c>
      <c r="GC228" s="92"/>
      <c r="GD228" s="92"/>
      <c r="GE228" s="67">
        <f t="shared" si="155"/>
        <v>0</v>
      </c>
      <c r="GF228" s="66"/>
      <c r="GG228" s="66"/>
      <c r="GH228" s="66"/>
      <c r="GI228" s="66"/>
      <c r="GJ228" s="77"/>
    </row>
    <row r="229" spans="1:192" ht="18.600000000000001" customHeight="1" x14ac:dyDescent="0.25">
      <c r="A229" s="89"/>
      <c r="B229" s="17"/>
      <c r="C229" s="50"/>
      <c r="D229" s="140"/>
      <c r="E229" s="51"/>
      <c r="F229" s="139">
        <f t="shared" si="120"/>
        <v>1</v>
      </c>
      <c r="G229" s="49"/>
      <c r="H229" s="50"/>
      <c r="I229" s="122"/>
      <c r="J229" s="49"/>
      <c r="K229" s="50"/>
      <c r="L229" s="50"/>
      <c r="M229" s="90"/>
      <c r="N229" s="50"/>
      <c r="O229" s="50"/>
      <c r="P229" s="90"/>
      <c r="Q229" s="52">
        <f t="shared" si="125"/>
        <v>0</v>
      </c>
      <c r="R229" s="52">
        <f t="shared" si="126"/>
        <v>0</v>
      </c>
      <c r="S229" s="53">
        <f t="shared" si="127"/>
        <v>0</v>
      </c>
      <c r="T229" s="54">
        <f t="shared" si="128"/>
        <v>0</v>
      </c>
      <c r="U229" s="115">
        <f>SUM(Tableau1[[#This Row],[Vente confiserie]:[Vente boisson]])</f>
        <v>0</v>
      </c>
      <c r="V229" s="55"/>
      <c r="W229" s="55"/>
      <c r="X229" s="135">
        <f>SUM(Tableau1[[#This Row],[Vente lunette]:[Location lunette]])</f>
        <v>0</v>
      </c>
      <c r="Y229" s="55"/>
      <c r="Z229" s="55"/>
      <c r="AA229" s="55"/>
      <c r="AB229" s="55"/>
      <c r="AC229" s="56">
        <f t="shared" si="157"/>
        <v>0</v>
      </c>
      <c r="AD229" s="57"/>
      <c r="AE229" s="57"/>
      <c r="AF229" s="57"/>
      <c r="AG229" s="57"/>
      <c r="AH229" s="57"/>
      <c r="AI229" s="57"/>
      <c r="AJ229" s="118">
        <f>(Tableau1[[#This Row],[Recette guichet ]]*1.1275177)-Tableau1[[#This Row],[Recette guichet ]]</f>
        <v>0</v>
      </c>
      <c r="AK229" s="57"/>
      <c r="AL229" s="56">
        <f t="shared" si="158"/>
        <v>0</v>
      </c>
      <c r="AM229" s="58"/>
      <c r="AN229" s="58"/>
      <c r="AO229" s="58"/>
      <c r="AP229" s="115">
        <f t="shared" si="129"/>
        <v>0</v>
      </c>
      <c r="AQ229" s="69"/>
      <c r="AR229" s="69"/>
      <c r="AS229" s="69"/>
      <c r="AT229" s="69"/>
      <c r="AU229" s="59">
        <f t="shared" si="130"/>
        <v>0</v>
      </c>
      <c r="AV229" s="60">
        <f t="shared" si="131"/>
        <v>0</v>
      </c>
      <c r="AW229" s="58"/>
      <c r="AX229" s="58"/>
      <c r="AY229" s="58"/>
      <c r="AZ229" s="60">
        <f t="shared" si="121"/>
        <v>0</v>
      </c>
      <c r="BA229" s="58"/>
      <c r="BB229" s="58"/>
      <c r="BC229" s="58"/>
      <c r="BD229" s="60">
        <f>SUM(Tableau1[[#This Row],[ticket/carte/abonnement périmé]:[Autres ou non précisé 5]])</f>
        <v>0</v>
      </c>
      <c r="BE229" s="58"/>
      <c r="BF229" s="58"/>
      <c r="BG229" s="58"/>
      <c r="BH229" s="61">
        <f t="shared" si="132"/>
        <v>0</v>
      </c>
      <c r="BI229" s="120"/>
      <c r="BJ229" s="120"/>
      <c r="BK229" s="62">
        <f t="shared" si="133"/>
        <v>0</v>
      </c>
      <c r="BL229" s="120"/>
      <c r="BM229" s="120"/>
      <c r="BN229" s="120"/>
      <c r="BO229" s="120"/>
      <c r="BP229" s="120"/>
      <c r="BQ229" s="63"/>
      <c r="BR229" s="52">
        <f t="shared" si="134"/>
        <v>0</v>
      </c>
      <c r="BS229" s="52">
        <f t="shared" si="135"/>
        <v>0</v>
      </c>
      <c r="BT229" s="61">
        <f t="shared" si="136"/>
        <v>0</v>
      </c>
      <c r="BU229" s="64">
        <f t="shared" si="137"/>
        <v>0</v>
      </c>
      <c r="BV229" s="119">
        <f>SUM(Tableau1[[#This Row],[Achats confiserie]:[Achats boisson]])</f>
        <v>0</v>
      </c>
      <c r="BW229" s="58"/>
      <c r="BX229" s="69"/>
      <c r="BY229" s="58"/>
      <c r="BZ229" s="56">
        <f t="shared" si="138"/>
        <v>0</v>
      </c>
      <c r="CA229" s="66"/>
      <c r="CB229" s="66"/>
      <c r="CC229" s="56">
        <f t="shared" si="139"/>
        <v>0</v>
      </c>
      <c r="CD229" s="55"/>
      <c r="CE229" s="65"/>
      <c r="CF229" s="55"/>
      <c r="CG229" s="55"/>
      <c r="CH229" s="67">
        <f t="shared" si="140"/>
        <v>0</v>
      </c>
      <c r="CI229" s="68">
        <f t="shared" si="156"/>
        <v>0</v>
      </c>
      <c r="CJ229" s="55"/>
      <c r="CK229" s="55"/>
      <c r="CL229" s="55"/>
      <c r="CM229" s="55"/>
      <c r="CN229" s="55"/>
      <c r="CO229" s="68">
        <f t="shared" si="141"/>
        <v>0</v>
      </c>
      <c r="CP229" s="75">
        <f>SUM(Tableau1[[#This Row],[Fourniture eau]:[Energie (non précisé)]])</f>
        <v>0</v>
      </c>
      <c r="CQ229" s="55"/>
      <c r="CR229" s="55"/>
      <c r="CS229" s="55"/>
      <c r="CT229" s="55"/>
      <c r="CU229" s="55"/>
      <c r="CV229" s="55">
        <v>0</v>
      </c>
      <c r="CW229" s="55"/>
      <c r="CX229" s="68">
        <f>SUM(Tableau1[[#This Row],[Sous-traitance]:[Autres ou non précisé 12]])</f>
        <v>0</v>
      </c>
      <c r="CY229" s="65"/>
      <c r="CZ229" s="65"/>
      <c r="DA229" s="65"/>
      <c r="DB229" s="65"/>
      <c r="DC229" s="55"/>
      <c r="DD229" s="68">
        <f t="shared" si="122"/>
        <v>0</v>
      </c>
      <c r="DE229" s="55"/>
      <c r="DF229" s="65"/>
      <c r="DG229" s="65"/>
      <c r="DH229" s="65"/>
      <c r="DI229" s="68">
        <f>SUM(Tableau1[[#This Row],[Entretien et réparation matériel de projection]:[Autres ou non précisé 14]])</f>
        <v>0</v>
      </c>
      <c r="DJ229" s="58"/>
      <c r="DK229" s="58"/>
      <c r="DL229" s="69"/>
      <c r="DM229" s="68">
        <f t="shared" si="142"/>
        <v>0</v>
      </c>
      <c r="DN229" s="58"/>
      <c r="DO229" s="58"/>
      <c r="DP229" s="68">
        <f t="shared" si="143"/>
        <v>0</v>
      </c>
      <c r="DQ229" s="65"/>
      <c r="DR229" s="65"/>
      <c r="DS229" s="68">
        <f t="shared" si="144"/>
        <v>0</v>
      </c>
      <c r="DT229" s="65"/>
      <c r="DU229" s="65"/>
      <c r="DV229" s="65"/>
      <c r="DW229" s="68">
        <f>SUM(Tableau1[[#This Row],[Comission et courtage sur achats]:[Autres ou honoraires
 non précisé ]])</f>
        <v>0</v>
      </c>
      <c r="DX229" s="57"/>
      <c r="DY229" s="57"/>
      <c r="DZ229" s="65"/>
      <c r="EA229" s="65"/>
      <c r="EB229" s="65"/>
      <c r="EC229" s="68">
        <f t="shared" si="145"/>
        <v>0</v>
      </c>
      <c r="ED229" s="69"/>
      <c r="EE229" s="69"/>
      <c r="EF229" s="69"/>
      <c r="EG229" s="69"/>
      <c r="EH229" s="69"/>
      <c r="EI229" s="84">
        <f>SUM(Tableau1[[#This Row],[Transports sur films]:[autres ]])</f>
        <v>0</v>
      </c>
      <c r="EJ229" s="132">
        <v>0</v>
      </c>
      <c r="EK229" s="132"/>
      <c r="EL229" s="68">
        <f t="shared" si="146"/>
        <v>0</v>
      </c>
      <c r="EM229" s="65"/>
      <c r="EN229" s="65">
        <v>0</v>
      </c>
      <c r="EO229" s="65"/>
      <c r="EP229" s="65"/>
      <c r="EQ229" s="65"/>
      <c r="ER229" s="65"/>
      <c r="ES229" s="65"/>
      <c r="ET229" s="68">
        <f t="shared" si="147"/>
        <v>0</v>
      </c>
      <c r="EU229" s="65"/>
      <c r="EV229" s="65"/>
      <c r="EW229" s="65"/>
      <c r="EX229" s="65"/>
      <c r="EY229" s="65"/>
      <c r="EZ229" s="68">
        <f t="shared" si="124"/>
        <v>0</v>
      </c>
      <c r="FA229" s="65"/>
      <c r="FB229" s="65"/>
      <c r="FC229" s="70">
        <f t="shared" si="123"/>
        <v>0</v>
      </c>
      <c r="FD229" s="65"/>
      <c r="FE229" s="71">
        <f t="shared" si="148"/>
        <v>0</v>
      </c>
      <c r="FF229" s="72">
        <f t="shared" si="149"/>
        <v>0</v>
      </c>
      <c r="FG229" s="65"/>
      <c r="FH229" s="65"/>
      <c r="FI229" s="65"/>
      <c r="FJ229" s="56">
        <f t="shared" si="150"/>
        <v>0</v>
      </c>
      <c r="FK229" s="65"/>
      <c r="FL229" s="65"/>
      <c r="FM229" s="65"/>
      <c r="FN229" s="65"/>
      <c r="FO229" s="67">
        <f t="shared" si="151"/>
        <v>0</v>
      </c>
      <c r="FP229" s="57"/>
      <c r="FQ229" s="73"/>
      <c r="FR229" s="73"/>
      <c r="FS229" s="71">
        <f t="shared" si="152"/>
        <v>0</v>
      </c>
      <c r="FT229" s="91"/>
      <c r="FU229" s="91"/>
      <c r="FV229" s="67">
        <f>SUM(Tableau1[[#This Row],[Droits d''auteurs SACEM + cotisations SACEM]:[Autres ou non préciés]])</f>
        <v>0</v>
      </c>
      <c r="FW229" s="75">
        <f t="shared" si="153"/>
        <v>0</v>
      </c>
      <c r="FX229" s="74">
        <v>0</v>
      </c>
      <c r="FY229" s="74"/>
      <c r="FZ229" s="74"/>
      <c r="GA229" s="74"/>
      <c r="GB229" s="71">
        <f t="shared" si="154"/>
        <v>0</v>
      </c>
      <c r="GC229" s="92"/>
      <c r="GD229" s="92"/>
      <c r="GE229" s="67">
        <f t="shared" si="155"/>
        <v>0</v>
      </c>
      <c r="GF229" s="66"/>
      <c r="GG229" s="66"/>
      <c r="GH229" s="66"/>
      <c r="GI229" s="66"/>
      <c r="GJ229" s="77"/>
    </row>
    <row r="230" spans="1:192" ht="18.600000000000001" customHeight="1" x14ac:dyDescent="0.25">
      <c r="A230" s="89"/>
      <c r="B230" s="17"/>
      <c r="C230" s="50"/>
      <c r="D230" s="140"/>
      <c r="E230" s="51"/>
      <c r="F230" s="139">
        <f t="shared" si="120"/>
        <v>1</v>
      </c>
      <c r="G230" s="49"/>
      <c r="H230" s="50"/>
      <c r="I230" s="122"/>
      <c r="J230" s="49"/>
      <c r="K230" s="50"/>
      <c r="L230" s="50"/>
      <c r="M230" s="90"/>
      <c r="N230" s="50"/>
      <c r="O230" s="50"/>
      <c r="P230" s="90"/>
      <c r="Q230" s="52">
        <f t="shared" si="125"/>
        <v>0</v>
      </c>
      <c r="R230" s="52">
        <f t="shared" si="126"/>
        <v>0</v>
      </c>
      <c r="S230" s="53">
        <f t="shared" si="127"/>
        <v>0</v>
      </c>
      <c r="T230" s="54">
        <f t="shared" si="128"/>
        <v>0</v>
      </c>
      <c r="U230" s="115">
        <f>SUM(Tableau1[[#This Row],[Vente confiserie]:[Vente boisson]])</f>
        <v>0</v>
      </c>
      <c r="V230" s="55"/>
      <c r="W230" s="55"/>
      <c r="X230" s="135">
        <f>SUM(Tableau1[[#This Row],[Vente lunette]:[Location lunette]])</f>
        <v>0</v>
      </c>
      <c r="Y230" s="55"/>
      <c r="Z230" s="55"/>
      <c r="AA230" s="55"/>
      <c r="AB230" s="55"/>
      <c r="AC230" s="56">
        <f t="shared" si="157"/>
        <v>0</v>
      </c>
      <c r="AD230" s="57"/>
      <c r="AE230" s="57"/>
      <c r="AF230" s="57"/>
      <c r="AG230" s="57"/>
      <c r="AH230" s="57"/>
      <c r="AI230" s="57"/>
      <c r="AJ230" s="118">
        <f>(Tableau1[[#This Row],[Recette guichet ]]*1.1275177)-Tableau1[[#This Row],[Recette guichet ]]</f>
        <v>0</v>
      </c>
      <c r="AK230" s="57"/>
      <c r="AL230" s="56">
        <f t="shared" si="158"/>
        <v>0</v>
      </c>
      <c r="AM230" s="58"/>
      <c r="AN230" s="58"/>
      <c r="AO230" s="58"/>
      <c r="AP230" s="115">
        <f t="shared" si="129"/>
        <v>0</v>
      </c>
      <c r="AQ230" s="69"/>
      <c r="AR230" s="69"/>
      <c r="AS230" s="69"/>
      <c r="AT230" s="69"/>
      <c r="AU230" s="59">
        <f t="shared" si="130"/>
        <v>0</v>
      </c>
      <c r="AV230" s="60">
        <f t="shared" si="131"/>
        <v>0</v>
      </c>
      <c r="AW230" s="58"/>
      <c r="AX230" s="58"/>
      <c r="AY230" s="58"/>
      <c r="AZ230" s="60">
        <f t="shared" si="121"/>
        <v>0</v>
      </c>
      <c r="BA230" s="58"/>
      <c r="BB230" s="58"/>
      <c r="BC230" s="58"/>
      <c r="BD230" s="60">
        <f>SUM(Tableau1[[#This Row],[ticket/carte/abonnement périmé]:[Autres ou non précisé 5]])</f>
        <v>0</v>
      </c>
      <c r="BE230" s="58"/>
      <c r="BF230" s="58"/>
      <c r="BG230" s="58"/>
      <c r="BH230" s="61">
        <f t="shared" si="132"/>
        <v>0</v>
      </c>
      <c r="BI230" s="120"/>
      <c r="BJ230" s="120"/>
      <c r="BK230" s="62">
        <f t="shared" si="133"/>
        <v>0</v>
      </c>
      <c r="BL230" s="120"/>
      <c r="BM230" s="120"/>
      <c r="BN230" s="120"/>
      <c r="BO230" s="120"/>
      <c r="BP230" s="120"/>
      <c r="BQ230" s="63"/>
      <c r="BR230" s="52">
        <f t="shared" si="134"/>
        <v>0</v>
      </c>
      <c r="BS230" s="52">
        <f t="shared" si="135"/>
        <v>0</v>
      </c>
      <c r="BT230" s="61">
        <f t="shared" si="136"/>
        <v>0</v>
      </c>
      <c r="BU230" s="64">
        <f t="shared" si="137"/>
        <v>0</v>
      </c>
      <c r="BV230" s="119">
        <f>SUM(Tableau1[[#This Row],[Achats confiserie]:[Achats boisson]])</f>
        <v>0</v>
      </c>
      <c r="BW230" s="58"/>
      <c r="BX230" s="69"/>
      <c r="BY230" s="58"/>
      <c r="BZ230" s="56">
        <f t="shared" si="138"/>
        <v>0</v>
      </c>
      <c r="CA230" s="66"/>
      <c r="CB230" s="66"/>
      <c r="CC230" s="56">
        <f t="shared" si="139"/>
        <v>0</v>
      </c>
      <c r="CD230" s="55"/>
      <c r="CE230" s="65"/>
      <c r="CF230" s="55"/>
      <c r="CG230" s="55"/>
      <c r="CH230" s="67">
        <f t="shared" si="140"/>
        <v>0</v>
      </c>
      <c r="CI230" s="68">
        <f t="shared" si="156"/>
        <v>0</v>
      </c>
      <c r="CJ230" s="55"/>
      <c r="CK230" s="55"/>
      <c r="CL230" s="55"/>
      <c r="CM230" s="55"/>
      <c r="CN230" s="55"/>
      <c r="CO230" s="68">
        <f t="shared" si="141"/>
        <v>0</v>
      </c>
      <c r="CP230" s="75">
        <f>SUM(Tableau1[[#This Row],[Fourniture eau]:[Energie (non précisé)]])</f>
        <v>0</v>
      </c>
      <c r="CQ230" s="55"/>
      <c r="CR230" s="55"/>
      <c r="CS230" s="55"/>
      <c r="CT230" s="55"/>
      <c r="CU230" s="55"/>
      <c r="CV230" s="55">
        <v>0</v>
      </c>
      <c r="CW230" s="55"/>
      <c r="CX230" s="68">
        <f>SUM(Tableau1[[#This Row],[Sous-traitance]:[Autres ou non précisé 12]])</f>
        <v>0</v>
      </c>
      <c r="CY230" s="65"/>
      <c r="CZ230" s="65"/>
      <c r="DA230" s="65"/>
      <c r="DB230" s="65"/>
      <c r="DC230" s="55"/>
      <c r="DD230" s="68">
        <f t="shared" si="122"/>
        <v>0</v>
      </c>
      <c r="DE230" s="55"/>
      <c r="DF230" s="65"/>
      <c r="DG230" s="65"/>
      <c r="DH230" s="65"/>
      <c r="DI230" s="68">
        <f>SUM(Tableau1[[#This Row],[Entretien et réparation matériel de projection]:[Autres ou non précisé 14]])</f>
        <v>0</v>
      </c>
      <c r="DJ230" s="58"/>
      <c r="DK230" s="58"/>
      <c r="DL230" s="69"/>
      <c r="DM230" s="68">
        <f t="shared" si="142"/>
        <v>0</v>
      </c>
      <c r="DN230" s="58"/>
      <c r="DO230" s="58"/>
      <c r="DP230" s="68">
        <f t="shared" si="143"/>
        <v>0</v>
      </c>
      <c r="DQ230" s="65"/>
      <c r="DR230" s="65"/>
      <c r="DS230" s="68">
        <f t="shared" si="144"/>
        <v>0</v>
      </c>
      <c r="DT230" s="65"/>
      <c r="DU230" s="65"/>
      <c r="DV230" s="65"/>
      <c r="DW230" s="68">
        <f>SUM(Tableau1[[#This Row],[Comission et courtage sur achats]:[Autres ou honoraires
 non précisé ]])</f>
        <v>0</v>
      </c>
      <c r="DX230" s="57"/>
      <c r="DY230" s="57"/>
      <c r="DZ230" s="65"/>
      <c r="EA230" s="65"/>
      <c r="EB230" s="65"/>
      <c r="EC230" s="68">
        <f t="shared" si="145"/>
        <v>0</v>
      </c>
      <c r="ED230" s="69"/>
      <c r="EE230" s="69"/>
      <c r="EF230" s="69"/>
      <c r="EG230" s="69"/>
      <c r="EH230" s="69"/>
      <c r="EI230" s="84">
        <f>SUM(Tableau1[[#This Row],[Transports sur films]:[autres ]])</f>
        <v>0</v>
      </c>
      <c r="EJ230" s="132">
        <v>0</v>
      </c>
      <c r="EK230" s="132"/>
      <c r="EL230" s="68">
        <f t="shared" si="146"/>
        <v>0</v>
      </c>
      <c r="EM230" s="65"/>
      <c r="EN230" s="65">
        <v>0</v>
      </c>
      <c r="EO230" s="65"/>
      <c r="EP230" s="65"/>
      <c r="EQ230" s="65"/>
      <c r="ER230" s="65"/>
      <c r="ES230" s="65"/>
      <c r="ET230" s="68">
        <f t="shared" si="147"/>
        <v>0</v>
      </c>
      <c r="EU230" s="65"/>
      <c r="EV230" s="65"/>
      <c r="EW230" s="65"/>
      <c r="EX230" s="65"/>
      <c r="EY230" s="65"/>
      <c r="EZ230" s="68">
        <f t="shared" si="124"/>
        <v>0</v>
      </c>
      <c r="FA230" s="65"/>
      <c r="FB230" s="65"/>
      <c r="FC230" s="70">
        <f t="shared" si="123"/>
        <v>0</v>
      </c>
      <c r="FD230" s="65"/>
      <c r="FE230" s="71">
        <f t="shared" si="148"/>
        <v>0</v>
      </c>
      <c r="FF230" s="72">
        <f t="shared" si="149"/>
        <v>0</v>
      </c>
      <c r="FG230" s="65"/>
      <c r="FH230" s="65"/>
      <c r="FI230" s="65"/>
      <c r="FJ230" s="56">
        <f t="shared" si="150"/>
        <v>0</v>
      </c>
      <c r="FK230" s="65"/>
      <c r="FL230" s="65"/>
      <c r="FM230" s="65"/>
      <c r="FN230" s="65"/>
      <c r="FO230" s="67">
        <f t="shared" si="151"/>
        <v>0</v>
      </c>
      <c r="FP230" s="57"/>
      <c r="FQ230" s="73"/>
      <c r="FR230" s="73"/>
      <c r="FS230" s="71">
        <f t="shared" si="152"/>
        <v>0</v>
      </c>
      <c r="FT230" s="91"/>
      <c r="FU230" s="91"/>
      <c r="FV230" s="67">
        <f>SUM(Tableau1[[#This Row],[Droits d''auteurs SACEM + cotisations SACEM]:[Autres ou non préciés]])</f>
        <v>0</v>
      </c>
      <c r="FW230" s="75">
        <f t="shared" si="153"/>
        <v>0</v>
      </c>
      <c r="FX230" s="74">
        <v>0</v>
      </c>
      <c r="FY230" s="74"/>
      <c r="FZ230" s="74"/>
      <c r="GA230" s="74"/>
      <c r="GB230" s="71">
        <f t="shared" si="154"/>
        <v>0</v>
      </c>
      <c r="GC230" s="92"/>
      <c r="GD230" s="92"/>
      <c r="GE230" s="67">
        <f t="shared" si="155"/>
        <v>0</v>
      </c>
      <c r="GF230" s="66"/>
      <c r="GG230" s="66"/>
      <c r="GH230" s="66"/>
      <c r="GI230" s="66"/>
      <c r="GJ230" s="77"/>
    </row>
    <row r="231" spans="1:192" ht="18.600000000000001" customHeight="1" x14ac:dyDescent="0.25">
      <c r="A231" s="89"/>
      <c r="B231" s="17"/>
      <c r="C231" s="50"/>
      <c r="D231" s="140"/>
      <c r="E231" s="51"/>
      <c r="F231" s="139">
        <f t="shared" si="120"/>
        <v>1</v>
      </c>
      <c r="G231" s="49"/>
      <c r="H231" s="50"/>
      <c r="I231" s="122"/>
      <c r="J231" s="49"/>
      <c r="K231" s="50"/>
      <c r="L231" s="50"/>
      <c r="M231" s="90"/>
      <c r="N231" s="50"/>
      <c r="O231" s="50"/>
      <c r="P231" s="90"/>
      <c r="Q231" s="52">
        <f t="shared" si="125"/>
        <v>0</v>
      </c>
      <c r="R231" s="52">
        <f t="shared" si="126"/>
        <v>0</v>
      </c>
      <c r="S231" s="53">
        <f t="shared" si="127"/>
        <v>0</v>
      </c>
      <c r="T231" s="54">
        <f t="shared" si="128"/>
        <v>0</v>
      </c>
      <c r="U231" s="115">
        <f>SUM(Tableau1[[#This Row],[Vente confiserie]:[Vente boisson]])</f>
        <v>0</v>
      </c>
      <c r="V231" s="55"/>
      <c r="W231" s="55"/>
      <c r="X231" s="135">
        <f>SUM(Tableau1[[#This Row],[Vente lunette]:[Location lunette]])</f>
        <v>0</v>
      </c>
      <c r="Y231" s="55"/>
      <c r="Z231" s="55"/>
      <c r="AA231" s="55"/>
      <c r="AB231" s="55"/>
      <c r="AC231" s="56">
        <f t="shared" si="157"/>
        <v>0</v>
      </c>
      <c r="AD231" s="57"/>
      <c r="AE231" s="57"/>
      <c r="AF231" s="57"/>
      <c r="AG231" s="57"/>
      <c r="AH231" s="57"/>
      <c r="AI231" s="57"/>
      <c r="AJ231" s="118">
        <f>(Tableau1[[#This Row],[Recette guichet ]]*1.1275177)-Tableau1[[#This Row],[Recette guichet ]]</f>
        <v>0</v>
      </c>
      <c r="AK231" s="57"/>
      <c r="AL231" s="56">
        <f t="shared" si="158"/>
        <v>0</v>
      </c>
      <c r="AM231" s="58"/>
      <c r="AN231" s="58"/>
      <c r="AO231" s="58"/>
      <c r="AP231" s="115">
        <f t="shared" si="129"/>
        <v>0</v>
      </c>
      <c r="AQ231" s="69"/>
      <c r="AR231" s="69"/>
      <c r="AS231" s="69"/>
      <c r="AT231" s="69"/>
      <c r="AU231" s="59">
        <f t="shared" si="130"/>
        <v>0</v>
      </c>
      <c r="AV231" s="60">
        <f t="shared" si="131"/>
        <v>0</v>
      </c>
      <c r="AW231" s="58"/>
      <c r="AX231" s="58"/>
      <c r="AY231" s="58"/>
      <c r="AZ231" s="60">
        <f t="shared" si="121"/>
        <v>0</v>
      </c>
      <c r="BA231" s="58"/>
      <c r="BB231" s="58"/>
      <c r="BC231" s="58"/>
      <c r="BD231" s="60">
        <f>SUM(Tableau1[[#This Row],[ticket/carte/abonnement périmé]:[Autres ou non précisé 5]])</f>
        <v>0</v>
      </c>
      <c r="BE231" s="58"/>
      <c r="BF231" s="58"/>
      <c r="BG231" s="58"/>
      <c r="BH231" s="61">
        <f t="shared" si="132"/>
        <v>0</v>
      </c>
      <c r="BI231" s="120"/>
      <c r="BJ231" s="120"/>
      <c r="BK231" s="62">
        <f t="shared" si="133"/>
        <v>0</v>
      </c>
      <c r="BL231" s="120"/>
      <c r="BM231" s="120"/>
      <c r="BN231" s="120"/>
      <c r="BO231" s="120"/>
      <c r="BP231" s="120"/>
      <c r="BQ231" s="63"/>
      <c r="BR231" s="52">
        <f t="shared" si="134"/>
        <v>0</v>
      </c>
      <c r="BS231" s="52">
        <f t="shared" si="135"/>
        <v>0</v>
      </c>
      <c r="BT231" s="61">
        <f t="shared" si="136"/>
        <v>0</v>
      </c>
      <c r="BU231" s="64">
        <f t="shared" si="137"/>
        <v>0</v>
      </c>
      <c r="BV231" s="119">
        <f>SUM(Tableau1[[#This Row],[Achats confiserie]:[Achats boisson]])</f>
        <v>0</v>
      </c>
      <c r="BW231" s="58"/>
      <c r="BX231" s="69"/>
      <c r="BY231" s="58"/>
      <c r="BZ231" s="56">
        <f t="shared" si="138"/>
        <v>0</v>
      </c>
      <c r="CA231" s="66"/>
      <c r="CB231" s="66"/>
      <c r="CC231" s="56">
        <f t="shared" si="139"/>
        <v>0</v>
      </c>
      <c r="CD231" s="55"/>
      <c r="CE231" s="65"/>
      <c r="CF231" s="55"/>
      <c r="CG231" s="55"/>
      <c r="CH231" s="67">
        <f t="shared" si="140"/>
        <v>0</v>
      </c>
      <c r="CI231" s="68">
        <f t="shared" si="156"/>
        <v>0</v>
      </c>
      <c r="CJ231" s="55"/>
      <c r="CK231" s="55"/>
      <c r="CL231" s="55"/>
      <c r="CM231" s="55"/>
      <c r="CN231" s="55"/>
      <c r="CO231" s="68">
        <f t="shared" si="141"/>
        <v>0</v>
      </c>
      <c r="CP231" s="75">
        <f>SUM(Tableau1[[#This Row],[Fourniture eau]:[Energie (non précisé)]])</f>
        <v>0</v>
      </c>
      <c r="CQ231" s="55"/>
      <c r="CR231" s="55"/>
      <c r="CS231" s="55"/>
      <c r="CT231" s="55"/>
      <c r="CU231" s="55"/>
      <c r="CV231" s="55">
        <v>0</v>
      </c>
      <c r="CW231" s="55"/>
      <c r="CX231" s="68">
        <f>SUM(Tableau1[[#This Row],[Sous-traitance]:[Autres ou non précisé 12]])</f>
        <v>0</v>
      </c>
      <c r="CY231" s="65"/>
      <c r="CZ231" s="65"/>
      <c r="DA231" s="65"/>
      <c r="DB231" s="65"/>
      <c r="DC231" s="55"/>
      <c r="DD231" s="68">
        <f t="shared" si="122"/>
        <v>0</v>
      </c>
      <c r="DE231" s="55"/>
      <c r="DF231" s="65"/>
      <c r="DG231" s="65"/>
      <c r="DH231" s="65"/>
      <c r="DI231" s="68">
        <f>SUM(Tableau1[[#This Row],[Entretien et réparation matériel de projection]:[Autres ou non précisé 14]])</f>
        <v>0</v>
      </c>
      <c r="DJ231" s="58"/>
      <c r="DK231" s="58"/>
      <c r="DL231" s="69"/>
      <c r="DM231" s="68">
        <f t="shared" si="142"/>
        <v>0</v>
      </c>
      <c r="DN231" s="58"/>
      <c r="DO231" s="58"/>
      <c r="DP231" s="68">
        <f t="shared" si="143"/>
        <v>0</v>
      </c>
      <c r="DQ231" s="65"/>
      <c r="DR231" s="65"/>
      <c r="DS231" s="68">
        <f t="shared" si="144"/>
        <v>0</v>
      </c>
      <c r="DT231" s="65"/>
      <c r="DU231" s="65"/>
      <c r="DV231" s="65"/>
      <c r="DW231" s="68">
        <f>SUM(Tableau1[[#This Row],[Comission et courtage sur achats]:[Autres ou honoraires
 non précisé ]])</f>
        <v>0</v>
      </c>
      <c r="DX231" s="57"/>
      <c r="DY231" s="57"/>
      <c r="DZ231" s="65"/>
      <c r="EA231" s="65"/>
      <c r="EB231" s="65"/>
      <c r="EC231" s="68">
        <f t="shared" si="145"/>
        <v>0</v>
      </c>
      <c r="ED231" s="69"/>
      <c r="EE231" s="69"/>
      <c r="EF231" s="69"/>
      <c r="EG231" s="69"/>
      <c r="EH231" s="69"/>
      <c r="EI231" s="84">
        <f>SUM(Tableau1[[#This Row],[Transports sur films]:[autres ]])</f>
        <v>0</v>
      </c>
      <c r="EJ231" s="132">
        <v>0</v>
      </c>
      <c r="EK231" s="132"/>
      <c r="EL231" s="68">
        <f t="shared" si="146"/>
        <v>0</v>
      </c>
      <c r="EM231" s="65"/>
      <c r="EN231" s="65">
        <v>0</v>
      </c>
      <c r="EO231" s="65"/>
      <c r="EP231" s="65"/>
      <c r="EQ231" s="65"/>
      <c r="ER231" s="65"/>
      <c r="ES231" s="65"/>
      <c r="ET231" s="68">
        <f t="shared" si="147"/>
        <v>0</v>
      </c>
      <c r="EU231" s="65"/>
      <c r="EV231" s="65"/>
      <c r="EW231" s="65"/>
      <c r="EX231" s="65"/>
      <c r="EY231" s="65"/>
      <c r="EZ231" s="68">
        <f t="shared" si="124"/>
        <v>0</v>
      </c>
      <c r="FA231" s="65"/>
      <c r="FB231" s="65"/>
      <c r="FC231" s="70">
        <f t="shared" si="123"/>
        <v>0</v>
      </c>
      <c r="FD231" s="65"/>
      <c r="FE231" s="71">
        <f t="shared" si="148"/>
        <v>0</v>
      </c>
      <c r="FF231" s="72">
        <f t="shared" si="149"/>
        <v>0</v>
      </c>
      <c r="FG231" s="65"/>
      <c r="FH231" s="65"/>
      <c r="FI231" s="65"/>
      <c r="FJ231" s="56">
        <f t="shared" si="150"/>
        <v>0</v>
      </c>
      <c r="FK231" s="65"/>
      <c r="FL231" s="65"/>
      <c r="FM231" s="65"/>
      <c r="FN231" s="65"/>
      <c r="FO231" s="67">
        <f t="shared" si="151"/>
        <v>0</v>
      </c>
      <c r="FP231" s="57"/>
      <c r="FQ231" s="73"/>
      <c r="FR231" s="73"/>
      <c r="FS231" s="71">
        <f t="shared" si="152"/>
        <v>0</v>
      </c>
      <c r="FT231" s="91"/>
      <c r="FU231" s="91"/>
      <c r="FV231" s="67">
        <f>SUM(Tableau1[[#This Row],[Droits d''auteurs SACEM + cotisations SACEM]:[Autres ou non préciés]])</f>
        <v>0</v>
      </c>
      <c r="FW231" s="75">
        <f t="shared" si="153"/>
        <v>0</v>
      </c>
      <c r="FX231" s="74">
        <v>0</v>
      </c>
      <c r="FY231" s="74"/>
      <c r="FZ231" s="74"/>
      <c r="GA231" s="74"/>
      <c r="GB231" s="71">
        <f t="shared" si="154"/>
        <v>0</v>
      </c>
      <c r="GC231" s="92"/>
      <c r="GD231" s="92"/>
      <c r="GE231" s="67">
        <f t="shared" si="155"/>
        <v>0</v>
      </c>
      <c r="GF231" s="66"/>
      <c r="GG231" s="66"/>
      <c r="GH231" s="66"/>
      <c r="GI231" s="66"/>
      <c r="GJ231" s="77"/>
    </row>
    <row r="232" spans="1:192" ht="18.600000000000001" customHeight="1" x14ac:dyDescent="0.25">
      <c r="A232" s="89"/>
      <c r="B232" s="17"/>
      <c r="C232" s="50"/>
      <c r="D232" s="140"/>
      <c r="E232" s="51"/>
      <c r="F232" s="139">
        <f t="shared" si="120"/>
        <v>1</v>
      </c>
      <c r="G232" s="49"/>
      <c r="H232" s="50"/>
      <c r="I232" s="122"/>
      <c r="J232" s="49"/>
      <c r="K232" s="50"/>
      <c r="L232" s="50"/>
      <c r="M232" s="90"/>
      <c r="N232" s="50"/>
      <c r="O232" s="50"/>
      <c r="P232" s="90"/>
      <c r="Q232" s="52">
        <f t="shared" si="125"/>
        <v>0</v>
      </c>
      <c r="R232" s="52">
        <f t="shared" si="126"/>
        <v>0</v>
      </c>
      <c r="S232" s="53">
        <f t="shared" si="127"/>
        <v>0</v>
      </c>
      <c r="T232" s="54">
        <f t="shared" si="128"/>
        <v>0</v>
      </c>
      <c r="U232" s="115">
        <f>SUM(Tableau1[[#This Row],[Vente confiserie]:[Vente boisson]])</f>
        <v>0</v>
      </c>
      <c r="V232" s="55"/>
      <c r="W232" s="55"/>
      <c r="X232" s="135">
        <f>SUM(Tableau1[[#This Row],[Vente lunette]:[Location lunette]])</f>
        <v>0</v>
      </c>
      <c r="Y232" s="55"/>
      <c r="Z232" s="55"/>
      <c r="AA232" s="55"/>
      <c r="AB232" s="55"/>
      <c r="AC232" s="56">
        <f t="shared" si="157"/>
        <v>0</v>
      </c>
      <c r="AD232" s="57"/>
      <c r="AE232" s="57"/>
      <c r="AF232" s="57"/>
      <c r="AG232" s="57"/>
      <c r="AH232" s="57"/>
      <c r="AI232" s="57"/>
      <c r="AJ232" s="118">
        <f>(Tableau1[[#This Row],[Recette guichet ]]*1.1275177)-Tableau1[[#This Row],[Recette guichet ]]</f>
        <v>0</v>
      </c>
      <c r="AK232" s="57"/>
      <c r="AL232" s="56">
        <f t="shared" si="158"/>
        <v>0</v>
      </c>
      <c r="AM232" s="58"/>
      <c r="AN232" s="58"/>
      <c r="AO232" s="58"/>
      <c r="AP232" s="115">
        <f t="shared" si="129"/>
        <v>0</v>
      </c>
      <c r="AQ232" s="69"/>
      <c r="AR232" s="69"/>
      <c r="AS232" s="69"/>
      <c r="AT232" s="69"/>
      <c r="AU232" s="59">
        <f t="shared" si="130"/>
        <v>0</v>
      </c>
      <c r="AV232" s="60">
        <f t="shared" si="131"/>
        <v>0</v>
      </c>
      <c r="AW232" s="58"/>
      <c r="AX232" s="58"/>
      <c r="AY232" s="58"/>
      <c r="AZ232" s="60">
        <f t="shared" si="121"/>
        <v>0</v>
      </c>
      <c r="BA232" s="58"/>
      <c r="BB232" s="58"/>
      <c r="BC232" s="58"/>
      <c r="BD232" s="60">
        <f>SUM(Tableau1[[#This Row],[ticket/carte/abonnement périmé]:[Autres ou non précisé 5]])</f>
        <v>0</v>
      </c>
      <c r="BE232" s="58"/>
      <c r="BF232" s="58"/>
      <c r="BG232" s="58"/>
      <c r="BH232" s="61">
        <f t="shared" si="132"/>
        <v>0</v>
      </c>
      <c r="BI232" s="120"/>
      <c r="BJ232" s="120"/>
      <c r="BK232" s="62">
        <f t="shared" si="133"/>
        <v>0</v>
      </c>
      <c r="BL232" s="120"/>
      <c r="BM232" s="120"/>
      <c r="BN232" s="120"/>
      <c r="BO232" s="120"/>
      <c r="BP232" s="120"/>
      <c r="BQ232" s="63"/>
      <c r="BR232" s="52">
        <f t="shared" si="134"/>
        <v>0</v>
      </c>
      <c r="BS232" s="52">
        <f t="shared" si="135"/>
        <v>0</v>
      </c>
      <c r="BT232" s="61">
        <f t="shared" si="136"/>
        <v>0</v>
      </c>
      <c r="BU232" s="64">
        <f t="shared" si="137"/>
        <v>0</v>
      </c>
      <c r="BV232" s="119">
        <f>SUM(Tableau1[[#This Row],[Achats confiserie]:[Achats boisson]])</f>
        <v>0</v>
      </c>
      <c r="BW232" s="58"/>
      <c r="BX232" s="69"/>
      <c r="BY232" s="58"/>
      <c r="BZ232" s="56">
        <f t="shared" si="138"/>
        <v>0</v>
      </c>
      <c r="CA232" s="66"/>
      <c r="CB232" s="66"/>
      <c r="CC232" s="56">
        <f t="shared" si="139"/>
        <v>0</v>
      </c>
      <c r="CD232" s="55"/>
      <c r="CE232" s="65"/>
      <c r="CF232" s="55"/>
      <c r="CG232" s="55"/>
      <c r="CH232" s="67">
        <f t="shared" si="140"/>
        <v>0</v>
      </c>
      <c r="CI232" s="68">
        <f t="shared" si="156"/>
        <v>0</v>
      </c>
      <c r="CJ232" s="55"/>
      <c r="CK232" s="55"/>
      <c r="CL232" s="55"/>
      <c r="CM232" s="55"/>
      <c r="CN232" s="55"/>
      <c r="CO232" s="68">
        <f t="shared" si="141"/>
        <v>0</v>
      </c>
      <c r="CP232" s="75">
        <f>SUM(Tableau1[[#This Row],[Fourniture eau]:[Energie (non précisé)]])</f>
        <v>0</v>
      </c>
      <c r="CQ232" s="55"/>
      <c r="CR232" s="55"/>
      <c r="CS232" s="55"/>
      <c r="CT232" s="55"/>
      <c r="CU232" s="55"/>
      <c r="CV232" s="55">
        <v>0</v>
      </c>
      <c r="CW232" s="55"/>
      <c r="CX232" s="68">
        <f>SUM(Tableau1[[#This Row],[Sous-traitance]:[Autres ou non précisé 12]])</f>
        <v>0</v>
      </c>
      <c r="CY232" s="65"/>
      <c r="CZ232" s="65"/>
      <c r="DA232" s="65"/>
      <c r="DB232" s="65"/>
      <c r="DC232" s="55"/>
      <c r="DD232" s="68">
        <f t="shared" si="122"/>
        <v>0</v>
      </c>
      <c r="DE232" s="55"/>
      <c r="DF232" s="65"/>
      <c r="DG232" s="65"/>
      <c r="DH232" s="65"/>
      <c r="DI232" s="68">
        <f>SUM(Tableau1[[#This Row],[Entretien et réparation matériel de projection]:[Autres ou non précisé 14]])</f>
        <v>0</v>
      </c>
      <c r="DJ232" s="58"/>
      <c r="DK232" s="58"/>
      <c r="DL232" s="69"/>
      <c r="DM232" s="68">
        <f t="shared" si="142"/>
        <v>0</v>
      </c>
      <c r="DN232" s="58"/>
      <c r="DO232" s="58"/>
      <c r="DP232" s="68">
        <f t="shared" si="143"/>
        <v>0</v>
      </c>
      <c r="DQ232" s="65"/>
      <c r="DR232" s="65"/>
      <c r="DS232" s="68">
        <f t="shared" si="144"/>
        <v>0</v>
      </c>
      <c r="DT232" s="65"/>
      <c r="DU232" s="65"/>
      <c r="DV232" s="65"/>
      <c r="DW232" s="68">
        <f>SUM(Tableau1[[#This Row],[Comission et courtage sur achats]:[Autres ou honoraires
 non précisé ]])</f>
        <v>0</v>
      </c>
      <c r="DX232" s="57"/>
      <c r="DY232" s="57"/>
      <c r="DZ232" s="65"/>
      <c r="EA232" s="65"/>
      <c r="EB232" s="65"/>
      <c r="EC232" s="68">
        <f t="shared" si="145"/>
        <v>0</v>
      </c>
      <c r="ED232" s="69"/>
      <c r="EE232" s="69"/>
      <c r="EF232" s="69"/>
      <c r="EG232" s="69"/>
      <c r="EH232" s="69"/>
      <c r="EI232" s="84">
        <f>SUM(Tableau1[[#This Row],[Transports sur films]:[autres ]])</f>
        <v>0</v>
      </c>
      <c r="EJ232" s="132">
        <v>0</v>
      </c>
      <c r="EK232" s="132"/>
      <c r="EL232" s="68">
        <f t="shared" si="146"/>
        <v>0</v>
      </c>
      <c r="EM232" s="65"/>
      <c r="EN232" s="65">
        <v>0</v>
      </c>
      <c r="EO232" s="65"/>
      <c r="EP232" s="65"/>
      <c r="EQ232" s="65"/>
      <c r="ER232" s="65"/>
      <c r="ES232" s="65"/>
      <c r="ET232" s="68">
        <f t="shared" si="147"/>
        <v>0</v>
      </c>
      <c r="EU232" s="65"/>
      <c r="EV232" s="65"/>
      <c r="EW232" s="65"/>
      <c r="EX232" s="65"/>
      <c r="EY232" s="65"/>
      <c r="EZ232" s="68">
        <f t="shared" si="124"/>
        <v>0</v>
      </c>
      <c r="FA232" s="65"/>
      <c r="FB232" s="65"/>
      <c r="FC232" s="70">
        <f t="shared" si="123"/>
        <v>0</v>
      </c>
      <c r="FD232" s="65"/>
      <c r="FE232" s="71">
        <f t="shared" si="148"/>
        <v>0</v>
      </c>
      <c r="FF232" s="72">
        <f t="shared" si="149"/>
        <v>0</v>
      </c>
      <c r="FG232" s="65"/>
      <c r="FH232" s="65"/>
      <c r="FI232" s="65"/>
      <c r="FJ232" s="56">
        <f t="shared" si="150"/>
        <v>0</v>
      </c>
      <c r="FK232" s="65"/>
      <c r="FL232" s="65"/>
      <c r="FM232" s="65"/>
      <c r="FN232" s="65"/>
      <c r="FO232" s="67">
        <f t="shared" si="151"/>
        <v>0</v>
      </c>
      <c r="FP232" s="57"/>
      <c r="FQ232" s="73"/>
      <c r="FR232" s="73"/>
      <c r="FS232" s="71">
        <f t="shared" si="152"/>
        <v>0</v>
      </c>
      <c r="FT232" s="91"/>
      <c r="FU232" s="91"/>
      <c r="FV232" s="67">
        <f>SUM(Tableau1[[#This Row],[Droits d''auteurs SACEM + cotisations SACEM]:[Autres ou non préciés]])</f>
        <v>0</v>
      </c>
      <c r="FW232" s="75">
        <f t="shared" si="153"/>
        <v>0</v>
      </c>
      <c r="FX232" s="74">
        <v>0</v>
      </c>
      <c r="FY232" s="74"/>
      <c r="FZ232" s="74"/>
      <c r="GA232" s="74"/>
      <c r="GB232" s="71">
        <f t="shared" si="154"/>
        <v>0</v>
      </c>
      <c r="GC232" s="92"/>
      <c r="GD232" s="92"/>
      <c r="GE232" s="67">
        <f t="shared" si="155"/>
        <v>0</v>
      </c>
      <c r="GF232" s="66"/>
      <c r="GG232" s="66"/>
      <c r="GH232" s="66"/>
      <c r="GI232" s="66"/>
      <c r="GJ232" s="77"/>
    </row>
    <row r="233" spans="1:192" ht="18.600000000000001" customHeight="1" x14ac:dyDescent="0.25">
      <c r="A233" s="89"/>
      <c r="B233" s="17"/>
      <c r="C233" s="50"/>
      <c r="D233" s="140"/>
      <c r="E233" s="51"/>
      <c r="F233" s="139">
        <f t="shared" si="120"/>
        <v>1</v>
      </c>
      <c r="G233" s="49"/>
      <c r="H233" s="50"/>
      <c r="I233" s="122"/>
      <c r="J233" s="49"/>
      <c r="K233" s="50"/>
      <c r="L233" s="50"/>
      <c r="M233" s="90"/>
      <c r="N233" s="50"/>
      <c r="O233" s="50"/>
      <c r="P233" s="90"/>
      <c r="Q233" s="52">
        <f t="shared" si="125"/>
        <v>0</v>
      </c>
      <c r="R233" s="52">
        <f t="shared" si="126"/>
        <v>0</v>
      </c>
      <c r="S233" s="53">
        <f t="shared" si="127"/>
        <v>0</v>
      </c>
      <c r="T233" s="54">
        <f t="shared" si="128"/>
        <v>0</v>
      </c>
      <c r="U233" s="115">
        <f>SUM(Tableau1[[#This Row],[Vente confiserie]:[Vente boisson]])</f>
        <v>0</v>
      </c>
      <c r="V233" s="55"/>
      <c r="W233" s="55"/>
      <c r="X233" s="135">
        <f>SUM(Tableau1[[#This Row],[Vente lunette]:[Location lunette]])</f>
        <v>0</v>
      </c>
      <c r="Y233" s="55"/>
      <c r="Z233" s="55"/>
      <c r="AA233" s="55"/>
      <c r="AB233" s="55"/>
      <c r="AC233" s="56">
        <f t="shared" si="157"/>
        <v>0</v>
      </c>
      <c r="AD233" s="57"/>
      <c r="AE233" s="57"/>
      <c r="AF233" s="57"/>
      <c r="AG233" s="57"/>
      <c r="AH233" s="57"/>
      <c r="AI233" s="57"/>
      <c r="AJ233" s="118">
        <f>(Tableau1[[#This Row],[Recette guichet ]]*1.1275177)-Tableau1[[#This Row],[Recette guichet ]]</f>
        <v>0</v>
      </c>
      <c r="AK233" s="57"/>
      <c r="AL233" s="56">
        <f t="shared" si="158"/>
        <v>0</v>
      </c>
      <c r="AM233" s="58"/>
      <c r="AN233" s="58"/>
      <c r="AO233" s="58"/>
      <c r="AP233" s="115">
        <f t="shared" si="129"/>
        <v>0</v>
      </c>
      <c r="AQ233" s="69"/>
      <c r="AR233" s="69"/>
      <c r="AS233" s="69"/>
      <c r="AT233" s="69"/>
      <c r="AU233" s="59">
        <f t="shared" si="130"/>
        <v>0</v>
      </c>
      <c r="AV233" s="60">
        <f t="shared" si="131"/>
        <v>0</v>
      </c>
      <c r="AW233" s="58"/>
      <c r="AX233" s="58"/>
      <c r="AY233" s="58"/>
      <c r="AZ233" s="60">
        <f t="shared" si="121"/>
        <v>0</v>
      </c>
      <c r="BA233" s="58"/>
      <c r="BB233" s="58"/>
      <c r="BC233" s="58"/>
      <c r="BD233" s="60">
        <f>SUM(Tableau1[[#This Row],[ticket/carte/abonnement périmé]:[Autres ou non précisé 5]])</f>
        <v>0</v>
      </c>
      <c r="BE233" s="58"/>
      <c r="BF233" s="58"/>
      <c r="BG233" s="58"/>
      <c r="BH233" s="61">
        <f t="shared" si="132"/>
        <v>0</v>
      </c>
      <c r="BI233" s="120"/>
      <c r="BJ233" s="120"/>
      <c r="BK233" s="62">
        <f t="shared" si="133"/>
        <v>0</v>
      </c>
      <c r="BL233" s="120"/>
      <c r="BM233" s="120"/>
      <c r="BN233" s="120"/>
      <c r="BO233" s="120"/>
      <c r="BP233" s="120"/>
      <c r="BQ233" s="63"/>
      <c r="BR233" s="52">
        <f t="shared" si="134"/>
        <v>0</v>
      </c>
      <c r="BS233" s="52">
        <f t="shared" si="135"/>
        <v>0</v>
      </c>
      <c r="BT233" s="61">
        <f t="shared" si="136"/>
        <v>0</v>
      </c>
      <c r="BU233" s="64">
        <f t="shared" si="137"/>
        <v>0</v>
      </c>
      <c r="BV233" s="119">
        <f>SUM(Tableau1[[#This Row],[Achats confiserie]:[Achats boisson]])</f>
        <v>0</v>
      </c>
      <c r="BW233" s="58"/>
      <c r="BX233" s="69"/>
      <c r="BY233" s="58"/>
      <c r="BZ233" s="56">
        <f t="shared" si="138"/>
        <v>0</v>
      </c>
      <c r="CA233" s="66"/>
      <c r="CB233" s="66"/>
      <c r="CC233" s="56">
        <f t="shared" si="139"/>
        <v>0</v>
      </c>
      <c r="CD233" s="55"/>
      <c r="CE233" s="65"/>
      <c r="CF233" s="55"/>
      <c r="CG233" s="55"/>
      <c r="CH233" s="67">
        <f t="shared" si="140"/>
        <v>0</v>
      </c>
      <c r="CI233" s="68">
        <f t="shared" si="156"/>
        <v>0</v>
      </c>
      <c r="CJ233" s="55"/>
      <c r="CK233" s="55"/>
      <c r="CL233" s="55"/>
      <c r="CM233" s="55"/>
      <c r="CN233" s="55"/>
      <c r="CO233" s="68">
        <f t="shared" si="141"/>
        <v>0</v>
      </c>
      <c r="CP233" s="75">
        <f>SUM(Tableau1[[#This Row],[Fourniture eau]:[Energie (non précisé)]])</f>
        <v>0</v>
      </c>
      <c r="CQ233" s="55"/>
      <c r="CR233" s="55"/>
      <c r="CS233" s="55"/>
      <c r="CT233" s="55"/>
      <c r="CU233" s="55"/>
      <c r="CV233" s="55">
        <v>0</v>
      </c>
      <c r="CW233" s="55"/>
      <c r="CX233" s="68">
        <f>SUM(Tableau1[[#This Row],[Sous-traitance]:[Autres ou non précisé 12]])</f>
        <v>0</v>
      </c>
      <c r="CY233" s="65"/>
      <c r="CZ233" s="65"/>
      <c r="DA233" s="65"/>
      <c r="DB233" s="65"/>
      <c r="DC233" s="55"/>
      <c r="DD233" s="68">
        <f t="shared" si="122"/>
        <v>0</v>
      </c>
      <c r="DE233" s="55"/>
      <c r="DF233" s="65"/>
      <c r="DG233" s="65"/>
      <c r="DH233" s="65"/>
      <c r="DI233" s="68">
        <f>SUM(Tableau1[[#This Row],[Entretien et réparation matériel de projection]:[Autres ou non précisé 14]])</f>
        <v>0</v>
      </c>
      <c r="DJ233" s="58"/>
      <c r="DK233" s="58"/>
      <c r="DL233" s="69"/>
      <c r="DM233" s="68">
        <f t="shared" si="142"/>
        <v>0</v>
      </c>
      <c r="DN233" s="58"/>
      <c r="DO233" s="58"/>
      <c r="DP233" s="68">
        <f t="shared" si="143"/>
        <v>0</v>
      </c>
      <c r="DQ233" s="65"/>
      <c r="DR233" s="65"/>
      <c r="DS233" s="68">
        <f t="shared" si="144"/>
        <v>0</v>
      </c>
      <c r="DT233" s="65"/>
      <c r="DU233" s="65"/>
      <c r="DV233" s="65"/>
      <c r="DW233" s="68">
        <f>SUM(Tableau1[[#This Row],[Comission et courtage sur achats]:[Autres ou honoraires
 non précisé ]])</f>
        <v>0</v>
      </c>
      <c r="DX233" s="57"/>
      <c r="DY233" s="57"/>
      <c r="DZ233" s="65"/>
      <c r="EA233" s="65"/>
      <c r="EB233" s="65"/>
      <c r="EC233" s="68">
        <f t="shared" si="145"/>
        <v>0</v>
      </c>
      <c r="ED233" s="69"/>
      <c r="EE233" s="69"/>
      <c r="EF233" s="69"/>
      <c r="EG233" s="69"/>
      <c r="EH233" s="69"/>
      <c r="EI233" s="84">
        <f>SUM(Tableau1[[#This Row],[Transports sur films]:[autres ]])</f>
        <v>0</v>
      </c>
      <c r="EJ233" s="132">
        <v>0</v>
      </c>
      <c r="EK233" s="132"/>
      <c r="EL233" s="68">
        <f t="shared" si="146"/>
        <v>0</v>
      </c>
      <c r="EM233" s="65"/>
      <c r="EN233" s="65">
        <v>0</v>
      </c>
      <c r="EO233" s="65"/>
      <c r="EP233" s="65"/>
      <c r="EQ233" s="65"/>
      <c r="ER233" s="65"/>
      <c r="ES233" s="65"/>
      <c r="ET233" s="68">
        <f t="shared" si="147"/>
        <v>0</v>
      </c>
      <c r="EU233" s="65"/>
      <c r="EV233" s="65"/>
      <c r="EW233" s="65"/>
      <c r="EX233" s="65"/>
      <c r="EY233" s="65"/>
      <c r="EZ233" s="68">
        <f t="shared" si="124"/>
        <v>0</v>
      </c>
      <c r="FA233" s="65"/>
      <c r="FB233" s="65"/>
      <c r="FC233" s="70">
        <f t="shared" si="123"/>
        <v>0</v>
      </c>
      <c r="FD233" s="65"/>
      <c r="FE233" s="71">
        <f t="shared" si="148"/>
        <v>0</v>
      </c>
      <c r="FF233" s="72">
        <f t="shared" si="149"/>
        <v>0</v>
      </c>
      <c r="FG233" s="65"/>
      <c r="FH233" s="65"/>
      <c r="FI233" s="65"/>
      <c r="FJ233" s="56">
        <f t="shared" si="150"/>
        <v>0</v>
      </c>
      <c r="FK233" s="65"/>
      <c r="FL233" s="65"/>
      <c r="FM233" s="65"/>
      <c r="FN233" s="65"/>
      <c r="FO233" s="67">
        <f t="shared" si="151"/>
        <v>0</v>
      </c>
      <c r="FP233" s="57"/>
      <c r="FQ233" s="73"/>
      <c r="FR233" s="73"/>
      <c r="FS233" s="71">
        <f t="shared" si="152"/>
        <v>0</v>
      </c>
      <c r="FT233" s="91"/>
      <c r="FU233" s="91"/>
      <c r="FV233" s="67">
        <f>SUM(Tableau1[[#This Row],[Droits d''auteurs SACEM + cotisations SACEM]:[Autres ou non préciés]])</f>
        <v>0</v>
      </c>
      <c r="FW233" s="75">
        <f t="shared" si="153"/>
        <v>0</v>
      </c>
      <c r="FX233" s="74">
        <v>0</v>
      </c>
      <c r="FY233" s="74"/>
      <c r="FZ233" s="74"/>
      <c r="GA233" s="74"/>
      <c r="GB233" s="71">
        <f t="shared" si="154"/>
        <v>0</v>
      </c>
      <c r="GC233" s="92"/>
      <c r="GD233" s="92"/>
      <c r="GE233" s="67">
        <f t="shared" si="155"/>
        <v>0</v>
      </c>
      <c r="GF233" s="66"/>
      <c r="GG233" s="66"/>
      <c r="GH233" s="66"/>
      <c r="GI233" s="66"/>
      <c r="GJ233" s="77"/>
    </row>
    <row r="234" spans="1:192" ht="18.600000000000001" customHeight="1" x14ac:dyDescent="0.25">
      <c r="A234" s="89"/>
      <c r="B234" s="17"/>
      <c r="C234" s="50"/>
      <c r="D234" s="140"/>
      <c r="E234" s="51"/>
      <c r="F234" s="139">
        <f t="shared" ref="F234:F297" si="159">DATEDIF(D234,E234,"m")+1</f>
        <v>1</v>
      </c>
      <c r="G234" s="49"/>
      <c r="H234" s="50"/>
      <c r="I234" s="122"/>
      <c r="J234" s="49"/>
      <c r="K234" s="50"/>
      <c r="L234" s="50"/>
      <c r="M234" s="90"/>
      <c r="N234" s="50"/>
      <c r="O234" s="50"/>
      <c r="P234" s="90"/>
      <c r="Q234" s="52">
        <f t="shared" si="125"/>
        <v>0</v>
      </c>
      <c r="R234" s="52">
        <f t="shared" si="126"/>
        <v>0</v>
      </c>
      <c r="S234" s="53">
        <f t="shared" si="127"/>
        <v>0</v>
      </c>
      <c r="T234" s="54">
        <f t="shared" si="128"/>
        <v>0</v>
      </c>
      <c r="U234" s="115">
        <f>SUM(Tableau1[[#This Row],[Vente confiserie]:[Vente boisson]])</f>
        <v>0</v>
      </c>
      <c r="V234" s="55"/>
      <c r="W234" s="55"/>
      <c r="X234" s="135">
        <f>SUM(Tableau1[[#This Row],[Vente lunette]:[Location lunette]])</f>
        <v>0</v>
      </c>
      <c r="Y234" s="55"/>
      <c r="Z234" s="55"/>
      <c r="AA234" s="55"/>
      <c r="AB234" s="55"/>
      <c r="AC234" s="56">
        <f t="shared" si="157"/>
        <v>0</v>
      </c>
      <c r="AD234" s="57"/>
      <c r="AE234" s="57"/>
      <c r="AF234" s="57"/>
      <c r="AG234" s="57"/>
      <c r="AH234" s="57"/>
      <c r="AI234" s="57"/>
      <c r="AJ234" s="118">
        <f>(Tableau1[[#This Row],[Recette guichet ]]*1.1275177)-Tableau1[[#This Row],[Recette guichet ]]</f>
        <v>0</v>
      </c>
      <c r="AK234" s="57"/>
      <c r="AL234" s="56">
        <f t="shared" si="158"/>
        <v>0</v>
      </c>
      <c r="AM234" s="58"/>
      <c r="AN234" s="58"/>
      <c r="AO234" s="58"/>
      <c r="AP234" s="115">
        <f t="shared" si="129"/>
        <v>0</v>
      </c>
      <c r="AQ234" s="69"/>
      <c r="AR234" s="69"/>
      <c r="AS234" s="69"/>
      <c r="AT234" s="69"/>
      <c r="AU234" s="59">
        <f t="shared" si="130"/>
        <v>0</v>
      </c>
      <c r="AV234" s="60">
        <f t="shared" si="131"/>
        <v>0</v>
      </c>
      <c r="AW234" s="58"/>
      <c r="AX234" s="58"/>
      <c r="AY234" s="58"/>
      <c r="AZ234" s="60">
        <f t="shared" si="121"/>
        <v>0</v>
      </c>
      <c r="BA234" s="58"/>
      <c r="BB234" s="58"/>
      <c r="BC234" s="58"/>
      <c r="BD234" s="60">
        <f>SUM(Tableau1[[#This Row],[ticket/carte/abonnement périmé]:[Autres ou non précisé 5]])</f>
        <v>0</v>
      </c>
      <c r="BE234" s="58"/>
      <c r="BF234" s="58"/>
      <c r="BG234" s="58"/>
      <c r="BH234" s="61">
        <f t="shared" si="132"/>
        <v>0</v>
      </c>
      <c r="BI234" s="120"/>
      <c r="BJ234" s="120"/>
      <c r="BK234" s="62">
        <f t="shared" si="133"/>
        <v>0</v>
      </c>
      <c r="BL234" s="120"/>
      <c r="BM234" s="120"/>
      <c r="BN234" s="120"/>
      <c r="BO234" s="120"/>
      <c r="BP234" s="120"/>
      <c r="BQ234" s="63"/>
      <c r="BR234" s="52">
        <f t="shared" si="134"/>
        <v>0</v>
      </c>
      <c r="BS234" s="52">
        <f t="shared" si="135"/>
        <v>0</v>
      </c>
      <c r="BT234" s="61">
        <f t="shared" si="136"/>
        <v>0</v>
      </c>
      <c r="BU234" s="64">
        <f t="shared" si="137"/>
        <v>0</v>
      </c>
      <c r="BV234" s="119">
        <f>SUM(Tableau1[[#This Row],[Achats confiserie]:[Achats boisson]])</f>
        <v>0</v>
      </c>
      <c r="BW234" s="58"/>
      <c r="BX234" s="69"/>
      <c r="BY234" s="58"/>
      <c r="BZ234" s="56">
        <f t="shared" si="138"/>
        <v>0</v>
      </c>
      <c r="CA234" s="66"/>
      <c r="CB234" s="66"/>
      <c r="CC234" s="56">
        <f t="shared" si="139"/>
        <v>0</v>
      </c>
      <c r="CD234" s="55"/>
      <c r="CE234" s="65"/>
      <c r="CF234" s="55"/>
      <c r="CG234" s="55"/>
      <c r="CH234" s="67">
        <f t="shared" si="140"/>
        <v>0</v>
      </c>
      <c r="CI234" s="68">
        <f t="shared" si="156"/>
        <v>0</v>
      </c>
      <c r="CJ234" s="55"/>
      <c r="CK234" s="55"/>
      <c r="CL234" s="55"/>
      <c r="CM234" s="55"/>
      <c r="CN234" s="55"/>
      <c r="CO234" s="68">
        <f t="shared" si="141"/>
        <v>0</v>
      </c>
      <c r="CP234" s="75">
        <f>SUM(Tableau1[[#This Row],[Fourniture eau]:[Energie (non précisé)]])</f>
        <v>0</v>
      </c>
      <c r="CQ234" s="55"/>
      <c r="CR234" s="55"/>
      <c r="CS234" s="55"/>
      <c r="CT234" s="55"/>
      <c r="CU234" s="55"/>
      <c r="CV234" s="55">
        <v>0</v>
      </c>
      <c r="CW234" s="55"/>
      <c r="CX234" s="68">
        <f>SUM(Tableau1[[#This Row],[Sous-traitance]:[Autres ou non précisé 12]])</f>
        <v>0</v>
      </c>
      <c r="CY234" s="65"/>
      <c r="CZ234" s="65"/>
      <c r="DA234" s="65"/>
      <c r="DB234" s="65"/>
      <c r="DC234" s="55"/>
      <c r="DD234" s="68">
        <f t="shared" si="122"/>
        <v>0</v>
      </c>
      <c r="DE234" s="55"/>
      <c r="DF234" s="65"/>
      <c r="DG234" s="65"/>
      <c r="DH234" s="65"/>
      <c r="DI234" s="68">
        <f>SUM(Tableau1[[#This Row],[Entretien et réparation matériel de projection]:[Autres ou non précisé 14]])</f>
        <v>0</v>
      </c>
      <c r="DJ234" s="58"/>
      <c r="DK234" s="58"/>
      <c r="DL234" s="69"/>
      <c r="DM234" s="68">
        <f t="shared" si="142"/>
        <v>0</v>
      </c>
      <c r="DN234" s="58"/>
      <c r="DO234" s="58"/>
      <c r="DP234" s="68">
        <f t="shared" si="143"/>
        <v>0</v>
      </c>
      <c r="DQ234" s="65"/>
      <c r="DR234" s="65"/>
      <c r="DS234" s="68">
        <f t="shared" si="144"/>
        <v>0</v>
      </c>
      <c r="DT234" s="65"/>
      <c r="DU234" s="65"/>
      <c r="DV234" s="65"/>
      <c r="DW234" s="68">
        <f>SUM(Tableau1[[#This Row],[Comission et courtage sur achats]:[Autres ou honoraires
 non précisé ]])</f>
        <v>0</v>
      </c>
      <c r="DX234" s="57"/>
      <c r="DY234" s="57"/>
      <c r="DZ234" s="65"/>
      <c r="EA234" s="65"/>
      <c r="EB234" s="65"/>
      <c r="EC234" s="68">
        <f t="shared" si="145"/>
        <v>0</v>
      </c>
      <c r="ED234" s="69"/>
      <c r="EE234" s="69"/>
      <c r="EF234" s="69"/>
      <c r="EG234" s="69"/>
      <c r="EH234" s="69"/>
      <c r="EI234" s="84">
        <f>SUM(Tableau1[[#This Row],[Transports sur films]:[autres ]])</f>
        <v>0</v>
      </c>
      <c r="EJ234" s="132">
        <v>0</v>
      </c>
      <c r="EK234" s="132"/>
      <c r="EL234" s="68">
        <f t="shared" si="146"/>
        <v>0</v>
      </c>
      <c r="EM234" s="65"/>
      <c r="EN234" s="65">
        <v>0</v>
      </c>
      <c r="EO234" s="65"/>
      <c r="EP234" s="65"/>
      <c r="EQ234" s="65"/>
      <c r="ER234" s="65"/>
      <c r="ES234" s="65"/>
      <c r="ET234" s="68">
        <f t="shared" si="147"/>
        <v>0</v>
      </c>
      <c r="EU234" s="65"/>
      <c r="EV234" s="65"/>
      <c r="EW234" s="65"/>
      <c r="EX234" s="65"/>
      <c r="EY234" s="65"/>
      <c r="EZ234" s="68">
        <f t="shared" si="124"/>
        <v>0</v>
      </c>
      <c r="FA234" s="65"/>
      <c r="FB234" s="65"/>
      <c r="FC234" s="70">
        <f t="shared" si="123"/>
        <v>0</v>
      </c>
      <c r="FD234" s="65"/>
      <c r="FE234" s="71">
        <f t="shared" si="148"/>
        <v>0</v>
      </c>
      <c r="FF234" s="72">
        <f t="shared" si="149"/>
        <v>0</v>
      </c>
      <c r="FG234" s="65"/>
      <c r="FH234" s="65"/>
      <c r="FI234" s="65"/>
      <c r="FJ234" s="56">
        <f t="shared" si="150"/>
        <v>0</v>
      </c>
      <c r="FK234" s="65"/>
      <c r="FL234" s="65"/>
      <c r="FM234" s="65"/>
      <c r="FN234" s="65"/>
      <c r="FO234" s="67">
        <f t="shared" si="151"/>
        <v>0</v>
      </c>
      <c r="FP234" s="57"/>
      <c r="FQ234" s="73"/>
      <c r="FR234" s="73"/>
      <c r="FS234" s="71">
        <f t="shared" si="152"/>
        <v>0</v>
      </c>
      <c r="FT234" s="91"/>
      <c r="FU234" s="91"/>
      <c r="FV234" s="67">
        <f>SUM(Tableau1[[#This Row],[Droits d''auteurs SACEM + cotisations SACEM]:[Autres ou non préciés]])</f>
        <v>0</v>
      </c>
      <c r="FW234" s="75">
        <f t="shared" si="153"/>
        <v>0</v>
      </c>
      <c r="FX234" s="74">
        <v>0</v>
      </c>
      <c r="FY234" s="74"/>
      <c r="FZ234" s="74"/>
      <c r="GA234" s="74"/>
      <c r="GB234" s="71">
        <f t="shared" si="154"/>
        <v>0</v>
      </c>
      <c r="GC234" s="92"/>
      <c r="GD234" s="92"/>
      <c r="GE234" s="67">
        <f t="shared" si="155"/>
        <v>0</v>
      </c>
      <c r="GF234" s="66"/>
      <c r="GG234" s="66"/>
      <c r="GH234" s="66"/>
      <c r="GI234" s="66"/>
      <c r="GJ234" s="77"/>
    </row>
    <row r="235" spans="1:192" ht="18.600000000000001" customHeight="1" x14ac:dyDescent="0.25">
      <c r="A235" s="89"/>
      <c r="B235" s="17"/>
      <c r="C235" s="50"/>
      <c r="D235" s="140"/>
      <c r="E235" s="51"/>
      <c r="F235" s="139">
        <f t="shared" si="159"/>
        <v>1</v>
      </c>
      <c r="G235" s="49"/>
      <c r="H235" s="50"/>
      <c r="I235" s="122"/>
      <c r="J235" s="49"/>
      <c r="K235" s="50"/>
      <c r="L235" s="50"/>
      <c r="M235" s="90"/>
      <c r="N235" s="50"/>
      <c r="O235" s="50"/>
      <c r="P235" s="90"/>
      <c r="Q235" s="52">
        <f t="shared" si="125"/>
        <v>0</v>
      </c>
      <c r="R235" s="52">
        <f t="shared" si="126"/>
        <v>0</v>
      </c>
      <c r="S235" s="53">
        <f t="shared" si="127"/>
        <v>0</v>
      </c>
      <c r="T235" s="54">
        <f t="shared" si="128"/>
        <v>0</v>
      </c>
      <c r="U235" s="115">
        <f>SUM(Tableau1[[#This Row],[Vente confiserie]:[Vente boisson]])</f>
        <v>0</v>
      </c>
      <c r="V235" s="55"/>
      <c r="W235" s="55"/>
      <c r="X235" s="135">
        <f>SUM(Tableau1[[#This Row],[Vente lunette]:[Location lunette]])</f>
        <v>0</v>
      </c>
      <c r="Y235" s="55"/>
      <c r="Z235" s="55"/>
      <c r="AA235" s="55"/>
      <c r="AB235" s="55"/>
      <c r="AC235" s="56">
        <f t="shared" si="157"/>
        <v>0</v>
      </c>
      <c r="AD235" s="57"/>
      <c r="AE235" s="57"/>
      <c r="AF235" s="57"/>
      <c r="AG235" s="57"/>
      <c r="AH235" s="57"/>
      <c r="AI235" s="57"/>
      <c r="AJ235" s="118">
        <f>(Tableau1[[#This Row],[Recette guichet ]]*1.1275177)-Tableau1[[#This Row],[Recette guichet ]]</f>
        <v>0</v>
      </c>
      <c r="AK235" s="57"/>
      <c r="AL235" s="56">
        <f t="shared" si="158"/>
        <v>0</v>
      </c>
      <c r="AM235" s="58"/>
      <c r="AN235" s="58"/>
      <c r="AO235" s="58"/>
      <c r="AP235" s="115">
        <f t="shared" si="129"/>
        <v>0</v>
      </c>
      <c r="AQ235" s="69"/>
      <c r="AR235" s="69"/>
      <c r="AS235" s="69"/>
      <c r="AT235" s="69"/>
      <c r="AU235" s="59">
        <f t="shared" si="130"/>
        <v>0</v>
      </c>
      <c r="AV235" s="60">
        <f t="shared" si="131"/>
        <v>0</v>
      </c>
      <c r="AW235" s="58"/>
      <c r="AX235" s="58"/>
      <c r="AY235" s="58"/>
      <c r="AZ235" s="60">
        <f t="shared" si="121"/>
        <v>0</v>
      </c>
      <c r="BA235" s="58"/>
      <c r="BB235" s="58"/>
      <c r="BC235" s="58"/>
      <c r="BD235" s="60">
        <f>SUM(Tableau1[[#This Row],[ticket/carte/abonnement périmé]:[Autres ou non précisé 5]])</f>
        <v>0</v>
      </c>
      <c r="BE235" s="58"/>
      <c r="BF235" s="58"/>
      <c r="BG235" s="58"/>
      <c r="BH235" s="61">
        <f t="shared" si="132"/>
        <v>0</v>
      </c>
      <c r="BI235" s="120"/>
      <c r="BJ235" s="120"/>
      <c r="BK235" s="62">
        <f t="shared" si="133"/>
        <v>0</v>
      </c>
      <c r="BL235" s="120"/>
      <c r="BM235" s="120"/>
      <c r="BN235" s="120"/>
      <c r="BO235" s="120"/>
      <c r="BP235" s="120"/>
      <c r="BQ235" s="63"/>
      <c r="BR235" s="52">
        <f t="shared" si="134"/>
        <v>0</v>
      </c>
      <c r="BS235" s="52">
        <f t="shared" si="135"/>
        <v>0</v>
      </c>
      <c r="BT235" s="61">
        <f t="shared" si="136"/>
        <v>0</v>
      </c>
      <c r="BU235" s="64">
        <f t="shared" si="137"/>
        <v>0</v>
      </c>
      <c r="BV235" s="119">
        <f>SUM(Tableau1[[#This Row],[Achats confiserie]:[Achats boisson]])</f>
        <v>0</v>
      </c>
      <c r="BW235" s="58"/>
      <c r="BX235" s="69"/>
      <c r="BY235" s="58"/>
      <c r="BZ235" s="56">
        <f t="shared" si="138"/>
        <v>0</v>
      </c>
      <c r="CA235" s="66"/>
      <c r="CB235" s="66"/>
      <c r="CC235" s="56">
        <f t="shared" si="139"/>
        <v>0</v>
      </c>
      <c r="CD235" s="55"/>
      <c r="CE235" s="65"/>
      <c r="CF235" s="55"/>
      <c r="CG235" s="55"/>
      <c r="CH235" s="67">
        <f t="shared" si="140"/>
        <v>0</v>
      </c>
      <c r="CI235" s="68">
        <f t="shared" si="156"/>
        <v>0</v>
      </c>
      <c r="CJ235" s="55"/>
      <c r="CK235" s="55"/>
      <c r="CL235" s="55"/>
      <c r="CM235" s="55"/>
      <c r="CN235" s="55"/>
      <c r="CO235" s="68">
        <f t="shared" si="141"/>
        <v>0</v>
      </c>
      <c r="CP235" s="75">
        <f>SUM(Tableau1[[#This Row],[Fourniture eau]:[Energie (non précisé)]])</f>
        <v>0</v>
      </c>
      <c r="CQ235" s="55"/>
      <c r="CR235" s="55"/>
      <c r="CS235" s="55"/>
      <c r="CT235" s="55"/>
      <c r="CU235" s="55"/>
      <c r="CV235" s="55">
        <v>0</v>
      </c>
      <c r="CW235" s="55"/>
      <c r="CX235" s="68">
        <f>SUM(Tableau1[[#This Row],[Sous-traitance]:[Autres ou non précisé 12]])</f>
        <v>0</v>
      </c>
      <c r="CY235" s="65"/>
      <c r="CZ235" s="65"/>
      <c r="DA235" s="65"/>
      <c r="DB235" s="65"/>
      <c r="DC235" s="55"/>
      <c r="DD235" s="68">
        <f t="shared" si="122"/>
        <v>0</v>
      </c>
      <c r="DE235" s="55"/>
      <c r="DF235" s="65"/>
      <c r="DG235" s="65"/>
      <c r="DH235" s="65"/>
      <c r="DI235" s="68">
        <f>SUM(Tableau1[[#This Row],[Entretien et réparation matériel de projection]:[Autres ou non précisé 14]])</f>
        <v>0</v>
      </c>
      <c r="DJ235" s="58"/>
      <c r="DK235" s="58"/>
      <c r="DL235" s="69"/>
      <c r="DM235" s="68">
        <f t="shared" si="142"/>
        <v>0</v>
      </c>
      <c r="DN235" s="58"/>
      <c r="DO235" s="58"/>
      <c r="DP235" s="68">
        <f t="shared" si="143"/>
        <v>0</v>
      </c>
      <c r="DQ235" s="65"/>
      <c r="DR235" s="65"/>
      <c r="DS235" s="68">
        <f t="shared" si="144"/>
        <v>0</v>
      </c>
      <c r="DT235" s="65"/>
      <c r="DU235" s="65"/>
      <c r="DV235" s="65"/>
      <c r="DW235" s="68">
        <f>SUM(Tableau1[[#This Row],[Comission et courtage sur achats]:[Autres ou honoraires
 non précisé ]])</f>
        <v>0</v>
      </c>
      <c r="DX235" s="57"/>
      <c r="DY235" s="57"/>
      <c r="DZ235" s="65"/>
      <c r="EA235" s="65"/>
      <c r="EB235" s="65"/>
      <c r="EC235" s="68">
        <f t="shared" si="145"/>
        <v>0</v>
      </c>
      <c r="ED235" s="69"/>
      <c r="EE235" s="69"/>
      <c r="EF235" s="69"/>
      <c r="EG235" s="69"/>
      <c r="EH235" s="69"/>
      <c r="EI235" s="84">
        <f>SUM(Tableau1[[#This Row],[Transports sur films]:[autres ]])</f>
        <v>0</v>
      </c>
      <c r="EJ235" s="132">
        <v>0</v>
      </c>
      <c r="EK235" s="132"/>
      <c r="EL235" s="68">
        <f t="shared" si="146"/>
        <v>0</v>
      </c>
      <c r="EM235" s="65"/>
      <c r="EN235" s="65">
        <v>0</v>
      </c>
      <c r="EO235" s="65"/>
      <c r="EP235" s="65"/>
      <c r="EQ235" s="65"/>
      <c r="ER235" s="65"/>
      <c r="ES235" s="65"/>
      <c r="ET235" s="68">
        <f t="shared" si="147"/>
        <v>0</v>
      </c>
      <c r="EU235" s="65"/>
      <c r="EV235" s="65"/>
      <c r="EW235" s="65"/>
      <c r="EX235" s="65"/>
      <c r="EY235" s="65"/>
      <c r="EZ235" s="68">
        <f t="shared" si="124"/>
        <v>0</v>
      </c>
      <c r="FA235" s="65"/>
      <c r="FB235" s="65"/>
      <c r="FC235" s="70">
        <f t="shared" si="123"/>
        <v>0</v>
      </c>
      <c r="FD235" s="65"/>
      <c r="FE235" s="71">
        <f t="shared" si="148"/>
        <v>0</v>
      </c>
      <c r="FF235" s="72">
        <f t="shared" si="149"/>
        <v>0</v>
      </c>
      <c r="FG235" s="65"/>
      <c r="FH235" s="65"/>
      <c r="FI235" s="65"/>
      <c r="FJ235" s="56">
        <f t="shared" si="150"/>
        <v>0</v>
      </c>
      <c r="FK235" s="65"/>
      <c r="FL235" s="65"/>
      <c r="FM235" s="65"/>
      <c r="FN235" s="65"/>
      <c r="FO235" s="67">
        <f t="shared" si="151"/>
        <v>0</v>
      </c>
      <c r="FP235" s="57"/>
      <c r="FQ235" s="73"/>
      <c r="FR235" s="73"/>
      <c r="FS235" s="71">
        <f t="shared" si="152"/>
        <v>0</v>
      </c>
      <c r="FT235" s="91"/>
      <c r="FU235" s="91"/>
      <c r="FV235" s="67">
        <f>SUM(Tableau1[[#This Row],[Droits d''auteurs SACEM + cotisations SACEM]:[Autres ou non préciés]])</f>
        <v>0</v>
      </c>
      <c r="FW235" s="75">
        <f t="shared" si="153"/>
        <v>0</v>
      </c>
      <c r="FX235" s="74">
        <v>0</v>
      </c>
      <c r="FY235" s="74"/>
      <c r="FZ235" s="74"/>
      <c r="GA235" s="74"/>
      <c r="GB235" s="71">
        <f t="shared" si="154"/>
        <v>0</v>
      </c>
      <c r="GC235" s="92"/>
      <c r="GD235" s="92"/>
      <c r="GE235" s="67">
        <f t="shared" si="155"/>
        <v>0</v>
      </c>
      <c r="GF235" s="66"/>
      <c r="GG235" s="66"/>
      <c r="GH235" s="66"/>
      <c r="GI235" s="66"/>
      <c r="GJ235" s="77"/>
    </row>
    <row r="236" spans="1:192" ht="18.600000000000001" customHeight="1" x14ac:dyDescent="0.25">
      <c r="A236" s="89"/>
      <c r="B236" s="17"/>
      <c r="C236" s="50"/>
      <c r="D236" s="140"/>
      <c r="E236" s="51"/>
      <c r="F236" s="139">
        <f t="shared" si="159"/>
        <v>1</v>
      </c>
      <c r="G236" s="49"/>
      <c r="H236" s="50"/>
      <c r="I236" s="122"/>
      <c r="J236" s="49"/>
      <c r="K236" s="50"/>
      <c r="L236" s="50"/>
      <c r="M236" s="90"/>
      <c r="N236" s="50"/>
      <c r="O236" s="50"/>
      <c r="P236" s="90"/>
      <c r="Q236" s="52">
        <f t="shared" si="125"/>
        <v>0</v>
      </c>
      <c r="R236" s="52">
        <f t="shared" si="126"/>
        <v>0</v>
      </c>
      <c r="S236" s="53">
        <f t="shared" si="127"/>
        <v>0</v>
      </c>
      <c r="T236" s="54">
        <f t="shared" si="128"/>
        <v>0</v>
      </c>
      <c r="U236" s="115">
        <f>SUM(Tableau1[[#This Row],[Vente confiserie]:[Vente boisson]])</f>
        <v>0</v>
      </c>
      <c r="V236" s="55"/>
      <c r="W236" s="55"/>
      <c r="X236" s="135">
        <f>SUM(Tableau1[[#This Row],[Vente lunette]:[Location lunette]])</f>
        <v>0</v>
      </c>
      <c r="Y236" s="55"/>
      <c r="Z236" s="55"/>
      <c r="AA236" s="55"/>
      <c r="AB236" s="55"/>
      <c r="AC236" s="56">
        <f t="shared" si="157"/>
        <v>0</v>
      </c>
      <c r="AD236" s="57"/>
      <c r="AE236" s="57"/>
      <c r="AF236" s="57"/>
      <c r="AG236" s="57"/>
      <c r="AH236" s="57"/>
      <c r="AI236" s="57"/>
      <c r="AJ236" s="118">
        <f>(Tableau1[[#This Row],[Recette guichet ]]*1.1275177)-Tableau1[[#This Row],[Recette guichet ]]</f>
        <v>0</v>
      </c>
      <c r="AK236" s="57"/>
      <c r="AL236" s="56">
        <f t="shared" si="158"/>
        <v>0</v>
      </c>
      <c r="AM236" s="58"/>
      <c r="AN236" s="58"/>
      <c r="AO236" s="58"/>
      <c r="AP236" s="115">
        <f t="shared" si="129"/>
        <v>0</v>
      </c>
      <c r="AQ236" s="69"/>
      <c r="AR236" s="69"/>
      <c r="AS236" s="69"/>
      <c r="AT236" s="69"/>
      <c r="AU236" s="59">
        <f t="shared" si="130"/>
        <v>0</v>
      </c>
      <c r="AV236" s="60">
        <f t="shared" si="131"/>
        <v>0</v>
      </c>
      <c r="AW236" s="58"/>
      <c r="AX236" s="58"/>
      <c r="AY236" s="58"/>
      <c r="AZ236" s="60">
        <f t="shared" si="121"/>
        <v>0</v>
      </c>
      <c r="BA236" s="58"/>
      <c r="BB236" s="58"/>
      <c r="BC236" s="58"/>
      <c r="BD236" s="60">
        <f>SUM(Tableau1[[#This Row],[ticket/carte/abonnement périmé]:[Autres ou non précisé 5]])</f>
        <v>0</v>
      </c>
      <c r="BE236" s="58"/>
      <c r="BF236" s="58"/>
      <c r="BG236" s="58"/>
      <c r="BH236" s="61">
        <f t="shared" si="132"/>
        <v>0</v>
      </c>
      <c r="BI236" s="120"/>
      <c r="BJ236" s="120"/>
      <c r="BK236" s="62">
        <f t="shared" si="133"/>
        <v>0</v>
      </c>
      <c r="BL236" s="120"/>
      <c r="BM236" s="120"/>
      <c r="BN236" s="120"/>
      <c r="BO236" s="120"/>
      <c r="BP236" s="120"/>
      <c r="BQ236" s="63"/>
      <c r="BR236" s="52">
        <f t="shared" si="134"/>
        <v>0</v>
      </c>
      <c r="BS236" s="52">
        <f t="shared" si="135"/>
        <v>0</v>
      </c>
      <c r="BT236" s="61">
        <f t="shared" si="136"/>
        <v>0</v>
      </c>
      <c r="BU236" s="64">
        <f t="shared" si="137"/>
        <v>0</v>
      </c>
      <c r="BV236" s="119">
        <f>SUM(Tableau1[[#This Row],[Achats confiserie]:[Achats boisson]])</f>
        <v>0</v>
      </c>
      <c r="BW236" s="58"/>
      <c r="BX236" s="69"/>
      <c r="BY236" s="58"/>
      <c r="BZ236" s="56">
        <f t="shared" si="138"/>
        <v>0</v>
      </c>
      <c r="CA236" s="66"/>
      <c r="CB236" s="66"/>
      <c r="CC236" s="56">
        <f t="shared" si="139"/>
        <v>0</v>
      </c>
      <c r="CD236" s="55"/>
      <c r="CE236" s="65"/>
      <c r="CF236" s="55"/>
      <c r="CG236" s="55"/>
      <c r="CH236" s="67">
        <f t="shared" si="140"/>
        <v>0</v>
      </c>
      <c r="CI236" s="68">
        <f t="shared" si="156"/>
        <v>0</v>
      </c>
      <c r="CJ236" s="55"/>
      <c r="CK236" s="55"/>
      <c r="CL236" s="55"/>
      <c r="CM236" s="55"/>
      <c r="CN236" s="55"/>
      <c r="CO236" s="68">
        <f t="shared" si="141"/>
        <v>0</v>
      </c>
      <c r="CP236" s="75">
        <f>SUM(Tableau1[[#This Row],[Fourniture eau]:[Energie (non précisé)]])</f>
        <v>0</v>
      </c>
      <c r="CQ236" s="55"/>
      <c r="CR236" s="55"/>
      <c r="CS236" s="55"/>
      <c r="CT236" s="55"/>
      <c r="CU236" s="55"/>
      <c r="CV236" s="55">
        <v>0</v>
      </c>
      <c r="CW236" s="55"/>
      <c r="CX236" s="68">
        <f>SUM(Tableau1[[#This Row],[Sous-traitance]:[Autres ou non précisé 12]])</f>
        <v>0</v>
      </c>
      <c r="CY236" s="65"/>
      <c r="CZ236" s="65"/>
      <c r="DA236" s="65"/>
      <c r="DB236" s="65"/>
      <c r="DC236" s="55"/>
      <c r="DD236" s="68">
        <f t="shared" si="122"/>
        <v>0</v>
      </c>
      <c r="DE236" s="55"/>
      <c r="DF236" s="65"/>
      <c r="DG236" s="65"/>
      <c r="DH236" s="65"/>
      <c r="DI236" s="68">
        <f>SUM(Tableau1[[#This Row],[Entretien et réparation matériel de projection]:[Autres ou non précisé 14]])</f>
        <v>0</v>
      </c>
      <c r="DJ236" s="58"/>
      <c r="DK236" s="58"/>
      <c r="DL236" s="69"/>
      <c r="DM236" s="68">
        <f t="shared" si="142"/>
        <v>0</v>
      </c>
      <c r="DN236" s="58"/>
      <c r="DO236" s="58"/>
      <c r="DP236" s="68">
        <f t="shared" si="143"/>
        <v>0</v>
      </c>
      <c r="DQ236" s="65"/>
      <c r="DR236" s="65"/>
      <c r="DS236" s="68">
        <f t="shared" si="144"/>
        <v>0</v>
      </c>
      <c r="DT236" s="65"/>
      <c r="DU236" s="65"/>
      <c r="DV236" s="65"/>
      <c r="DW236" s="68">
        <f>SUM(Tableau1[[#This Row],[Comission et courtage sur achats]:[Autres ou honoraires
 non précisé ]])</f>
        <v>0</v>
      </c>
      <c r="DX236" s="57"/>
      <c r="DY236" s="57"/>
      <c r="DZ236" s="65"/>
      <c r="EA236" s="65"/>
      <c r="EB236" s="65"/>
      <c r="EC236" s="68">
        <f t="shared" si="145"/>
        <v>0</v>
      </c>
      <c r="ED236" s="69"/>
      <c r="EE236" s="69"/>
      <c r="EF236" s="69"/>
      <c r="EG236" s="69"/>
      <c r="EH236" s="69"/>
      <c r="EI236" s="84">
        <f>SUM(Tableau1[[#This Row],[Transports sur films]:[autres ]])</f>
        <v>0</v>
      </c>
      <c r="EJ236" s="132">
        <v>0</v>
      </c>
      <c r="EK236" s="132"/>
      <c r="EL236" s="68">
        <f t="shared" si="146"/>
        <v>0</v>
      </c>
      <c r="EM236" s="65"/>
      <c r="EN236" s="65">
        <v>0</v>
      </c>
      <c r="EO236" s="65"/>
      <c r="EP236" s="65"/>
      <c r="EQ236" s="65"/>
      <c r="ER236" s="65"/>
      <c r="ES236" s="65"/>
      <c r="ET236" s="68">
        <f t="shared" si="147"/>
        <v>0</v>
      </c>
      <c r="EU236" s="65"/>
      <c r="EV236" s="65"/>
      <c r="EW236" s="65"/>
      <c r="EX236" s="65"/>
      <c r="EY236" s="65"/>
      <c r="EZ236" s="68">
        <f t="shared" si="124"/>
        <v>0</v>
      </c>
      <c r="FA236" s="65"/>
      <c r="FB236" s="65"/>
      <c r="FC236" s="70">
        <f t="shared" si="123"/>
        <v>0</v>
      </c>
      <c r="FD236" s="65"/>
      <c r="FE236" s="71">
        <f t="shared" si="148"/>
        <v>0</v>
      </c>
      <c r="FF236" s="72">
        <f t="shared" si="149"/>
        <v>0</v>
      </c>
      <c r="FG236" s="65"/>
      <c r="FH236" s="65"/>
      <c r="FI236" s="65"/>
      <c r="FJ236" s="56">
        <f t="shared" si="150"/>
        <v>0</v>
      </c>
      <c r="FK236" s="65"/>
      <c r="FL236" s="65"/>
      <c r="FM236" s="65"/>
      <c r="FN236" s="65"/>
      <c r="FO236" s="67">
        <f t="shared" si="151"/>
        <v>0</v>
      </c>
      <c r="FP236" s="57"/>
      <c r="FQ236" s="73"/>
      <c r="FR236" s="73"/>
      <c r="FS236" s="71">
        <f t="shared" si="152"/>
        <v>0</v>
      </c>
      <c r="FT236" s="91"/>
      <c r="FU236" s="91"/>
      <c r="FV236" s="67">
        <f>SUM(Tableau1[[#This Row],[Droits d''auteurs SACEM + cotisations SACEM]:[Autres ou non préciés]])</f>
        <v>0</v>
      </c>
      <c r="FW236" s="75">
        <f t="shared" si="153"/>
        <v>0</v>
      </c>
      <c r="FX236" s="74">
        <v>0</v>
      </c>
      <c r="FY236" s="74"/>
      <c r="FZ236" s="74"/>
      <c r="GA236" s="74"/>
      <c r="GB236" s="71">
        <f t="shared" si="154"/>
        <v>0</v>
      </c>
      <c r="GC236" s="92"/>
      <c r="GD236" s="92"/>
      <c r="GE236" s="67">
        <f t="shared" si="155"/>
        <v>0</v>
      </c>
      <c r="GF236" s="66"/>
      <c r="GG236" s="66"/>
      <c r="GH236" s="66"/>
      <c r="GI236" s="66"/>
      <c r="GJ236" s="77"/>
    </row>
    <row r="237" spans="1:192" ht="18.600000000000001" customHeight="1" x14ac:dyDescent="0.25">
      <c r="A237" s="89"/>
      <c r="B237" s="17"/>
      <c r="C237" s="50"/>
      <c r="D237" s="140"/>
      <c r="E237" s="51"/>
      <c r="F237" s="139">
        <f t="shared" si="159"/>
        <v>1</v>
      </c>
      <c r="G237" s="49"/>
      <c r="H237" s="50"/>
      <c r="I237" s="122"/>
      <c r="J237" s="49"/>
      <c r="K237" s="50"/>
      <c r="L237" s="50"/>
      <c r="M237" s="90"/>
      <c r="N237" s="50"/>
      <c r="O237" s="50"/>
      <c r="P237" s="90"/>
      <c r="Q237" s="52">
        <f t="shared" si="125"/>
        <v>0</v>
      </c>
      <c r="R237" s="52">
        <f t="shared" si="126"/>
        <v>0</v>
      </c>
      <c r="S237" s="53">
        <f t="shared" si="127"/>
        <v>0</v>
      </c>
      <c r="T237" s="54">
        <f t="shared" si="128"/>
        <v>0</v>
      </c>
      <c r="U237" s="115">
        <f>SUM(Tableau1[[#This Row],[Vente confiserie]:[Vente boisson]])</f>
        <v>0</v>
      </c>
      <c r="V237" s="55"/>
      <c r="W237" s="55"/>
      <c r="X237" s="135">
        <f>SUM(Tableau1[[#This Row],[Vente lunette]:[Location lunette]])</f>
        <v>0</v>
      </c>
      <c r="Y237" s="55"/>
      <c r="Z237" s="55"/>
      <c r="AA237" s="55"/>
      <c r="AB237" s="55"/>
      <c r="AC237" s="56">
        <f t="shared" si="157"/>
        <v>0</v>
      </c>
      <c r="AD237" s="57"/>
      <c r="AE237" s="57"/>
      <c r="AF237" s="57"/>
      <c r="AG237" s="57"/>
      <c r="AH237" s="57"/>
      <c r="AI237" s="57"/>
      <c r="AJ237" s="118">
        <f>(Tableau1[[#This Row],[Recette guichet ]]*1.1275177)-Tableau1[[#This Row],[Recette guichet ]]</f>
        <v>0</v>
      </c>
      <c r="AK237" s="57"/>
      <c r="AL237" s="56">
        <f t="shared" si="158"/>
        <v>0</v>
      </c>
      <c r="AM237" s="58"/>
      <c r="AN237" s="58"/>
      <c r="AO237" s="58"/>
      <c r="AP237" s="115">
        <f t="shared" si="129"/>
        <v>0</v>
      </c>
      <c r="AQ237" s="69"/>
      <c r="AR237" s="69"/>
      <c r="AS237" s="69"/>
      <c r="AT237" s="69"/>
      <c r="AU237" s="59">
        <f t="shared" si="130"/>
        <v>0</v>
      </c>
      <c r="AV237" s="60">
        <f t="shared" si="131"/>
        <v>0</v>
      </c>
      <c r="AW237" s="58"/>
      <c r="AX237" s="58"/>
      <c r="AY237" s="58"/>
      <c r="AZ237" s="60">
        <f t="shared" si="121"/>
        <v>0</v>
      </c>
      <c r="BA237" s="58"/>
      <c r="BB237" s="58"/>
      <c r="BC237" s="58"/>
      <c r="BD237" s="60">
        <f>SUM(Tableau1[[#This Row],[ticket/carte/abonnement périmé]:[Autres ou non précisé 5]])</f>
        <v>0</v>
      </c>
      <c r="BE237" s="58"/>
      <c r="BF237" s="58"/>
      <c r="BG237" s="58"/>
      <c r="BH237" s="61">
        <f t="shared" si="132"/>
        <v>0</v>
      </c>
      <c r="BI237" s="120"/>
      <c r="BJ237" s="120"/>
      <c r="BK237" s="62">
        <f t="shared" si="133"/>
        <v>0</v>
      </c>
      <c r="BL237" s="120"/>
      <c r="BM237" s="120"/>
      <c r="BN237" s="120"/>
      <c r="BO237" s="120"/>
      <c r="BP237" s="120"/>
      <c r="BQ237" s="63"/>
      <c r="BR237" s="52">
        <f t="shared" si="134"/>
        <v>0</v>
      </c>
      <c r="BS237" s="52">
        <f t="shared" si="135"/>
        <v>0</v>
      </c>
      <c r="BT237" s="61">
        <f t="shared" si="136"/>
        <v>0</v>
      </c>
      <c r="BU237" s="64">
        <f t="shared" si="137"/>
        <v>0</v>
      </c>
      <c r="BV237" s="119">
        <f>SUM(Tableau1[[#This Row],[Achats confiserie]:[Achats boisson]])</f>
        <v>0</v>
      </c>
      <c r="BW237" s="58"/>
      <c r="BX237" s="69"/>
      <c r="BY237" s="58"/>
      <c r="BZ237" s="56">
        <f t="shared" si="138"/>
        <v>0</v>
      </c>
      <c r="CA237" s="66"/>
      <c r="CB237" s="66"/>
      <c r="CC237" s="56">
        <f t="shared" si="139"/>
        <v>0</v>
      </c>
      <c r="CD237" s="55"/>
      <c r="CE237" s="65"/>
      <c r="CF237" s="55"/>
      <c r="CG237" s="55"/>
      <c r="CH237" s="67">
        <f t="shared" si="140"/>
        <v>0</v>
      </c>
      <c r="CI237" s="68">
        <f t="shared" si="156"/>
        <v>0</v>
      </c>
      <c r="CJ237" s="55"/>
      <c r="CK237" s="55"/>
      <c r="CL237" s="55"/>
      <c r="CM237" s="55"/>
      <c r="CN237" s="55"/>
      <c r="CO237" s="68">
        <f t="shared" si="141"/>
        <v>0</v>
      </c>
      <c r="CP237" s="75">
        <f>SUM(Tableau1[[#This Row],[Fourniture eau]:[Energie (non précisé)]])</f>
        <v>0</v>
      </c>
      <c r="CQ237" s="55"/>
      <c r="CR237" s="55"/>
      <c r="CS237" s="55"/>
      <c r="CT237" s="55"/>
      <c r="CU237" s="55"/>
      <c r="CV237" s="55">
        <v>0</v>
      </c>
      <c r="CW237" s="55"/>
      <c r="CX237" s="68">
        <f>SUM(Tableau1[[#This Row],[Sous-traitance]:[Autres ou non précisé 12]])</f>
        <v>0</v>
      </c>
      <c r="CY237" s="65"/>
      <c r="CZ237" s="65"/>
      <c r="DA237" s="65"/>
      <c r="DB237" s="65"/>
      <c r="DC237" s="55"/>
      <c r="DD237" s="68">
        <f t="shared" si="122"/>
        <v>0</v>
      </c>
      <c r="DE237" s="55"/>
      <c r="DF237" s="65"/>
      <c r="DG237" s="65"/>
      <c r="DH237" s="65"/>
      <c r="DI237" s="68">
        <f>SUM(Tableau1[[#This Row],[Entretien et réparation matériel de projection]:[Autres ou non précisé 14]])</f>
        <v>0</v>
      </c>
      <c r="DJ237" s="58"/>
      <c r="DK237" s="58"/>
      <c r="DL237" s="69"/>
      <c r="DM237" s="68">
        <f t="shared" si="142"/>
        <v>0</v>
      </c>
      <c r="DN237" s="58"/>
      <c r="DO237" s="58"/>
      <c r="DP237" s="68">
        <f t="shared" si="143"/>
        <v>0</v>
      </c>
      <c r="DQ237" s="65"/>
      <c r="DR237" s="65"/>
      <c r="DS237" s="68">
        <f t="shared" si="144"/>
        <v>0</v>
      </c>
      <c r="DT237" s="65"/>
      <c r="DU237" s="65"/>
      <c r="DV237" s="65"/>
      <c r="DW237" s="68">
        <f>SUM(Tableau1[[#This Row],[Comission et courtage sur achats]:[Autres ou honoraires
 non précisé ]])</f>
        <v>0</v>
      </c>
      <c r="DX237" s="57"/>
      <c r="DY237" s="57"/>
      <c r="DZ237" s="65"/>
      <c r="EA237" s="65"/>
      <c r="EB237" s="65"/>
      <c r="EC237" s="68">
        <f t="shared" si="145"/>
        <v>0</v>
      </c>
      <c r="ED237" s="69"/>
      <c r="EE237" s="69"/>
      <c r="EF237" s="69"/>
      <c r="EG237" s="69"/>
      <c r="EH237" s="69"/>
      <c r="EI237" s="84">
        <f>SUM(Tableau1[[#This Row],[Transports sur films]:[autres ]])</f>
        <v>0</v>
      </c>
      <c r="EJ237" s="132">
        <v>0</v>
      </c>
      <c r="EK237" s="132"/>
      <c r="EL237" s="68">
        <f t="shared" si="146"/>
        <v>0</v>
      </c>
      <c r="EM237" s="65"/>
      <c r="EN237" s="65">
        <v>0</v>
      </c>
      <c r="EO237" s="65"/>
      <c r="EP237" s="65"/>
      <c r="EQ237" s="65"/>
      <c r="ER237" s="65"/>
      <c r="ES237" s="65"/>
      <c r="ET237" s="68">
        <f t="shared" si="147"/>
        <v>0</v>
      </c>
      <c r="EU237" s="65"/>
      <c r="EV237" s="65"/>
      <c r="EW237" s="65"/>
      <c r="EX237" s="65"/>
      <c r="EY237" s="65"/>
      <c r="EZ237" s="68">
        <f t="shared" si="124"/>
        <v>0</v>
      </c>
      <c r="FA237" s="65"/>
      <c r="FB237" s="65"/>
      <c r="FC237" s="70">
        <f t="shared" si="123"/>
        <v>0</v>
      </c>
      <c r="FD237" s="65"/>
      <c r="FE237" s="71">
        <f t="shared" si="148"/>
        <v>0</v>
      </c>
      <c r="FF237" s="72">
        <f t="shared" si="149"/>
        <v>0</v>
      </c>
      <c r="FG237" s="65"/>
      <c r="FH237" s="65"/>
      <c r="FI237" s="65"/>
      <c r="FJ237" s="56">
        <f t="shared" si="150"/>
        <v>0</v>
      </c>
      <c r="FK237" s="65"/>
      <c r="FL237" s="65"/>
      <c r="FM237" s="65"/>
      <c r="FN237" s="65"/>
      <c r="FO237" s="67">
        <f t="shared" si="151"/>
        <v>0</v>
      </c>
      <c r="FP237" s="57"/>
      <c r="FQ237" s="73"/>
      <c r="FR237" s="73"/>
      <c r="FS237" s="71">
        <f t="shared" si="152"/>
        <v>0</v>
      </c>
      <c r="FT237" s="91"/>
      <c r="FU237" s="91"/>
      <c r="FV237" s="67">
        <f>SUM(Tableau1[[#This Row],[Droits d''auteurs SACEM + cotisations SACEM]:[Autres ou non préciés]])</f>
        <v>0</v>
      </c>
      <c r="FW237" s="75">
        <f t="shared" si="153"/>
        <v>0</v>
      </c>
      <c r="FX237" s="74">
        <v>0</v>
      </c>
      <c r="FY237" s="74"/>
      <c r="FZ237" s="74"/>
      <c r="GA237" s="74"/>
      <c r="GB237" s="71">
        <f t="shared" si="154"/>
        <v>0</v>
      </c>
      <c r="GC237" s="92"/>
      <c r="GD237" s="92"/>
      <c r="GE237" s="67">
        <f t="shared" si="155"/>
        <v>0</v>
      </c>
      <c r="GF237" s="66"/>
      <c r="GG237" s="66"/>
      <c r="GH237" s="66"/>
      <c r="GI237" s="66"/>
      <c r="GJ237" s="77"/>
    </row>
    <row r="238" spans="1:192" ht="18.600000000000001" customHeight="1" x14ac:dyDescent="0.25">
      <c r="A238" s="89"/>
      <c r="B238" s="17"/>
      <c r="C238" s="50"/>
      <c r="D238" s="140"/>
      <c r="E238" s="51"/>
      <c r="F238" s="139">
        <f t="shared" si="159"/>
        <v>1</v>
      </c>
      <c r="G238" s="49"/>
      <c r="H238" s="50"/>
      <c r="I238" s="122"/>
      <c r="J238" s="49"/>
      <c r="K238" s="50"/>
      <c r="L238" s="50"/>
      <c r="M238" s="90"/>
      <c r="N238" s="50"/>
      <c r="O238" s="50"/>
      <c r="P238" s="90"/>
      <c r="Q238" s="52">
        <f t="shared" si="125"/>
        <v>0</v>
      </c>
      <c r="R238" s="52">
        <f t="shared" si="126"/>
        <v>0</v>
      </c>
      <c r="S238" s="53">
        <f t="shared" si="127"/>
        <v>0</v>
      </c>
      <c r="T238" s="54">
        <f t="shared" si="128"/>
        <v>0</v>
      </c>
      <c r="U238" s="115">
        <f>SUM(Tableau1[[#This Row],[Vente confiserie]:[Vente boisson]])</f>
        <v>0</v>
      </c>
      <c r="V238" s="55"/>
      <c r="W238" s="55"/>
      <c r="X238" s="135">
        <f>SUM(Tableau1[[#This Row],[Vente lunette]:[Location lunette]])</f>
        <v>0</v>
      </c>
      <c r="Y238" s="55"/>
      <c r="Z238" s="55"/>
      <c r="AA238" s="55"/>
      <c r="AB238" s="55"/>
      <c r="AC238" s="56">
        <f t="shared" si="157"/>
        <v>0</v>
      </c>
      <c r="AD238" s="57"/>
      <c r="AE238" s="57"/>
      <c r="AF238" s="57"/>
      <c r="AG238" s="57"/>
      <c r="AH238" s="57"/>
      <c r="AI238" s="57"/>
      <c r="AJ238" s="118">
        <f>(Tableau1[[#This Row],[Recette guichet ]]*1.1275177)-Tableau1[[#This Row],[Recette guichet ]]</f>
        <v>0</v>
      </c>
      <c r="AK238" s="57"/>
      <c r="AL238" s="56">
        <f t="shared" si="158"/>
        <v>0</v>
      </c>
      <c r="AM238" s="58"/>
      <c r="AN238" s="58"/>
      <c r="AO238" s="58"/>
      <c r="AP238" s="115">
        <f t="shared" si="129"/>
        <v>0</v>
      </c>
      <c r="AQ238" s="69"/>
      <c r="AR238" s="69"/>
      <c r="AS238" s="69"/>
      <c r="AT238" s="69"/>
      <c r="AU238" s="59">
        <f t="shared" si="130"/>
        <v>0</v>
      </c>
      <c r="AV238" s="60">
        <f t="shared" si="131"/>
        <v>0</v>
      </c>
      <c r="AW238" s="58"/>
      <c r="AX238" s="58"/>
      <c r="AY238" s="58"/>
      <c r="AZ238" s="60">
        <f t="shared" si="121"/>
        <v>0</v>
      </c>
      <c r="BA238" s="58"/>
      <c r="BB238" s="58"/>
      <c r="BC238" s="58"/>
      <c r="BD238" s="60">
        <f>SUM(Tableau1[[#This Row],[ticket/carte/abonnement périmé]:[Autres ou non précisé 5]])</f>
        <v>0</v>
      </c>
      <c r="BE238" s="58"/>
      <c r="BF238" s="58"/>
      <c r="BG238" s="58"/>
      <c r="BH238" s="61">
        <f t="shared" si="132"/>
        <v>0</v>
      </c>
      <c r="BI238" s="120"/>
      <c r="BJ238" s="120"/>
      <c r="BK238" s="62">
        <f t="shared" si="133"/>
        <v>0</v>
      </c>
      <c r="BL238" s="120"/>
      <c r="BM238" s="120"/>
      <c r="BN238" s="120"/>
      <c r="BO238" s="120"/>
      <c r="BP238" s="120"/>
      <c r="BQ238" s="63"/>
      <c r="BR238" s="52">
        <f t="shared" si="134"/>
        <v>0</v>
      </c>
      <c r="BS238" s="52">
        <f t="shared" si="135"/>
        <v>0</v>
      </c>
      <c r="BT238" s="61">
        <f t="shared" si="136"/>
        <v>0</v>
      </c>
      <c r="BU238" s="64">
        <f t="shared" si="137"/>
        <v>0</v>
      </c>
      <c r="BV238" s="119">
        <f>SUM(Tableau1[[#This Row],[Achats confiserie]:[Achats boisson]])</f>
        <v>0</v>
      </c>
      <c r="BW238" s="58"/>
      <c r="BX238" s="69"/>
      <c r="BY238" s="58"/>
      <c r="BZ238" s="56">
        <f t="shared" si="138"/>
        <v>0</v>
      </c>
      <c r="CA238" s="66"/>
      <c r="CB238" s="66"/>
      <c r="CC238" s="56">
        <f t="shared" si="139"/>
        <v>0</v>
      </c>
      <c r="CD238" s="55"/>
      <c r="CE238" s="65"/>
      <c r="CF238" s="55"/>
      <c r="CG238" s="55"/>
      <c r="CH238" s="67">
        <f t="shared" si="140"/>
        <v>0</v>
      </c>
      <c r="CI238" s="68">
        <f t="shared" si="156"/>
        <v>0</v>
      </c>
      <c r="CJ238" s="55"/>
      <c r="CK238" s="55"/>
      <c r="CL238" s="55"/>
      <c r="CM238" s="55"/>
      <c r="CN238" s="55"/>
      <c r="CO238" s="68">
        <f t="shared" si="141"/>
        <v>0</v>
      </c>
      <c r="CP238" s="75">
        <f>SUM(Tableau1[[#This Row],[Fourniture eau]:[Energie (non précisé)]])</f>
        <v>0</v>
      </c>
      <c r="CQ238" s="55"/>
      <c r="CR238" s="55"/>
      <c r="CS238" s="55"/>
      <c r="CT238" s="55"/>
      <c r="CU238" s="55"/>
      <c r="CV238" s="55">
        <v>0</v>
      </c>
      <c r="CW238" s="55"/>
      <c r="CX238" s="68">
        <f>SUM(Tableau1[[#This Row],[Sous-traitance]:[Autres ou non précisé 12]])</f>
        <v>0</v>
      </c>
      <c r="CY238" s="65"/>
      <c r="CZ238" s="65"/>
      <c r="DA238" s="65"/>
      <c r="DB238" s="65"/>
      <c r="DC238" s="55"/>
      <c r="DD238" s="68">
        <f t="shared" si="122"/>
        <v>0</v>
      </c>
      <c r="DE238" s="55"/>
      <c r="DF238" s="65"/>
      <c r="DG238" s="65"/>
      <c r="DH238" s="65"/>
      <c r="DI238" s="68">
        <f>SUM(Tableau1[[#This Row],[Entretien et réparation matériel de projection]:[Autres ou non précisé 14]])</f>
        <v>0</v>
      </c>
      <c r="DJ238" s="58"/>
      <c r="DK238" s="58"/>
      <c r="DL238" s="69"/>
      <c r="DM238" s="68">
        <f t="shared" si="142"/>
        <v>0</v>
      </c>
      <c r="DN238" s="58"/>
      <c r="DO238" s="58"/>
      <c r="DP238" s="68">
        <f t="shared" si="143"/>
        <v>0</v>
      </c>
      <c r="DQ238" s="65"/>
      <c r="DR238" s="65"/>
      <c r="DS238" s="68">
        <f t="shared" si="144"/>
        <v>0</v>
      </c>
      <c r="DT238" s="65"/>
      <c r="DU238" s="65"/>
      <c r="DV238" s="65"/>
      <c r="DW238" s="68">
        <f>SUM(Tableau1[[#This Row],[Comission et courtage sur achats]:[Autres ou honoraires
 non précisé ]])</f>
        <v>0</v>
      </c>
      <c r="DX238" s="57"/>
      <c r="DY238" s="57"/>
      <c r="DZ238" s="65"/>
      <c r="EA238" s="65"/>
      <c r="EB238" s="65"/>
      <c r="EC238" s="68">
        <f t="shared" si="145"/>
        <v>0</v>
      </c>
      <c r="ED238" s="69"/>
      <c r="EE238" s="69"/>
      <c r="EF238" s="69"/>
      <c r="EG238" s="69"/>
      <c r="EH238" s="69"/>
      <c r="EI238" s="84">
        <f>SUM(Tableau1[[#This Row],[Transports sur films]:[autres ]])</f>
        <v>0</v>
      </c>
      <c r="EJ238" s="132">
        <v>0</v>
      </c>
      <c r="EK238" s="132"/>
      <c r="EL238" s="68">
        <f t="shared" si="146"/>
        <v>0</v>
      </c>
      <c r="EM238" s="65"/>
      <c r="EN238" s="65">
        <v>0</v>
      </c>
      <c r="EO238" s="65"/>
      <c r="EP238" s="65"/>
      <c r="EQ238" s="65"/>
      <c r="ER238" s="65"/>
      <c r="ES238" s="65"/>
      <c r="ET238" s="68">
        <f t="shared" si="147"/>
        <v>0</v>
      </c>
      <c r="EU238" s="65"/>
      <c r="EV238" s="65"/>
      <c r="EW238" s="65"/>
      <c r="EX238" s="65"/>
      <c r="EY238" s="65"/>
      <c r="EZ238" s="68">
        <f t="shared" si="124"/>
        <v>0</v>
      </c>
      <c r="FA238" s="65"/>
      <c r="FB238" s="65"/>
      <c r="FC238" s="70">
        <f t="shared" si="123"/>
        <v>0</v>
      </c>
      <c r="FD238" s="65"/>
      <c r="FE238" s="71">
        <f t="shared" si="148"/>
        <v>0</v>
      </c>
      <c r="FF238" s="72">
        <f t="shared" si="149"/>
        <v>0</v>
      </c>
      <c r="FG238" s="65"/>
      <c r="FH238" s="65"/>
      <c r="FI238" s="65"/>
      <c r="FJ238" s="56">
        <f t="shared" si="150"/>
        <v>0</v>
      </c>
      <c r="FK238" s="65"/>
      <c r="FL238" s="65"/>
      <c r="FM238" s="65"/>
      <c r="FN238" s="65"/>
      <c r="FO238" s="67">
        <f t="shared" si="151"/>
        <v>0</v>
      </c>
      <c r="FP238" s="57"/>
      <c r="FQ238" s="73"/>
      <c r="FR238" s="73"/>
      <c r="FS238" s="71">
        <f t="shared" si="152"/>
        <v>0</v>
      </c>
      <c r="FT238" s="91"/>
      <c r="FU238" s="91"/>
      <c r="FV238" s="67">
        <f>SUM(Tableau1[[#This Row],[Droits d''auteurs SACEM + cotisations SACEM]:[Autres ou non préciés]])</f>
        <v>0</v>
      </c>
      <c r="FW238" s="75">
        <f t="shared" si="153"/>
        <v>0</v>
      </c>
      <c r="FX238" s="74">
        <v>0</v>
      </c>
      <c r="FY238" s="74"/>
      <c r="FZ238" s="74"/>
      <c r="GA238" s="74"/>
      <c r="GB238" s="71">
        <f t="shared" si="154"/>
        <v>0</v>
      </c>
      <c r="GC238" s="92"/>
      <c r="GD238" s="92"/>
      <c r="GE238" s="67">
        <f t="shared" si="155"/>
        <v>0</v>
      </c>
      <c r="GF238" s="66"/>
      <c r="GG238" s="66"/>
      <c r="GH238" s="66"/>
      <c r="GI238" s="66"/>
      <c r="GJ238" s="77"/>
    </row>
    <row r="239" spans="1:192" ht="18.600000000000001" customHeight="1" x14ac:dyDescent="0.25">
      <c r="A239" s="89"/>
      <c r="B239" s="17"/>
      <c r="C239" s="50"/>
      <c r="D239" s="140"/>
      <c r="E239" s="51"/>
      <c r="F239" s="139">
        <f t="shared" si="159"/>
        <v>1</v>
      </c>
      <c r="G239" s="49"/>
      <c r="H239" s="50"/>
      <c r="I239" s="122"/>
      <c r="J239" s="49"/>
      <c r="K239" s="50"/>
      <c r="L239" s="50"/>
      <c r="M239" s="90"/>
      <c r="N239" s="50"/>
      <c r="O239" s="50"/>
      <c r="P239" s="90"/>
      <c r="Q239" s="52">
        <f t="shared" si="125"/>
        <v>0</v>
      </c>
      <c r="R239" s="52">
        <f t="shared" si="126"/>
        <v>0</v>
      </c>
      <c r="S239" s="53">
        <f t="shared" si="127"/>
        <v>0</v>
      </c>
      <c r="T239" s="54">
        <f t="shared" si="128"/>
        <v>0</v>
      </c>
      <c r="U239" s="115">
        <f>SUM(Tableau1[[#This Row],[Vente confiserie]:[Vente boisson]])</f>
        <v>0</v>
      </c>
      <c r="V239" s="55"/>
      <c r="W239" s="55"/>
      <c r="X239" s="135">
        <f>SUM(Tableau1[[#This Row],[Vente lunette]:[Location lunette]])</f>
        <v>0</v>
      </c>
      <c r="Y239" s="55"/>
      <c r="Z239" s="55"/>
      <c r="AA239" s="55"/>
      <c r="AB239" s="55"/>
      <c r="AC239" s="56">
        <f t="shared" si="157"/>
        <v>0</v>
      </c>
      <c r="AD239" s="57"/>
      <c r="AE239" s="57"/>
      <c r="AF239" s="57"/>
      <c r="AG239" s="57"/>
      <c r="AH239" s="57"/>
      <c r="AI239" s="57"/>
      <c r="AJ239" s="118">
        <f>(Tableau1[[#This Row],[Recette guichet ]]*1.1275177)-Tableau1[[#This Row],[Recette guichet ]]</f>
        <v>0</v>
      </c>
      <c r="AK239" s="57"/>
      <c r="AL239" s="56">
        <f t="shared" si="158"/>
        <v>0</v>
      </c>
      <c r="AM239" s="58"/>
      <c r="AN239" s="58"/>
      <c r="AO239" s="58"/>
      <c r="AP239" s="115">
        <f t="shared" si="129"/>
        <v>0</v>
      </c>
      <c r="AQ239" s="69"/>
      <c r="AR239" s="69"/>
      <c r="AS239" s="69"/>
      <c r="AT239" s="69"/>
      <c r="AU239" s="59">
        <f t="shared" si="130"/>
        <v>0</v>
      </c>
      <c r="AV239" s="60">
        <f t="shared" si="131"/>
        <v>0</v>
      </c>
      <c r="AW239" s="58"/>
      <c r="AX239" s="58"/>
      <c r="AY239" s="58"/>
      <c r="AZ239" s="60">
        <f t="shared" si="121"/>
        <v>0</v>
      </c>
      <c r="BA239" s="58"/>
      <c r="BB239" s="58"/>
      <c r="BC239" s="58"/>
      <c r="BD239" s="60">
        <f>SUM(Tableau1[[#This Row],[ticket/carte/abonnement périmé]:[Autres ou non précisé 5]])</f>
        <v>0</v>
      </c>
      <c r="BE239" s="58"/>
      <c r="BF239" s="58"/>
      <c r="BG239" s="58"/>
      <c r="BH239" s="61">
        <f t="shared" si="132"/>
        <v>0</v>
      </c>
      <c r="BI239" s="120"/>
      <c r="BJ239" s="120"/>
      <c r="BK239" s="62">
        <f t="shared" si="133"/>
        <v>0</v>
      </c>
      <c r="BL239" s="120"/>
      <c r="BM239" s="120"/>
      <c r="BN239" s="120"/>
      <c r="BO239" s="120"/>
      <c r="BP239" s="120"/>
      <c r="BQ239" s="63"/>
      <c r="BR239" s="52">
        <f t="shared" si="134"/>
        <v>0</v>
      </c>
      <c r="BS239" s="52">
        <f t="shared" si="135"/>
        <v>0</v>
      </c>
      <c r="BT239" s="61">
        <f t="shared" si="136"/>
        <v>0</v>
      </c>
      <c r="BU239" s="64">
        <f t="shared" si="137"/>
        <v>0</v>
      </c>
      <c r="BV239" s="119">
        <f>SUM(Tableau1[[#This Row],[Achats confiserie]:[Achats boisson]])</f>
        <v>0</v>
      </c>
      <c r="BW239" s="58"/>
      <c r="BX239" s="69"/>
      <c r="BY239" s="58"/>
      <c r="BZ239" s="56">
        <f t="shared" si="138"/>
        <v>0</v>
      </c>
      <c r="CA239" s="66"/>
      <c r="CB239" s="66"/>
      <c r="CC239" s="56">
        <f t="shared" si="139"/>
        <v>0</v>
      </c>
      <c r="CD239" s="55"/>
      <c r="CE239" s="65"/>
      <c r="CF239" s="55"/>
      <c r="CG239" s="55"/>
      <c r="CH239" s="67">
        <f t="shared" si="140"/>
        <v>0</v>
      </c>
      <c r="CI239" s="68">
        <f t="shared" si="156"/>
        <v>0</v>
      </c>
      <c r="CJ239" s="55"/>
      <c r="CK239" s="55"/>
      <c r="CL239" s="55"/>
      <c r="CM239" s="55"/>
      <c r="CN239" s="55"/>
      <c r="CO239" s="68">
        <f t="shared" si="141"/>
        <v>0</v>
      </c>
      <c r="CP239" s="75">
        <f>SUM(Tableau1[[#This Row],[Fourniture eau]:[Energie (non précisé)]])</f>
        <v>0</v>
      </c>
      <c r="CQ239" s="55"/>
      <c r="CR239" s="55"/>
      <c r="CS239" s="55"/>
      <c r="CT239" s="55"/>
      <c r="CU239" s="55"/>
      <c r="CV239" s="55">
        <v>0</v>
      </c>
      <c r="CW239" s="55"/>
      <c r="CX239" s="68">
        <f>SUM(Tableau1[[#This Row],[Sous-traitance]:[Autres ou non précisé 12]])</f>
        <v>0</v>
      </c>
      <c r="CY239" s="65"/>
      <c r="CZ239" s="65"/>
      <c r="DA239" s="65"/>
      <c r="DB239" s="65"/>
      <c r="DC239" s="55"/>
      <c r="DD239" s="68">
        <f t="shared" si="122"/>
        <v>0</v>
      </c>
      <c r="DE239" s="55"/>
      <c r="DF239" s="65"/>
      <c r="DG239" s="65"/>
      <c r="DH239" s="65"/>
      <c r="DI239" s="68">
        <f>SUM(Tableau1[[#This Row],[Entretien et réparation matériel de projection]:[Autres ou non précisé 14]])</f>
        <v>0</v>
      </c>
      <c r="DJ239" s="58"/>
      <c r="DK239" s="58"/>
      <c r="DL239" s="69"/>
      <c r="DM239" s="68">
        <f t="shared" si="142"/>
        <v>0</v>
      </c>
      <c r="DN239" s="58"/>
      <c r="DO239" s="58"/>
      <c r="DP239" s="68">
        <f t="shared" si="143"/>
        <v>0</v>
      </c>
      <c r="DQ239" s="65"/>
      <c r="DR239" s="65"/>
      <c r="DS239" s="68">
        <f t="shared" si="144"/>
        <v>0</v>
      </c>
      <c r="DT239" s="65"/>
      <c r="DU239" s="65"/>
      <c r="DV239" s="65"/>
      <c r="DW239" s="68">
        <f>SUM(Tableau1[[#This Row],[Comission et courtage sur achats]:[Autres ou honoraires
 non précisé ]])</f>
        <v>0</v>
      </c>
      <c r="DX239" s="57"/>
      <c r="DY239" s="57"/>
      <c r="DZ239" s="65"/>
      <c r="EA239" s="65"/>
      <c r="EB239" s="65"/>
      <c r="EC239" s="68">
        <f t="shared" si="145"/>
        <v>0</v>
      </c>
      <c r="ED239" s="69"/>
      <c r="EE239" s="69"/>
      <c r="EF239" s="69"/>
      <c r="EG239" s="69"/>
      <c r="EH239" s="69"/>
      <c r="EI239" s="84">
        <f>SUM(Tableau1[[#This Row],[Transports sur films]:[autres ]])</f>
        <v>0</v>
      </c>
      <c r="EJ239" s="132">
        <v>0</v>
      </c>
      <c r="EK239" s="132"/>
      <c r="EL239" s="68">
        <f t="shared" si="146"/>
        <v>0</v>
      </c>
      <c r="EM239" s="65"/>
      <c r="EN239" s="65">
        <v>0</v>
      </c>
      <c r="EO239" s="65"/>
      <c r="EP239" s="65"/>
      <c r="EQ239" s="65"/>
      <c r="ER239" s="65"/>
      <c r="ES239" s="65"/>
      <c r="ET239" s="68">
        <f t="shared" si="147"/>
        <v>0</v>
      </c>
      <c r="EU239" s="65"/>
      <c r="EV239" s="65"/>
      <c r="EW239" s="65"/>
      <c r="EX239" s="65"/>
      <c r="EY239" s="65"/>
      <c r="EZ239" s="68">
        <f t="shared" si="124"/>
        <v>0</v>
      </c>
      <c r="FA239" s="65"/>
      <c r="FB239" s="65"/>
      <c r="FC239" s="70">
        <f t="shared" si="123"/>
        <v>0</v>
      </c>
      <c r="FD239" s="65"/>
      <c r="FE239" s="71">
        <f t="shared" si="148"/>
        <v>0</v>
      </c>
      <c r="FF239" s="72">
        <f t="shared" si="149"/>
        <v>0</v>
      </c>
      <c r="FG239" s="65"/>
      <c r="FH239" s="65"/>
      <c r="FI239" s="65"/>
      <c r="FJ239" s="56">
        <f t="shared" si="150"/>
        <v>0</v>
      </c>
      <c r="FK239" s="65"/>
      <c r="FL239" s="65"/>
      <c r="FM239" s="65"/>
      <c r="FN239" s="65"/>
      <c r="FO239" s="67">
        <f t="shared" si="151"/>
        <v>0</v>
      </c>
      <c r="FP239" s="57"/>
      <c r="FQ239" s="73"/>
      <c r="FR239" s="73"/>
      <c r="FS239" s="71">
        <f t="shared" si="152"/>
        <v>0</v>
      </c>
      <c r="FT239" s="91"/>
      <c r="FU239" s="91"/>
      <c r="FV239" s="67">
        <f>SUM(Tableau1[[#This Row],[Droits d''auteurs SACEM + cotisations SACEM]:[Autres ou non préciés]])</f>
        <v>0</v>
      </c>
      <c r="FW239" s="75">
        <f t="shared" si="153"/>
        <v>0</v>
      </c>
      <c r="FX239" s="74">
        <v>0</v>
      </c>
      <c r="FY239" s="74"/>
      <c r="FZ239" s="74"/>
      <c r="GA239" s="74"/>
      <c r="GB239" s="71">
        <f t="shared" si="154"/>
        <v>0</v>
      </c>
      <c r="GC239" s="92"/>
      <c r="GD239" s="92"/>
      <c r="GE239" s="67">
        <f t="shared" si="155"/>
        <v>0</v>
      </c>
      <c r="GF239" s="66"/>
      <c r="GG239" s="66"/>
      <c r="GH239" s="66"/>
      <c r="GI239" s="66"/>
      <c r="GJ239" s="77"/>
    </row>
    <row r="240" spans="1:192" ht="18.600000000000001" customHeight="1" x14ac:dyDescent="0.25">
      <c r="A240" s="89"/>
      <c r="B240" s="17"/>
      <c r="C240" s="50"/>
      <c r="D240" s="140"/>
      <c r="E240" s="51"/>
      <c r="F240" s="139">
        <f t="shared" si="159"/>
        <v>1</v>
      </c>
      <c r="G240" s="49"/>
      <c r="H240" s="50"/>
      <c r="I240" s="122"/>
      <c r="J240" s="49"/>
      <c r="K240" s="50"/>
      <c r="L240" s="50"/>
      <c r="M240" s="90"/>
      <c r="N240" s="50"/>
      <c r="O240" s="50"/>
      <c r="P240" s="90"/>
      <c r="Q240" s="52">
        <f t="shared" si="125"/>
        <v>0</v>
      </c>
      <c r="R240" s="52">
        <f t="shared" si="126"/>
        <v>0</v>
      </c>
      <c r="S240" s="53">
        <f t="shared" si="127"/>
        <v>0</v>
      </c>
      <c r="T240" s="54">
        <f t="shared" si="128"/>
        <v>0</v>
      </c>
      <c r="U240" s="115">
        <f>SUM(Tableau1[[#This Row],[Vente confiserie]:[Vente boisson]])</f>
        <v>0</v>
      </c>
      <c r="V240" s="55"/>
      <c r="W240" s="55"/>
      <c r="X240" s="135">
        <f>SUM(Tableau1[[#This Row],[Vente lunette]:[Location lunette]])</f>
        <v>0</v>
      </c>
      <c r="Y240" s="55"/>
      <c r="Z240" s="55"/>
      <c r="AA240" s="55"/>
      <c r="AB240" s="55"/>
      <c r="AC240" s="56">
        <f t="shared" si="157"/>
        <v>0</v>
      </c>
      <c r="AD240" s="57"/>
      <c r="AE240" s="57"/>
      <c r="AF240" s="57"/>
      <c r="AG240" s="57"/>
      <c r="AH240" s="57"/>
      <c r="AI240" s="57"/>
      <c r="AJ240" s="118">
        <f>(Tableau1[[#This Row],[Recette guichet ]]*1.1275177)-Tableau1[[#This Row],[Recette guichet ]]</f>
        <v>0</v>
      </c>
      <c r="AK240" s="57"/>
      <c r="AL240" s="56">
        <f t="shared" si="158"/>
        <v>0</v>
      </c>
      <c r="AM240" s="58"/>
      <c r="AN240" s="58"/>
      <c r="AO240" s="58"/>
      <c r="AP240" s="115">
        <f t="shared" si="129"/>
        <v>0</v>
      </c>
      <c r="AQ240" s="69"/>
      <c r="AR240" s="69"/>
      <c r="AS240" s="69"/>
      <c r="AT240" s="69"/>
      <c r="AU240" s="59">
        <f t="shared" si="130"/>
        <v>0</v>
      </c>
      <c r="AV240" s="60">
        <f t="shared" si="131"/>
        <v>0</v>
      </c>
      <c r="AW240" s="58"/>
      <c r="AX240" s="58"/>
      <c r="AY240" s="58"/>
      <c r="AZ240" s="60">
        <f t="shared" si="121"/>
        <v>0</v>
      </c>
      <c r="BA240" s="58"/>
      <c r="BB240" s="58"/>
      <c r="BC240" s="58"/>
      <c r="BD240" s="60">
        <f>SUM(Tableau1[[#This Row],[ticket/carte/abonnement périmé]:[Autres ou non précisé 5]])</f>
        <v>0</v>
      </c>
      <c r="BE240" s="58"/>
      <c r="BF240" s="58"/>
      <c r="BG240" s="58"/>
      <c r="BH240" s="61">
        <f t="shared" si="132"/>
        <v>0</v>
      </c>
      <c r="BI240" s="120"/>
      <c r="BJ240" s="120"/>
      <c r="BK240" s="62">
        <f t="shared" si="133"/>
        <v>0</v>
      </c>
      <c r="BL240" s="120"/>
      <c r="BM240" s="120"/>
      <c r="BN240" s="120"/>
      <c r="BO240" s="120"/>
      <c r="BP240" s="120"/>
      <c r="BQ240" s="63"/>
      <c r="BR240" s="52">
        <f t="shared" si="134"/>
        <v>0</v>
      </c>
      <c r="BS240" s="52">
        <f t="shared" si="135"/>
        <v>0</v>
      </c>
      <c r="BT240" s="61">
        <f t="shared" si="136"/>
        <v>0</v>
      </c>
      <c r="BU240" s="64">
        <f t="shared" si="137"/>
        <v>0</v>
      </c>
      <c r="BV240" s="119">
        <f>SUM(Tableau1[[#This Row],[Achats confiserie]:[Achats boisson]])</f>
        <v>0</v>
      </c>
      <c r="BW240" s="58"/>
      <c r="BX240" s="69"/>
      <c r="BY240" s="58"/>
      <c r="BZ240" s="56">
        <f t="shared" si="138"/>
        <v>0</v>
      </c>
      <c r="CA240" s="66"/>
      <c r="CB240" s="66"/>
      <c r="CC240" s="56">
        <f t="shared" si="139"/>
        <v>0</v>
      </c>
      <c r="CD240" s="55"/>
      <c r="CE240" s="65"/>
      <c r="CF240" s="55"/>
      <c r="CG240" s="55"/>
      <c r="CH240" s="67">
        <f t="shared" si="140"/>
        <v>0</v>
      </c>
      <c r="CI240" s="68">
        <f t="shared" si="156"/>
        <v>0</v>
      </c>
      <c r="CJ240" s="55"/>
      <c r="CK240" s="55"/>
      <c r="CL240" s="55"/>
      <c r="CM240" s="55"/>
      <c r="CN240" s="55"/>
      <c r="CO240" s="68">
        <f t="shared" si="141"/>
        <v>0</v>
      </c>
      <c r="CP240" s="75">
        <f>SUM(Tableau1[[#This Row],[Fourniture eau]:[Energie (non précisé)]])</f>
        <v>0</v>
      </c>
      <c r="CQ240" s="55"/>
      <c r="CR240" s="55"/>
      <c r="CS240" s="55"/>
      <c r="CT240" s="55"/>
      <c r="CU240" s="55"/>
      <c r="CV240" s="55">
        <v>0</v>
      </c>
      <c r="CW240" s="55"/>
      <c r="CX240" s="68">
        <f>SUM(Tableau1[[#This Row],[Sous-traitance]:[Autres ou non précisé 12]])</f>
        <v>0</v>
      </c>
      <c r="CY240" s="65"/>
      <c r="CZ240" s="65"/>
      <c r="DA240" s="65"/>
      <c r="DB240" s="65"/>
      <c r="DC240" s="55"/>
      <c r="DD240" s="68">
        <f t="shared" si="122"/>
        <v>0</v>
      </c>
      <c r="DE240" s="55"/>
      <c r="DF240" s="65"/>
      <c r="DG240" s="65"/>
      <c r="DH240" s="65"/>
      <c r="DI240" s="68">
        <f>SUM(Tableau1[[#This Row],[Entretien et réparation matériel de projection]:[Autres ou non précisé 14]])</f>
        <v>0</v>
      </c>
      <c r="DJ240" s="58"/>
      <c r="DK240" s="58"/>
      <c r="DL240" s="69"/>
      <c r="DM240" s="68">
        <f t="shared" si="142"/>
        <v>0</v>
      </c>
      <c r="DN240" s="58"/>
      <c r="DO240" s="58"/>
      <c r="DP240" s="68">
        <f t="shared" si="143"/>
        <v>0</v>
      </c>
      <c r="DQ240" s="65"/>
      <c r="DR240" s="65"/>
      <c r="DS240" s="68">
        <f t="shared" si="144"/>
        <v>0</v>
      </c>
      <c r="DT240" s="65"/>
      <c r="DU240" s="65"/>
      <c r="DV240" s="65"/>
      <c r="DW240" s="68">
        <f>SUM(Tableau1[[#This Row],[Comission et courtage sur achats]:[Autres ou honoraires
 non précisé ]])</f>
        <v>0</v>
      </c>
      <c r="DX240" s="57"/>
      <c r="DY240" s="57"/>
      <c r="DZ240" s="65"/>
      <c r="EA240" s="65"/>
      <c r="EB240" s="65"/>
      <c r="EC240" s="68">
        <f t="shared" si="145"/>
        <v>0</v>
      </c>
      <c r="ED240" s="69"/>
      <c r="EE240" s="69"/>
      <c r="EF240" s="69"/>
      <c r="EG240" s="69"/>
      <c r="EH240" s="69"/>
      <c r="EI240" s="84">
        <f>SUM(Tableau1[[#This Row],[Transports sur films]:[autres ]])</f>
        <v>0</v>
      </c>
      <c r="EJ240" s="132">
        <v>0</v>
      </c>
      <c r="EK240" s="132"/>
      <c r="EL240" s="68">
        <f t="shared" si="146"/>
        <v>0</v>
      </c>
      <c r="EM240" s="65"/>
      <c r="EN240" s="65">
        <v>0</v>
      </c>
      <c r="EO240" s="65"/>
      <c r="EP240" s="65"/>
      <c r="EQ240" s="65"/>
      <c r="ER240" s="65"/>
      <c r="ES240" s="65"/>
      <c r="ET240" s="68">
        <f t="shared" si="147"/>
        <v>0</v>
      </c>
      <c r="EU240" s="65"/>
      <c r="EV240" s="65"/>
      <c r="EW240" s="65"/>
      <c r="EX240" s="65"/>
      <c r="EY240" s="65"/>
      <c r="EZ240" s="68">
        <f t="shared" si="124"/>
        <v>0</v>
      </c>
      <c r="FA240" s="65"/>
      <c r="FB240" s="65"/>
      <c r="FC240" s="70">
        <f t="shared" si="123"/>
        <v>0</v>
      </c>
      <c r="FD240" s="65"/>
      <c r="FE240" s="71">
        <f t="shared" si="148"/>
        <v>0</v>
      </c>
      <c r="FF240" s="72">
        <f t="shared" si="149"/>
        <v>0</v>
      </c>
      <c r="FG240" s="65"/>
      <c r="FH240" s="65"/>
      <c r="FI240" s="65"/>
      <c r="FJ240" s="56">
        <f t="shared" si="150"/>
        <v>0</v>
      </c>
      <c r="FK240" s="65"/>
      <c r="FL240" s="65"/>
      <c r="FM240" s="65"/>
      <c r="FN240" s="65"/>
      <c r="FO240" s="67">
        <f t="shared" si="151"/>
        <v>0</v>
      </c>
      <c r="FP240" s="57"/>
      <c r="FQ240" s="73"/>
      <c r="FR240" s="73"/>
      <c r="FS240" s="71">
        <f t="shared" si="152"/>
        <v>0</v>
      </c>
      <c r="FT240" s="91"/>
      <c r="FU240" s="91"/>
      <c r="FV240" s="67">
        <f>SUM(Tableau1[[#This Row],[Droits d''auteurs SACEM + cotisations SACEM]:[Autres ou non préciés]])</f>
        <v>0</v>
      </c>
      <c r="FW240" s="75">
        <f t="shared" si="153"/>
        <v>0</v>
      </c>
      <c r="FX240" s="74">
        <v>0</v>
      </c>
      <c r="FY240" s="74"/>
      <c r="FZ240" s="74"/>
      <c r="GA240" s="74"/>
      <c r="GB240" s="71">
        <f t="shared" si="154"/>
        <v>0</v>
      </c>
      <c r="GC240" s="92"/>
      <c r="GD240" s="92"/>
      <c r="GE240" s="67">
        <f t="shared" si="155"/>
        <v>0</v>
      </c>
      <c r="GF240" s="66"/>
      <c r="GG240" s="66"/>
      <c r="GH240" s="66"/>
      <c r="GI240" s="66"/>
      <c r="GJ240" s="77"/>
    </row>
    <row r="241" spans="1:192" ht="18.600000000000001" customHeight="1" x14ac:dyDescent="0.25">
      <c r="A241" s="89"/>
      <c r="B241" s="17"/>
      <c r="C241" s="50"/>
      <c r="D241" s="140"/>
      <c r="E241" s="51"/>
      <c r="F241" s="139">
        <f t="shared" si="159"/>
        <v>1</v>
      </c>
      <c r="G241" s="49"/>
      <c r="H241" s="50"/>
      <c r="I241" s="122"/>
      <c r="J241" s="49"/>
      <c r="K241" s="50"/>
      <c r="L241" s="50"/>
      <c r="M241" s="90"/>
      <c r="N241" s="50"/>
      <c r="O241" s="50"/>
      <c r="P241" s="90"/>
      <c r="Q241" s="52">
        <f t="shared" si="125"/>
        <v>0</v>
      </c>
      <c r="R241" s="52">
        <f t="shared" si="126"/>
        <v>0</v>
      </c>
      <c r="S241" s="53">
        <f t="shared" si="127"/>
        <v>0</v>
      </c>
      <c r="T241" s="54">
        <f t="shared" si="128"/>
        <v>0</v>
      </c>
      <c r="U241" s="115">
        <f>SUM(Tableau1[[#This Row],[Vente confiserie]:[Vente boisson]])</f>
        <v>0</v>
      </c>
      <c r="V241" s="55"/>
      <c r="W241" s="55"/>
      <c r="X241" s="135">
        <f>SUM(Tableau1[[#This Row],[Vente lunette]:[Location lunette]])</f>
        <v>0</v>
      </c>
      <c r="Y241" s="55"/>
      <c r="Z241" s="55"/>
      <c r="AA241" s="55"/>
      <c r="AB241" s="55"/>
      <c r="AC241" s="56">
        <f t="shared" si="157"/>
        <v>0</v>
      </c>
      <c r="AD241" s="57"/>
      <c r="AE241" s="57"/>
      <c r="AF241" s="57"/>
      <c r="AG241" s="57"/>
      <c r="AH241" s="57"/>
      <c r="AI241" s="57"/>
      <c r="AJ241" s="118">
        <f>(Tableau1[[#This Row],[Recette guichet ]]*1.1275177)-Tableau1[[#This Row],[Recette guichet ]]</f>
        <v>0</v>
      </c>
      <c r="AK241" s="57"/>
      <c r="AL241" s="56">
        <f t="shared" si="158"/>
        <v>0</v>
      </c>
      <c r="AM241" s="58"/>
      <c r="AN241" s="58"/>
      <c r="AO241" s="58"/>
      <c r="AP241" s="115">
        <f t="shared" si="129"/>
        <v>0</v>
      </c>
      <c r="AQ241" s="69"/>
      <c r="AR241" s="69"/>
      <c r="AS241" s="69"/>
      <c r="AT241" s="69"/>
      <c r="AU241" s="59">
        <f t="shared" si="130"/>
        <v>0</v>
      </c>
      <c r="AV241" s="60">
        <f t="shared" si="131"/>
        <v>0</v>
      </c>
      <c r="AW241" s="58"/>
      <c r="AX241" s="58"/>
      <c r="AY241" s="58"/>
      <c r="AZ241" s="60">
        <f t="shared" si="121"/>
        <v>0</v>
      </c>
      <c r="BA241" s="58"/>
      <c r="BB241" s="58"/>
      <c r="BC241" s="58"/>
      <c r="BD241" s="60">
        <f>SUM(Tableau1[[#This Row],[ticket/carte/abonnement périmé]:[Autres ou non précisé 5]])</f>
        <v>0</v>
      </c>
      <c r="BE241" s="58"/>
      <c r="BF241" s="58"/>
      <c r="BG241" s="58"/>
      <c r="BH241" s="61">
        <f t="shared" si="132"/>
        <v>0</v>
      </c>
      <c r="BI241" s="120"/>
      <c r="BJ241" s="120"/>
      <c r="BK241" s="62">
        <f t="shared" si="133"/>
        <v>0</v>
      </c>
      <c r="BL241" s="120"/>
      <c r="BM241" s="120"/>
      <c r="BN241" s="120"/>
      <c r="BO241" s="120"/>
      <c r="BP241" s="120"/>
      <c r="BQ241" s="63"/>
      <c r="BR241" s="52">
        <f t="shared" si="134"/>
        <v>0</v>
      </c>
      <c r="BS241" s="52">
        <f t="shared" si="135"/>
        <v>0</v>
      </c>
      <c r="BT241" s="61">
        <f t="shared" si="136"/>
        <v>0</v>
      </c>
      <c r="BU241" s="64">
        <f t="shared" si="137"/>
        <v>0</v>
      </c>
      <c r="BV241" s="119">
        <f>SUM(Tableau1[[#This Row],[Achats confiserie]:[Achats boisson]])</f>
        <v>0</v>
      </c>
      <c r="BW241" s="58"/>
      <c r="BX241" s="69"/>
      <c r="BY241" s="58"/>
      <c r="BZ241" s="56">
        <f t="shared" si="138"/>
        <v>0</v>
      </c>
      <c r="CA241" s="66"/>
      <c r="CB241" s="66"/>
      <c r="CC241" s="56">
        <f t="shared" si="139"/>
        <v>0</v>
      </c>
      <c r="CD241" s="55"/>
      <c r="CE241" s="65"/>
      <c r="CF241" s="55"/>
      <c r="CG241" s="55"/>
      <c r="CH241" s="67">
        <f t="shared" si="140"/>
        <v>0</v>
      </c>
      <c r="CI241" s="68">
        <f t="shared" si="156"/>
        <v>0</v>
      </c>
      <c r="CJ241" s="55"/>
      <c r="CK241" s="55"/>
      <c r="CL241" s="55"/>
      <c r="CM241" s="55"/>
      <c r="CN241" s="55"/>
      <c r="CO241" s="68">
        <f t="shared" si="141"/>
        <v>0</v>
      </c>
      <c r="CP241" s="75">
        <f>SUM(Tableau1[[#This Row],[Fourniture eau]:[Energie (non précisé)]])</f>
        <v>0</v>
      </c>
      <c r="CQ241" s="55"/>
      <c r="CR241" s="55"/>
      <c r="CS241" s="55"/>
      <c r="CT241" s="55"/>
      <c r="CU241" s="55"/>
      <c r="CV241" s="55">
        <v>0</v>
      </c>
      <c r="CW241" s="55"/>
      <c r="CX241" s="68">
        <f>SUM(Tableau1[[#This Row],[Sous-traitance]:[Autres ou non précisé 12]])</f>
        <v>0</v>
      </c>
      <c r="CY241" s="65"/>
      <c r="CZ241" s="65"/>
      <c r="DA241" s="65"/>
      <c r="DB241" s="65"/>
      <c r="DC241" s="55"/>
      <c r="DD241" s="68">
        <f t="shared" si="122"/>
        <v>0</v>
      </c>
      <c r="DE241" s="55"/>
      <c r="DF241" s="65"/>
      <c r="DG241" s="65"/>
      <c r="DH241" s="65"/>
      <c r="DI241" s="68">
        <f>SUM(Tableau1[[#This Row],[Entretien et réparation matériel de projection]:[Autres ou non précisé 14]])</f>
        <v>0</v>
      </c>
      <c r="DJ241" s="58"/>
      <c r="DK241" s="58"/>
      <c r="DL241" s="69"/>
      <c r="DM241" s="68">
        <f t="shared" si="142"/>
        <v>0</v>
      </c>
      <c r="DN241" s="58"/>
      <c r="DO241" s="58"/>
      <c r="DP241" s="68">
        <f t="shared" si="143"/>
        <v>0</v>
      </c>
      <c r="DQ241" s="65"/>
      <c r="DR241" s="65"/>
      <c r="DS241" s="68">
        <f t="shared" si="144"/>
        <v>0</v>
      </c>
      <c r="DT241" s="65"/>
      <c r="DU241" s="65"/>
      <c r="DV241" s="65"/>
      <c r="DW241" s="68">
        <f>SUM(Tableau1[[#This Row],[Comission et courtage sur achats]:[Autres ou honoraires
 non précisé ]])</f>
        <v>0</v>
      </c>
      <c r="DX241" s="57"/>
      <c r="DY241" s="57"/>
      <c r="DZ241" s="65"/>
      <c r="EA241" s="65"/>
      <c r="EB241" s="65"/>
      <c r="EC241" s="68">
        <f t="shared" si="145"/>
        <v>0</v>
      </c>
      <c r="ED241" s="69"/>
      <c r="EE241" s="69"/>
      <c r="EF241" s="69"/>
      <c r="EG241" s="69"/>
      <c r="EH241" s="69"/>
      <c r="EI241" s="84">
        <f>SUM(Tableau1[[#This Row],[Transports sur films]:[autres ]])</f>
        <v>0</v>
      </c>
      <c r="EJ241" s="132">
        <v>0</v>
      </c>
      <c r="EK241" s="132"/>
      <c r="EL241" s="68">
        <f t="shared" si="146"/>
        <v>0</v>
      </c>
      <c r="EM241" s="65"/>
      <c r="EN241" s="65">
        <v>0</v>
      </c>
      <c r="EO241" s="65"/>
      <c r="EP241" s="65"/>
      <c r="EQ241" s="65"/>
      <c r="ER241" s="65"/>
      <c r="ES241" s="65"/>
      <c r="ET241" s="68">
        <f t="shared" si="147"/>
        <v>0</v>
      </c>
      <c r="EU241" s="65"/>
      <c r="EV241" s="65"/>
      <c r="EW241" s="65"/>
      <c r="EX241" s="65"/>
      <c r="EY241" s="65"/>
      <c r="EZ241" s="68">
        <f t="shared" si="124"/>
        <v>0</v>
      </c>
      <c r="FA241" s="65"/>
      <c r="FB241" s="65"/>
      <c r="FC241" s="70">
        <f t="shared" si="123"/>
        <v>0</v>
      </c>
      <c r="FD241" s="65"/>
      <c r="FE241" s="71">
        <f t="shared" si="148"/>
        <v>0</v>
      </c>
      <c r="FF241" s="72">
        <f t="shared" si="149"/>
        <v>0</v>
      </c>
      <c r="FG241" s="65"/>
      <c r="FH241" s="65"/>
      <c r="FI241" s="65"/>
      <c r="FJ241" s="56">
        <f t="shared" si="150"/>
        <v>0</v>
      </c>
      <c r="FK241" s="65"/>
      <c r="FL241" s="65"/>
      <c r="FM241" s="65"/>
      <c r="FN241" s="65"/>
      <c r="FO241" s="67">
        <f t="shared" si="151"/>
        <v>0</v>
      </c>
      <c r="FP241" s="57"/>
      <c r="FQ241" s="73"/>
      <c r="FR241" s="73"/>
      <c r="FS241" s="71">
        <f t="shared" si="152"/>
        <v>0</v>
      </c>
      <c r="FT241" s="91"/>
      <c r="FU241" s="91"/>
      <c r="FV241" s="67">
        <f>SUM(Tableau1[[#This Row],[Droits d''auteurs SACEM + cotisations SACEM]:[Autres ou non préciés]])</f>
        <v>0</v>
      </c>
      <c r="FW241" s="75">
        <f t="shared" si="153"/>
        <v>0</v>
      </c>
      <c r="FX241" s="74">
        <v>0</v>
      </c>
      <c r="FY241" s="74"/>
      <c r="FZ241" s="74"/>
      <c r="GA241" s="74"/>
      <c r="GB241" s="71">
        <f t="shared" si="154"/>
        <v>0</v>
      </c>
      <c r="GC241" s="92"/>
      <c r="GD241" s="92"/>
      <c r="GE241" s="67">
        <f t="shared" si="155"/>
        <v>0</v>
      </c>
      <c r="GF241" s="66"/>
      <c r="GG241" s="66"/>
      <c r="GH241" s="66"/>
      <c r="GI241" s="66"/>
      <c r="GJ241" s="77"/>
    </row>
    <row r="242" spans="1:192" ht="18.600000000000001" customHeight="1" x14ac:dyDescent="0.25">
      <c r="A242" s="89"/>
      <c r="B242" s="17"/>
      <c r="C242" s="50"/>
      <c r="D242" s="140"/>
      <c r="E242" s="51"/>
      <c r="F242" s="139">
        <f t="shared" si="159"/>
        <v>1</v>
      </c>
      <c r="G242" s="49"/>
      <c r="H242" s="50"/>
      <c r="I242" s="122"/>
      <c r="J242" s="49"/>
      <c r="K242" s="50"/>
      <c r="L242" s="50"/>
      <c r="M242" s="90"/>
      <c r="N242" s="50"/>
      <c r="O242" s="50"/>
      <c r="P242" s="90"/>
      <c r="Q242" s="52">
        <f t="shared" si="125"/>
        <v>0</v>
      </c>
      <c r="R242" s="52">
        <f t="shared" si="126"/>
        <v>0</v>
      </c>
      <c r="S242" s="53">
        <f t="shared" si="127"/>
        <v>0</v>
      </c>
      <c r="T242" s="54">
        <f t="shared" si="128"/>
        <v>0</v>
      </c>
      <c r="U242" s="115">
        <f>SUM(Tableau1[[#This Row],[Vente confiserie]:[Vente boisson]])</f>
        <v>0</v>
      </c>
      <c r="V242" s="55"/>
      <c r="W242" s="55"/>
      <c r="X242" s="135">
        <f>SUM(Tableau1[[#This Row],[Vente lunette]:[Location lunette]])</f>
        <v>0</v>
      </c>
      <c r="Y242" s="55"/>
      <c r="Z242" s="55"/>
      <c r="AA242" s="55"/>
      <c r="AB242" s="55"/>
      <c r="AC242" s="56">
        <f t="shared" si="157"/>
        <v>0</v>
      </c>
      <c r="AD242" s="57"/>
      <c r="AE242" s="57"/>
      <c r="AF242" s="57"/>
      <c r="AG242" s="57"/>
      <c r="AH242" s="57"/>
      <c r="AI242" s="57"/>
      <c r="AJ242" s="118">
        <f>(Tableau1[[#This Row],[Recette guichet ]]*1.1275177)-Tableau1[[#This Row],[Recette guichet ]]</f>
        <v>0</v>
      </c>
      <c r="AK242" s="57"/>
      <c r="AL242" s="56">
        <f t="shared" si="158"/>
        <v>0</v>
      </c>
      <c r="AM242" s="58"/>
      <c r="AN242" s="58"/>
      <c r="AO242" s="58"/>
      <c r="AP242" s="115">
        <f t="shared" si="129"/>
        <v>0</v>
      </c>
      <c r="AQ242" s="69"/>
      <c r="AR242" s="69"/>
      <c r="AS242" s="69"/>
      <c r="AT242" s="69"/>
      <c r="AU242" s="59">
        <f t="shared" si="130"/>
        <v>0</v>
      </c>
      <c r="AV242" s="60">
        <f t="shared" si="131"/>
        <v>0</v>
      </c>
      <c r="AW242" s="58"/>
      <c r="AX242" s="58"/>
      <c r="AY242" s="58"/>
      <c r="AZ242" s="60">
        <f t="shared" si="121"/>
        <v>0</v>
      </c>
      <c r="BA242" s="58"/>
      <c r="BB242" s="58"/>
      <c r="BC242" s="58"/>
      <c r="BD242" s="60">
        <f>SUM(Tableau1[[#This Row],[ticket/carte/abonnement périmé]:[Autres ou non précisé 5]])</f>
        <v>0</v>
      </c>
      <c r="BE242" s="58"/>
      <c r="BF242" s="58"/>
      <c r="BG242" s="58"/>
      <c r="BH242" s="61">
        <f t="shared" si="132"/>
        <v>0</v>
      </c>
      <c r="BI242" s="120"/>
      <c r="BJ242" s="120"/>
      <c r="BK242" s="62">
        <f t="shared" si="133"/>
        <v>0</v>
      </c>
      <c r="BL242" s="120"/>
      <c r="BM242" s="120"/>
      <c r="BN242" s="120"/>
      <c r="BO242" s="120"/>
      <c r="BP242" s="120"/>
      <c r="BQ242" s="63"/>
      <c r="BR242" s="52">
        <f t="shared" si="134"/>
        <v>0</v>
      </c>
      <c r="BS242" s="52">
        <f t="shared" si="135"/>
        <v>0</v>
      </c>
      <c r="BT242" s="61">
        <f t="shared" si="136"/>
        <v>0</v>
      </c>
      <c r="BU242" s="64">
        <f t="shared" si="137"/>
        <v>0</v>
      </c>
      <c r="BV242" s="119">
        <f>SUM(Tableau1[[#This Row],[Achats confiserie]:[Achats boisson]])</f>
        <v>0</v>
      </c>
      <c r="BW242" s="58"/>
      <c r="BX242" s="69"/>
      <c r="BY242" s="58"/>
      <c r="BZ242" s="56">
        <f t="shared" si="138"/>
        <v>0</v>
      </c>
      <c r="CA242" s="66"/>
      <c r="CB242" s="66"/>
      <c r="CC242" s="56">
        <f t="shared" si="139"/>
        <v>0</v>
      </c>
      <c r="CD242" s="55"/>
      <c r="CE242" s="65"/>
      <c r="CF242" s="55"/>
      <c r="CG242" s="55"/>
      <c r="CH242" s="67">
        <f t="shared" si="140"/>
        <v>0</v>
      </c>
      <c r="CI242" s="68">
        <f t="shared" si="156"/>
        <v>0</v>
      </c>
      <c r="CJ242" s="55"/>
      <c r="CK242" s="55"/>
      <c r="CL242" s="55"/>
      <c r="CM242" s="55"/>
      <c r="CN242" s="55"/>
      <c r="CO242" s="68">
        <f t="shared" si="141"/>
        <v>0</v>
      </c>
      <c r="CP242" s="75">
        <f>SUM(Tableau1[[#This Row],[Fourniture eau]:[Energie (non précisé)]])</f>
        <v>0</v>
      </c>
      <c r="CQ242" s="55"/>
      <c r="CR242" s="55"/>
      <c r="CS242" s="55"/>
      <c r="CT242" s="55"/>
      <c r="CU242" s="55"/>
      <c r="CV242" s="55">
        <v>0</v>
      </c>
      <c r="CW242" s="55"/>
      <c r="CX242" s="68">
        <f>SUM(Tableau1[[#This Row],[Sous-traitance]:[Autres ou non précisé 12]])</f>
        <v>0</v>
      </c>
      <c r="CY242" s="65"/>
      <c r="CZ242" s="65"/>
      <c r="DA242" s="65"/>
      <c r="DB242" s="65"/>
      <c r="DC242" s="55"/>
      <c r="DD242" s="68">
        <f t="shared" si="122"/>
        <v>0</v>
      </c>
      <c r="DE242" s="55"/>
      <c r="DF242" s="65"/>
      <c r="DG242" s="65"/>
      <c r="DH242" s="65"/>
      <c r="DI242" s="68">
        <f>SUM(Tableau1[[#This Row],[Entretien et réparation matériel de projection]:[Autres ou non précisé 14]])</f>
        <v>0</v>
      </c>
      <c r="DJ242" s="58"/>
      <c r="DK242" s="58"/>
      <c r="DL242" s="69"/>
      <c r="DM242" s="68">
        <f t="shared" si="142"/>
        <v>0</v>
      </c>
      <c r="DN242" s="58"/>
      <c r="DO242" s="58"/>
      <c r="DP242" s="68">
        <f t="shared" si="143"/>
        <v>0</v>
      </c>
      <c r="DQ242" s="65"/>
      <c r="DR242" s="65"/>
      <c r="DS242" s="68">
        <f t="shared" si="144"/>
        <v>0</v>
      </c>
      <c r="DT242" s="65"/>
      <c r="DU242" s="65"/>
      <c r="DV242" s="65"/>
      <c r="DW242" s="68">
        <f>SUM(Tableau1[[#This Row],[Comission et courtage sur achats]:[Autres ou honoraires
 non précisé ]])</f>
        <v>0</v>
      </c>
      <c r="DX242" s="57"/>
      <c r="DY242" s="57"/>
      <c r="DZ242" s="65"/>
      <c r="EA242" s="65"/>
      <c r="EB242" s="65"/>
      <c r="EC242" s="68">
        <f t="shared" si="145"/>
        <v>0</v>
      </c>
      <c r="ED242" s="69"/>
      <c r="EE242" s="69"/>
      <c r="EF242" s="69"/>
      <c r="EG242" s="69"/>
      <c r="EH242" s="69"/>
      <c r="EI242" s="84">
        <f>SUM(Tableau1[[#This Row],[Transports sur films]:[autres ]])</f>
        <v>0</v>
      </c>
      <c r="EJ242" s="132">
        <v>0</v>
      </c>
      <c r="EK242" s="132"/>
      <c r="EL242" s="68">
        <f t="shared" si="146"/>
        <v>0</v>
      </c>
      <c r="EM242" s="65"/>
      <c r="EN242" s="65">
        <v>0</v>
      </c>
      <c r="EO242" s="65"/>
      <c r="EP242" s="65"/>
      <c r="EQ242" s="65"/>
      <c r="ER242" s="65"/>
      <c r="ES242" s="65"/>
      <c r="ET242" s="68">
        <f t="shared" si="147"/>
        <v>0</v>
      </c>
      <c r="EU242" s="65"/>
      <c r="EV242" s="65"/>
      <c r="EW242" s="65"/>
      <c r="EX242" s="65"/>
      <c r="EY242" s="65"/>
      <c r="EZ242" s="68">
        <f t="shared" si="124"/>
        <v>0</v>
      </c>
      <c r="FA242" s="65"/>
      <c r="FB242" s="65"/>
      <c r="FC242" s="70">
        <f t="shared" si="123"/>
        <v>0</v>
      </c>
      <c r="FD242" s="65"/>
      <c r="FE242" s="71">
        <f t="shared" si="148"/>
        <v>0</v>
      </c>
      <c r="FF242" s="72">
        <f t="shared" si="149"/>
        <v>0</v>
      </c>
      <c r="FG242" s="65"/>
      <c r="FH242" s="65"/>
      <c r="FI242" s="65"/>
      <c r="FJ242" s="56">
        <f t="shared" si="150"/>
        <v>0</v>
      </c>
      <c r="FK242" s="65"/>
      <c r="FL242" s="65"/>
      <c r="FM242" s="65"/>
      <c r="FN242" s="65"/>
      <c r="FO242" s="67">
        <f t="shared" si="151"/>
        <v>0</v>
      </c>
      <c r="FP242" s="57"/>
      <c r="FQ242" s="73"/>
      <c r="FR242" s="73"/>
      <c r="FS242" s="71">
        <f t="shared" si="152"/>
        <v>0</v>
      </c>
      <c r="FT242" s="91"/>
      <c r="FU242" s="91"/>
      <c r="FV242" s="67">
        <f>SUM(Tableau1[[#This Row],[Droits d''auteurs SACEM + cotisations SACEM]:[Autres ou non préciés]])</f>
        <v>0</v>
      </c>
      <c r="FW242" s="75">
        <f t="shared" si="153"/>
        <v>0</v>
      </c>
      <c r="FX242" s="74">
        <v>0</v>
      </c>
      <c r="FY242" s="74"/>
      <c r="FZ242" s="74"/>
      <c r="GA242" s="74"/>
      <c r="GB242" s="71">
        <f t="shared" si="154"/>
        <v>0</v>
      </c>
      <c r="GC242" s="92"/>
      <c r="GD242" s="92"/>
      <c r="GE242" s="67">
        <f t="shared" si="155"/>
        <v>0</v>
      </c>
      <c r="GF242" s="66"/>
      <c r="GG242" s="66"/>
      <c r="GH242" s="66"/>
      <c r="GI242" s="66"/>
      <c r="GJ242" s="77"/>
    </row>
    <row r="243" spans="1:192" ht="18.600000000000001" customHeight="1" x14ac:dyDescent="0.25">
      <c r="A243" s="89"/>
      <c r="B243" s="17"/>
      <c r="C243" s="50"/>
      <c r="D243" s="140"/>
      <c r="E243" s="51"/>
      <c r="F243" s="139">
        <f t="shared" si="159"/>
        <v>1</v>
      </c>
      <c r="G243" s="49"/>
      <c r="H243" s="50"/>
      <c r="I243" s="122"/>
      <c r="J243" s="49"/>
      <c r="K243" s="50"/>
      <c r="L243" s="50"/>
      <c r="M243" s="90"/>
      <c r="N243" s="50"/>
      <c r="O243" s="50"/>
      <c r="P243" s="90"/>
      <c r="Q243" s="52">
        <f t="shared" si="125"/>
        <v>0</v>
      </c>
      <c r="R243" s="52">
        <f t="shared" si="126"/>
        <v>0</v>
      </c>
      <c r="S243" s="53">
        <f t="shared" si="127"/>
        <v>0</v>
      </c>
      <c r="T243" s="54">
        <f t="shared" si="128"/>
        <v>0</v>
      </c>
      <c r="U243" s="115">
        <f>SUM(Tableau1[[#This Row],[Vente confiserie]:[Vente boisson]])</f>
        <v>0</v>
      </c>
      <c r="V243" s="55"/>
      <c r="W243" s="55"/>
      <c r="X243" s="135">
        <f>SUM(Tableau1[[#This Row],[Vente lunette]:[Location lunette]])</f>
        <v>0</v>
      </c>
      <c r="Y243" s="55"/>
      <c r="Z243" s="55"/>
      <c r="AA243" s="55"/>
      <c r="AB243" s="55"/>
      <c r="AC243" s="56">
        <f t="shared" si="157"/>
        <v>0</v>
      </c>
      <c r="AD243" s="57"/>
      <c r="AE243" s="57"/>
      <c r="AF243" s="57"/>
      <c r="AG243" s="57"/>
      <c r="AH243" s="57"/>
      <c r="AI243" s="57"/>
      <c r="AJ243" s="118">
        <f>(Tableau1[[#This Row],[Recette guichet ]]*1.1275177)-Tableau1[[#This Row],[Recette guichet ]]</f>
        <v>0</v>
      </c>
      <c r="AK243" s="57"/>
      <c r="AL243" s="56">
        <f t="shared" si="158"/>
        <v>0</v>
      </c>
      <c r="AM243" s="58"/>
      <c r="AN243" s="58"/>
      <c r="AO243" s="58"/>
      <c r="AP243" s="115">
        <f t="shared" si="129"/>
        <v>0</v>
      </c>
      <c r="AQ243" s="69"/>
      <c r="AR243" s="69"/>
      <c r="AS243" s="69"/>
      <c r="AT243" s="69"/>
      <c r="AU243" s="59">
        <f t="shared" si="130"/>
        <v>0</v>
      </c>
      <c r="AV243" s="60">
        <f t="shared" si="131"/>
        <v>0</v>
      </c>
      <c r="AW243" s="58"/>
      <c r="AX243" s="58"/>
      <c r="AY243" s="58"/>
      <c r="AZ243" s="60">
        <f t="shared" si="121"/>
        <v>0</v>
      </c>
      <c r="BA243" s="58"/>
      <c r="BB243" s="58"/>
      <c r="BC243" s="58"/>
      <c r="BD243" s="60">
        <f>SUM(Tableau1[[#This Row],[ticket/carte/abonnement périmé]:[Autres ou non précisé 5]])</f>
        <v>0</v>
      </c>
      <c r="BE243" s="58"/>
      <c r="BF243" s="58"/>
      <c r="BG243" s="58"/>
      <c r="BH243" s="61">
        <f t="shared" si="132"/>
        <v>0</v>
      </c>
      <c r="BI243" s="120"/>
      <c r="BJ243" s="120"/>
      <c r="BK243" s="62">
        <f t="shared" si="133"/>
        <v>0</v>
      </c>
      <c r="BL243" s="120"/>
      <c r="BM243" s="120"/>
      <c r="BN243" s="120"/>
      <c r="BO243" s="120"/>
      <c r="BP243" s="120"/>
      <c r="BQ243" s="63"/>
      <c r="BR243" s="52">
        <f t="shared" si="134"/>
        <v>0</v>
      </c>
      <c r="BS243" s="52">
        <f t="shared" si="135"/>
        <v>0</v>
      </c>
      <c r="BT243" s="61">
        <f t="shared" si="136"/>
        <v>0</v>
      </c>
      <c r="BU243" s="64">
        <f t="shared" si="137"/>
        <v>0</v>
      </c>
      <c r="BV243" s="119">
        <f>SUM(Tableau1[[#This Row],[Achats confiserie]:[Achats boisson]])</f>
        <v>0</v>
      </c>
      <c r="BW243" s="58"/>
      <c r="BX243" s="69"/>
      <c r="BY243" s="58"/>
      <c r="BZ243" s="56">
        <f t="shared" si="138"/>
        <v>0</v>
      </c>
      <c r="CA243" s="66"/>
      <c r="CB243" s="66"/>
      <c r="CC243" s="56">
        <f t="shared" si="139"/>
        <v>0</v>
      </c>
      <c r="CD243" s="55"/>
      <c r="CE243" s="65"/>
      <c r="CF243" s="55"/>
      <c r="CG243" s="55"/>
      <c r="CH243" s="67">
        <f t="shared" si="140"/>
        <v>0</v>
      </c>
      <c r="CI243" s="68">
        <f t="shared" si="156"/>
        <v>0</v>
      </c>
      <c r="CJ243" s="55"/>
      <c r="CK243" s="55"/>
      <c r="CL243" s="55"/>
      <c r="CM243" s="55"/>
      <c r="CN243" s="55"/>
      <c r="CO243" s="68">
        <f t="shared" si="141"/>
        <v>0</v>
      </c>
      <c r="CP243" s="75">
        <f>SUM(Tableau1[[#This Row],[Fourniture eau]:[Energie (non précisé)]])</f>
        <v>0</v>
      </c>
      <c r="CQ243" s="55"/>
      <c r="CR243" s="55"/>
      <c r="CS243" s="55"/>
      <c r="CT243" s="55"/>
      <c r="CU243" s="55"/>
      <c r="CV243" s="55">
        <v>0</v>
      </c>
      <c r="CW243" s="55"/>
      <c r="CX243" s="68">
        <f>SUM(Tableau1[[#This Row],[Sous-traitance]:[Autres ou non précisé 12]])</f>
        <v>0</v>
      </c>
      <c r="CY243" s="65"/>
      <c r="CZ243" s="65"/>
      <c r="DA243" s="65"/>
      <c r="DB243" s="65"/>
      <c r="DC243" s="55"/>
      <c r="DD243" s="68">
        <f t="shared" si="122"/>
        <v>0</v>
      </c>
      <c r="DE243" s="55"/>
      <c r="DF243" s="65"/>
      <c r="DG243" s="65"/>
      <c r="DH243" s="65"/>
      <c r="DI243" s="68">
        <f>SUM(Tableau1[[#This Row],[Entretien et réparation matériel de projection]:[Autres ou non précisé 14]])</f>
        <v>0</v>
      </c>
      <c r="DJ243" s="58"/>
      <c r="DK243" s="58"/>
      <c r="DL243" s="69"/>
      <c r="DM243" s="68">
        <f t="shared" si="142"/>
        <v>0</v>
      </c>
      <c r="DN243" s="58"/>
      <c r="DO243" s="58"/>
      <c r="DP243" s="68">
        <f t="shared" si="143"/>
        <v>0</v>
      </c>
      <c r="DQ243" s="65"/>
      <c r="DR243" s="65"/>
      <c r="DS243" s="68">
        <f t="shared" si="144"/>
        <v>0</v>
      </c>
      <c r="DT243" s="65"/>
      <c r="DU243" s="65"/>
      <c r="DV243" s="65"/>
      <c r="DW243" s="68">
        <f>SUM(Tableau1[[#This Row],[Comission et courtage sur achats]:[Autres ou honoraires
 non précisé ]])</f>
        <v>0</v>
      </c>
      <c r="DX243" s="57"/>
      <c r="DY243" s="57"/>
      <c r="DZ243" s="65"/>
      <c r="EA243" s="65"/>
      <c r="EB243" s="65"/>
      <c r="EC243" s="68">
        <f t="shared" si="145"/>
        <v>0</v>
      </c>
      <c r="ED243" s="69"/>
      <c r="EE243" s="69"/>
      <c r="EF243" s="69"/>
      <c r="EG243" s="69"/>
      <c r="EH243" s="69"/>
      <c r="EI243" s="84">
        <f>SUM(Tableau1[[#This Row],[Transports sur films]:[autres ]])</f>
        <v>0</v>
      </c>
      <c r="EJ243" s="132">
        <v>0</v>
      </c>
      <c r="EK243" s="132"/>
      <c r="EL243" s="68">
        <f t="shared" si="146"/>
        <v>0</v>
      </c>
      <c r="EM243" s="65"/>
      <c r="EN243" s="65">
        <v>0</v>
      </c>
      <c r="EO243" s="65"/>
      <c r="EP243" s="65"/>
      <c r="EQ243" s="65"/>
      <c r="ER243" s="65"/>
      <c r="ES243" s="65"/>
      <c r="ET243" s="68">
        <f t="shared" si="147"/>
        <v>0</v>
      </c>
      <c r="EU243" s="65"/>
      <c r="EV243" s="65"/>
      <c r="EW243" s="65"/>
      <c r="EX243" s="65"/>
      <c r="EY243" s="65"/>
      <c r="EZ243" s="68">
        <f t="shared" si="124"/>
        <v>0</v>
      </c>
      <c r="FA243" s="65"/>
      <c r="FB243" s="65"/>
      <c r="FC243" s="70">
        <f t="shared" si="123"/>
        <v>0</v>
      </c>
      <c r="FD243" s="65"/>
      <c r="FE243" s="71">
        <f t="shared" si="148"/>
        <v>0</v>
      </c>
      <c r="FF243" s="72">
        <f t="shared" si="149"/>
        <v>0</v>
      </c>
      <c r="FG243" s="65"/>
      <c r="FH243" s="65"/>
      <c r="FI243" s="65"/>
      <c r="FJ243" s="56">
        <f t="shared" si="150"/>
        <v>0</v>
      </c>
      <c r="FK243" s="65"/>
      <c r="FL243" s="65"/>
      <c r="FM243" s="65"/>
      <c r="FN243" s="65"/>
      <c r="FO243" s="67">
        <f t="shared" si="151"/>
        <v>0</v>
      </c>
      <c r="FP243" s="57"/>
      <c r="FQ243" s="73"/>
      <c r="FR243" s="73"/>
      <c r="FS243" s="71">
        <f t="shared" si="152"/>
        <v>0</v>
      </c>
      <c r="FT243" s="91"/>
      <c r="FU243" s="91"/>
      <c r="FV243" s="67">
        <f>SUM(Tableau1[[#This Row],[Droits d''auteurs SACEM + cotisations SACEM]:[Autres ou non préciés]])</f>
        <v>0</v>
      </c>
      <c r="FW243" s="75">
        <f t="shared" si="153"/>
        <v>0</v>
      </c>
      <c r="FX243" s="74">
        <v>0</v>
      </c>
      <c r="FY243" s="74"/>
      <c r="FZ243" s="74"/>
      <c r="GA243" s="74"/>
      <c r="GB243" s="71">
        <f t="shared" si="154"/>
        <v>0</v>
      </c>
      <c r="GC243" s="92"/>
      <c r="GD243" s="92"/>
      <c r="GE243" s="67">
        <f t="shared" si="155"/>
        <v>0</v>
      </c>
      <c r="GF243" s="66"/>
      <c r="GG243" s="66"/>
      <c r="GH243" s="66"/>
      <c r="GI243" s="66"/>
      <c r="GJ243" s="77"/>
    </row>
    <row r="244" spans="1:192" ht="18.600000000000001" customHeight="1" x14ac:dyDescent="0.25">
      <c r="A244" s="89"/>
      <c r="B244" s="17"/>
      <c r="C244" s="50"/>
      <c r="D244" s="140"/>
      <c r="E244" s="51"/>
      <c r="F244" s="139">
        <f t="shared" si="159"/>
        <v>1</v>
      </c>
      <c r="G244" s="49"/>
      <c r="H244" s="50"/>
      <c r="I244" s="122"/>
      <c r="J244" s="49"/>
      <c r="K244" s="50"/>
      <c r="L244" s="50"/>
      <c r="M244" s="90"/>
      <c r="N244" s="50"/>
      <c r="O244" s="50"/>
      <c r="P244" s="90"/>
      <c r="Q244" s="52">
        <f t="shared" si="125"/>
        <v>0</v>
      </c>
      <c r="R244" s="52">
        <f t="shared" si="126"/>
        <v>0</v>
      </c>
      <c r="S244" s="53">
        <f t="shared" si="127"/>
        <v>0</v>
      </c>
      <c r="T244" s="54">
        <f t="shared" si="128"/>
        <v>0</v>
      </c>
      <c r="U244" s="115">
        <f>SUM(Tableau1[[#This Row],[Vente confiserie]:[Vente boisson]])</f>
        <v>0</v>
      </c>
      <c r="V244" s="55"/>
      <c r="W244" s="55"/>
      <c r="X244" s="135">
        <f>SUM(Tableau1[[#This Row],[Vente lunette]:[Location lunette]])</f>
        <v>0</v>
      </c>
      <c r="Y244" s="55"/>
      <c r="Z244" s="55"/>
      <c r="AA244" s="55"/>
      <c r="AB244" s="55"/>
      <c r="AC244" s="56">
        <f t="shared" si="157"/>
        <v>0</v>
      </c>
      <c r="AD244" s="57"/>
      <c r="AE244" s="57"/>
      <c r="AF244" s="57"/>
      <c r="AG244" s="57"/>
      <c r="AH244" s="57"/>
      <c r="AI244" s="57"/>
      <c r="AJ244" s="118">
        <f>(Tableau1[[#This Row],[Recette guichet ]]*1.1275177)-Tableau1[[#This Row],[Recette guichet ]]</f>
        <v>0</v>
      </c>
      <c r="AK244" s="57"/>
      <c r="AL244" s="56">
        <f t="shared" si="158"/>
        <v>0</v>
      </c>
      <c r="AM244" s="58"/>
      <c r="AN244" s="58"/>
      <c r="AO244" s="58"/>
      <c r="AP244" s="115">
        <f t="shared" si="129"/>
        <v>0</v>
      </c>
      <c r="AQ244" s="69"/>
      <c r="AR244" s="69"/>
      <c r="AS244" s="69"/>
      <c r="AT244" s="69"/>
      <c r="AU244" s="59">
        <f t="shared" si="130"/>
        <v>0</v>
      </c>
      <c r="AV244" s="60">
        <f t="shared" si="131"/>
        <v>0</v>
      </c>
      <c r="AW244" s="58"/>
      <c r="AX244" s="58"/>
      <c r="AY244" s="58"/>
      <c r="AZ244" s="60">
        <f t="shared" si="121"/>
        <v>0</v>
      </c>
      <c r="BA244" s="58"/>
      <c r="BB244" s="58"/>
      <c r="BC244" s="58"/>
      <c r="BD244" s="60">
        <f>SUM(Tableau1[[#This Row],[ticket/carte/abonnement périmé]:[Autres ou non précisé 5]])</f>
        <v>0</v>
      </c>
      <c r="BE244" s="58"/>
      <c r="BF244" s="58"/>
      <c r="BG244" s="58"/>
      <c r="BH244" s="61">
        <f t="shared" si="132"/>
        <v>0</v>
      </c>
      <c r="BI244" s="120"/>
      <c r="BJ244" s="120"/>
      <c r="BK244" s="62">
        <f t="shared" si="133"/>
        <v>0</v>
      </c>
      <c r="BL244" s="120"/>
      <c r="BM244" s="120"/>
      <c r="BN244" s="120"/>
      <c r="BO244" s="120"/>
      <c r="BP244" s="120"/>
      <c r="BQ244" s="63"/>
      <c r="BR244" s="52">
        <f t="shared" si="134"/>
        <v>0</v>
      </c>
      <c r="BS244" s="52">
        <f t="shared" si="135"/>
        <v>0</v>
      </c>
      <c r="BT244" s="61">
        <f t="shared" si="136"/>
        <v>0</v>
      </c>
      <c r="BU244" s="64">
        <f t="shared" si="137"/>
        <v>0</v>
      </c>
      <c r="BV244" s="119">
        <f>SUM(Tableau1[[#This Row],[Achats confiserie]:[Achats boisson]])</f>
        <v>0</v>
      </c>
      <c r="BW244" s="58"/>
      <c r="BX244" s="69"/>
      <c r="BY244" s="58"/>
      <c r="BZ244" s="56">
        <f t="shared" si="138"/>
        <v>0</v>
      </c>
      <c r="CA244" s="66"/>
      <c r="CB244" s="66"/>
      <c r="CC244" s="56">
        <f t="shared" si="139"/>
        <v>0</v>
      </c>
      <c r="CD244" s="55"/>
      <c r="CE244" s="65"/>
      <c r="CF244" s="55"/>
      <c r="CG244" s="55"/>
      <c r="CH244" s="67">
        <f t="shared" si="140"/>
        <v>0</v>
      </c>
      <c r="CI244" s="68">
        <f t="shared" si="156"/>
        <v>0</v>
      </c>
      <c r="CJ244" s="55"/>
      <c r="CK244" s="55"/>
      <c r="CL244" s="55"/>
      <c r="CM244" s="55"/>
      <c r="CN244" s="55"/>
      <c r="CO244" s="68">
        <f t="shared" si="141"/>
        <v>0</v>
      </c>
      <c r="CP244" s="75">
        <f>SUM(Tableau1[[#This Row],[Fourniture eau]:[Energie (non précisé)]])</f>
        <v>0</v>
      </c>
      <c r="CQ244" s="55"/>
      <c r="CR244" s="55"/>
      <c r="CS244" s="55"/>
      <c r="CT244" s="55"/>
      <c r="CU244" s="55"/>
      <c r="CV244" s="55">
        <v>0</v>
      </c>
      <c r="CW244" s="55"/>
      <c r="CX244" s="68">
        <f>SUM(Tableau1[[#This Row],[Sous-traitance]:[Autres ou non précisé 12]])</f>
        <v>0</v>
      </c>
      <c r="CY244" s="65"/>
      <c r="CZ244" s="65"/>
      <c r="DA244" s="65"/>
      <c r="DB244" s="65"/>
      <c r="DC244" s="55"/>
      <c r="DD244" s="68">
        <f t="shared" si="122"/>
        <v>0</v>
      </c>
      <c r="DE244" s="55"/>
      <c r="DF244" s="65"/>
      <c r="DG244" s="65"/>
      <c r="DH244" s="65"/>
      <c r="DI244" s="68">
        <f>SUM(Tableau1[[#This Row],[Entretien et réparation matériel de projection]:[Autres ou non précisé 14]])</f>
        <v>0</v>
      </c>
      <c r="DJ244" s="58"/>
      <c r="DK244" s="58"/>
      <c r="DL244" s="69"/>
      <c r="DM244" s="68">
        <f t="shared" si="142"/>
        <v>0</v>
      </c>
      <c r="DN244" s="58"/>
      <c r="DO244" s="58"/>
      <c r="DP244" s="68">
        <f t="shared" si="143"/>
        <v>0</v>
      </c>
      <c r="DQ244" s="65"/>
      <c r="DR244" s="65"/>
      <c r="DS244" s="68">
        <f t="shared" si="144"/>
        <v>0</v>
      </c>
      <c r="DT244" s="65"/>
      <c r="DU244" s="65"/>
      <c r="DV244" s="65"/>
      <c r="DW244" s="68">
        <f>SUM(Tableau1[[#This Row],[Comission et courtage sur achats]:[Autres ou honoraires
 non précisé ]])</f>
        <v>0</v>
      </c>
      <c r="DX244" s="57"/>
      <c r="DY244" s="57"/>
      <c r="DZ244" s="65"/>
      <c r="EA244" s="65"/>
      <c r="EB244" s="65"/>
      <c r="EC244" s="68">
        <f t="shared" si="145"/>
        <v>0</v>
      </c>
      <c r="ED244" s="69"/>
      <c r="EE244" s="69"/>
      <c r="EF244" s="69"/>
      <c r="EG244" s="69"/>
      <c r="EH244" s="69"/>
      <c r="EI244" s="84">
        <f>SUM(Tableau1[[#This Row],[Transports sur films]:[autres ]])</f>
        <v>0</v>
      </c>
      <c r="EJ244" s="132">
        <v>0</v>
      </c>
      <c r="EK244" s="132"/>
      <c r="EL244" s="68">
        <f t="shared" si="146"/>
        <v>0</v>
      </c>
      <c r="EM244" s="65"/>
      <c r="EN244" s="65">
        <v>0</v>
      </c>
      <c r="EO244" s="65"/>
      <c r="EP244" s="65"/>
      <c r="EQ244" s="65"/>
      <c r="ER244" s="65"/>
      <c r="ES244" s="65"/>
      <c r="ET244" s="68">
        <f t="shared" si="147"/>
        <v>0</v>
      </c>
      <c r="EU244" s="65"/>
      <c r="EV244" s="65"/>
      <c r="EW244" s="65"/>
      <c r="EX244" s="65"/>
      <c r="EY244" s="65"/>
      <c r="EZ244" s="68">
        <f t="shared" si="124"/>
        <v>0</v>
      </c>
      <c r="FA244" s="65"/>
      <c r="FB244" s="65"/>
      <c r="FC244" s="70">
        <f t="shared" si="123"/>
        <v>0</v>
      </c>
      <c r="FD244" s="65"/>
      <c r="FE244" s="71">
        <f t="shared" si="148"/>
        <v>0</v>
      </c>
      <c r="FF244" s="72">
        <f t="shared" si="149"/>
        <v>0</v>
      </c>
      <c r="FG244" s="65"/>
      <c r="FH244" s="65"/>
      <c r="FI244" s="65"/>
      <c r="FJ244" s="56">
        <f t="shared" si="150"/>
        <v>0</v>
      </c>
      <c r="FK244" s="65"/>
      <c r="FL244" s="65"/>
      <c r="FM244" s="65"/>
      <c r="FN244" s="65"/>
      <c r="FO244" s="67">
        <f t="shared" si="151"/>
        <v>0</v>
      </c>
      <c r="FP244" s="57"/>
      <c r="FQ244" s="73"/>
      <c r="FR244" s="73"/>
      <c r="FS244" s="71">
        <f t="shared" si="152"/>
        <v>0</v>
      </c>
      <c r="FT244" s="91"/>
      <c r="FU244" s="91"/>
      <c r="FV244" s="67">
        <f>SUM(Tableau1[[#This Row],[Droits d''auteurs SACEM + cotisations SACEM]:[Autres ou non préciés]])</f>
        <v>0</v>
      </c>
      <c r="FW244" s="75">
        <f t="shared" si="153"/>
        <v>0</v>
      </c>
      <c r="FX244" s="74">
        <v>0</v>
      </c>
      <c r="FY244" s="74"/>
      <c r="FZ244" s="74"/>
      <c r="GA244" s="74"/>
      <c r="GB244" s="71">
        <f t="shared" si="154"/>
        <v>0</v>
      </c>
      <c r="GC244" s="92"/>
      <c r="GD244" s="92"/>
      <c r="GE244" s="67">
        <f t="shared" si="155"/>
        <v>0</v>
      </c>
      <c r="GF244" s="66"/>
      <c r="GG244" s="66"/>
      <c r="GH244" s="66"/>
      <c r="GI244" s="66"/>
      <c r="GJ244" s="77"/>
    </row>
    <row r="245" spans="1:192" ht="18.600000000000001" customHeight="1" x14ac:dyDescent="0.25">
      <c r="A245" s="89"/>
      <c r="B245" s="17"/>
      <c r="C245" s="50"/>
      <c r="D245" s="140"/>
      <c r="E245" s="51"/>
      <c r="F245" s="139">
        <f t="shared" si="159"/>
        <v>1</v>
      </c>
      <c r="G245" s="49"/>
      <c r="H245" s="50"/>
      <c r="I245" s="122"/>
      <c r="J245" s="49"/>
      <c r="K245" s="50"/>
      <c r="L245" s="50"/>
      <c r="M245" s="90"/>
      <c r="N245" s="50"/>
      <c r="O245" s="50"/>
      <c r="P245" s="90"/>
      <c r="Q245" s="52">
        <f t="shared" si="125"/>
        <v>0</v>
      </c>
      <c r="R245" s="52">
        <f t="shared" si="126"/>
        <v>0</v>
      </c>
      <c r="S245" s="53">
        <f t="shared" si="127"/>
        <v>0</v>
      </c>
      <c r="T245" s="54">
        <f t="shared" si="128"/>
        <v>0</v>
      </c>
      <c r="U245" s="115">
        <f>SUM(Tableau1[[#This Row],[Vente confiserie]:[Vente boisson]])</f>
        <v>0</v>
      </c>
      <c r="V245" s="55"/>
      <c r="W245" s="55"/>
      <c r="X245" s="135">
        <f>SUM(Tableau1[[#This Row],[Vente lunette]:[Location lunette]])</f>
        <v>0</v>
      </c>
      <c r="Y245" s="55"/>
      <c r="Z245" s="55"/>
      <c r="AA245" s="55"/>
      <c r="AB245" s="55"/>
      <c r="AC245" s="56">
        <f t="shared" si="157"/>
        <v>0</v>
      </c>
      <c r="AD245" s="57"/>
      <c r="AE245" s="57"/>
      <c r="AF245" s="57"/>
      <c r="AG245" s="57"/>
      <c r="AH245" s="57"/>
      <c r="AI245" s="57"/>
      <c r="AJ245" s="118">
        <f>(Tableau1[[#This Row],[Recette guichet ]]*1.1275177)-Tableau1[[#This Row],[Recette guichet ]]</f>
        <v>0</v>
      </c>
      <c r="AK245" s="57"/>
      <c r="AL245" s="56">
        <f t="shared" si="158"/>
        <v>0</v>
      </c>
      <c r="AM245" s="58"/>
      <c r="AN245" s="58"/>
      <c r="AO245" s="58"/>
      <c r="AP245" s="115">
        <f t="shared" si="129"/>
        <v>0</v>
      </c>
      <c r="AQ245" s="69"/>
      <c r="AR245" s="69"/>
      <c r="AS245" s="69"/>
      <c r="AT245" s="69"/>
      <c r="AU245" s="59">
        <f t="shared" si="130"/>
        <v>0</v>
      </c>
      <c r="AV245" s="60">
        <f t="shared" si="131"/>
        <v>0</v>
      </c>
      <c r="AW245" s="58"/>
      <c r="AX245" s="58"/>
      <c r="AY245" s="58"/>
      <c r="AZ245" s="60">
        <f t="shared" si="121"/>
        <v>0</v>
      </c>
      <c r="BA245" s="58"/>
      <c r="BB245" s="58"/>
      <c r="BC245" s="58"/>
      <c r="BD245" s="60">
        <f>SUM(Tableau1[[#This Row],[ticket/carte/abonnement périmé]:[Autres ou non précisé 5]])</f>
        <v>0</v>
      </c>
      <c r="BE245" s="58"/>
      <c r="BF245" s="58"/>
      <c r="BG245" s="58"/>
      <c r="BH245" s="61">
        <f t="shared" si="132"/>
        <v>0</v>
      </c>
      <c r="BI245" s="120"/>
      <c r="BJ245" s="120"/>
      <c r="BK245" s="62">
        <f t="shared" si="133"/>
        <v>0</v>
      </c>
      <c r="BL245" s="120"/>
      <c r="BM245" s="120"/>
      <c r="BN245" s="120"/>
      <c r="BO245" s="120"/>
      <c r="BP245" s="120"/>
      <c r="BQ245" s="63"/>
      <c r="BR245" s="52">
        <f t="shared" si="134"/>
        <v>0</v>
      </c>
      <c r="BS245" s="52">
        <f t="shared" si="135"/>
        <v>0</v>
      </c>
      <c r="BT245" s="61">
        <f t="shared" si="136"/>
        <v>0</v>
      </c>
      <c r="BU245" s="64">
        <f t="shared" si="137"/>
        <v>0</v>
      </c>
      <c r="BV245" s="119">
        <f>SUM(Tableau1[[#This Row],[Achats confiserie]:[Achats boisson]])</f>
        <v>0</v>
      </c>
      <c r="BW245" s="58"/>
      <c r="BX245" s="69"/>
      <c r="BY245" s="58"/>
      <c r="BZ245" s="56">
        <f t="shared" si="138"/>
        <v>0</v>
      </c>
      <c r="CA245" s="66"/>
      <c r="CB245" s="66"/>
      <c r="CC245" s="56">
        <f t="shared" si="139"/>
        <v>0</v>
      </c>
      <c r="CD245" s="55"/>
      <c r="CE245" s="65"/>
      <c r="CF245" s="55"/>
      <c r="CG245" s="55"/>
      <c r="CH245" s="67">
        <f t="shared" si="140"/>
        <v>0</v>
      </c>
      <c r="CI245" s="68">
        <f t="shared" si="156"/>
        <v>0</v>
      </c>
      <c r="CJ245" s="55"/>
      <c r="CK245" s="55"/>
      <c r="CL245" s="55"/>
      <c r="CM245" s="55"/>
      <c r="CN245" s="55"/>
      <c r="CO245" s="68">
        <f t="shared" si="141"/>
        <v>0</v>
      </c>
      <c r="CP245" s="75">
        <f>SUM(Tableau1[[#This Row],[Fourniture eau]:[Energie (non précisé)]])</f>
        <v>0</v>
      </c>
      <c r="CQ245" s="55"/>
      <c r="CR245" s="55"/>
      <c r="CS245" s="55"/>
      <c r="CT245" s="55"/>
      <c r="CU245" s="55"/>
      <c r="CV245" s="55">
        <v>0</v>
      </c>
      <c r="CW245" s="55"/>
      <c r="CX245" s="68">
        <f>SUM(Tableau1[[#This Row],[Sous-traitance]:[Autres ou non précisé 12]])</f>
        <v>0</v>
      </c>
      <c r="CY245" s="65"/>
      <c r="CZ245" s="65"/>
      <c r="DA245" s="65"/>
      <c r="DB245" s="65"/>
      <c r="DC245" s="55"/>
      <c r="DD245" s="68">
        <f t="shared" si="122"/>
        <v>0</v>
      </c>
      <c r="DE245" s="55"/>
      <c r="DF245" s="65"/>
      <c r="DG245" s="65"/>
      <c r="DH245" s="65"/>
      <c r="DI245" s="68">
        <f>SUM(Tableau1[[#This Row],[Entretien et réparation matériel de projection]:[Autres ou non précisé 14]])</f>
        <v>0</v>
      </c>
      <c r="DJ245" s="58"/>
      <c r="DK245" s="58"/>
      <c r="DL245" s="69"/>
      <c r="DM245" s="68">
        <f t="shared" si="142"/>
        <v>0</v>
      </c>
      <c r="DN245" s="58"/>
      <c r="DO245" s="58"/>
      <c r="DP245" s="68">
        <f t="shared" si="143"/>
        <v>0</v>
      </c>
      <c r="DQ245" s="65"/>
      <c r="DR245" s="65"/>
      <c r="DS245" s="68">
        <f t="shared" si="144"/>
        <v>0</v>
      </c>
      <c r="DT245" s="65"/>
      <c r="DU245" s="65"/>
      <c r="DV245" s="65"/>
      <c r="DW245" s="68">
        <f>SUM(Tableau1[[#This Row],[Comission et courtage sur achats]:[Autres ou honoraires
 non précisé ]])</f>
        <v>0</v>
      </c>
      <c r="DX245" s="57"/>
      <c r="DY245" s="57"/>
      <c r="DZ245" s="65"/>
      <c r="EA245" s="65"/>
      <c r="EB245" s="65"/>
      <c r="EC245" s="68">
        <f t="shared" si="145"/>
        <v>0</v>
      </c>
      <c r="ED245" s="69"/>
      <c r="EE245" s="69"/>
      <c r="EF245" s="69"/>
      <c r="EG245" s="69"/>
      <c r="EH245" s="69"/>
      <c r="EI245" s="84">
        <f>SUM(Tableau1[[#This Row],[Transports sur films]:[autres ]])</f>
        <v>0</v>
      </c>
      <c r="EJ245" s="132">
        <v>0</v>
      </c>
      <c r="EK245" s="132"/>
      <c r="EL245" s="68">
        <f t="shared" si="146"/>
        <v>0</v>
      </c>
      <c r="EM245" s="65"/>
      <c r="EN245" s="65">
        <v>0</v>
      </c>
      <c r="EO245" s="65"/>
      <c r="EP245" s="65"/>
      <c r="EQ245" s="65"/>
      <c r="ER245" s="65"/>
      <c r="ES245" s="65"/>
      <c r="ET245" s="68">
        <f t="shared" si="147"/>
        <v>0</v>
      </c>
      <c r="EU245" s="65"/>
      <c r="EV245" s="65"/>
      <c r="EW245" s="65"/>
      <c r="EX245" s="65"/>
      <c r="EY245" s="65"/>
      <c r="EZ245" s="68">
        <f t="shared" si="124"/>
        <v>0</v>
      </c>
      <c r="FA245" s="65"/>
      <c r="FB245" s="65"/>
      <c r="FC245" s="70">
        <f t="shared" si="123"/>
        <v>0</v>
      </c>
      <c r="FD245" s="65"/>
      <c r="FE245" s="71">
        <f t="shared" si="148"/>
        <v>0</v>
      </c>
      <c r="FF245" s="72">
        <f t="shared" si="149"/>
        <v>0</v>
      </c>
      <c r="FG245" s="65"/>
      <c r="FH245" s="65"/>
      <c r="FI245" s="65"/>
      <c r="FJ245" s="56">
        <f t="shared" si="150"/>
        <v>0</v>
      </c>
      <c r="FK245" s="65"/>
      <c r="FL245" s="65"/>
      <c r="FM245" s="65"/>
      <c r="FN245" s="65"/>
      <c r="FO245" s="67">
        <f t="shared" si="151"/>
        <v>0</v>
      </c>
      <c r="FP245" s="57"/>
      <c r="FQ245" s="73"/>
      <c r="FR245" s="73"/>
      <c r="FS245" s="71">
        <f t="shared" si="152"/>
        <v>0</v>
      </c>
      <c r="FT245" s="91"/>
      <c r="FU245" s="91"/>
      <c r="FV245" s="67">
        <f>SUM(Tableau1[[#This Row],[Droits d''auteurs SACEM + cotisations SACEM]:[Autres ou non préciés]])</f>
        <v>0</v>
      </c>
      <c r="FW245" s="75">
        <f t="shared" si="153"/>
        <v>0</v>
      </c>
      <c r="FX245" s="74">
        <v>0</v>
      </c>
      <c r="FY245" s="74"/>
      <c r="FZ245" s="74"/>
      <c r="GA245" s="74"/>
      <c r="GB245" s="71">
        <f t="shared" si="154"/>
        <v>0</v>
      </c>
      <c r="GC245" s="92"/>
      <c r="GD245" s="92"/>
      <c r="GE245" s="67">
        <f t="shared" si="155"/>
        <v>0</v>
      </c>
      <c r="GF245" s="66"/>
      <c r="GG245" s="66"/>
      <c r="GH245" s="66"/>
      <c r="GI245" s="66"/>
      <c r="GJ245" s="77"/>
    </row>
    <row r="246" spans="1:192" ht="18.600000000000001" customHeight="1" x14ac:dyDescent="0.25">
      <c r="A246" s="89"/>
      <c r="B246" s="17"/>
      <c r="C246" s="50"/>
      <c r="D246" s="140"/>
      <c r="E246" s="51"/>
      <c r="F246" s="139">
        <f t="shared" si="159"/>
        <v>1</v>
      </c>
      <c r="G246" s="49"/>
      <c r="H246" s="50"/>
      <c r="I246" s="122"/>
      <c r="J246" s="49"/>
      <c r="K246" s="50"/>
      <c r="L246" s="50"/>
      <c r="M246" s="90"/>
      <c r="N246" s="50"/>
      <c r="O246" s="50"/>
      <c r="P246" s="90"/>
      <c r="Q246" s="52">
        <f t="shared" si="125"/>
        <v>0</v>
      </c>
      <c r="R246" s="52">
        <f t="shared" si="126"/>
        <v>0</v>
      </c>
      <c r="S246" s="53">
        <f t="shared" si="127"/>
        <v>0</v>
      </c>
      <c r="T246" s="54">
        <f t="shared" si="128"/>
        <v>0</v>
      </c>
      <c r="U246" s="115">
        <f>SUM(Tableau1[[#This Row],[Vente confiserie]:[Vente boisson]])</f>
        <v>0</v>
      </c>
      <c r="V246" s="55"/>
      <c r="W246" s="55"/>
      <c r="X246" s="135">
        <f>SUM(Tableau1[[#This Row],[Vente lunette]:[Location lunette]])</f>
        <v>0</v>
      </c>
      <c r="Y246" s="55"/>
      <c r="Z246" s="55"/>
      <c r="AA246" s="55"/>
      <c r="AB246" s="55"/>
      <c r="AC246" s="56">
        <f t="shared" si="157"/>
        <v>0</v>
      </c>
      <c r="AD246" s="57"/>
      <c r="AE246" s="57"/>
      <c r="AF246" s="57"/>
      <c r="AG246" s="57"/>
      <c r="AH246" s="57"/>
      <c r="AI246" s="57"/>
      <c r="AJ246" s="118">
        <f>(Tableau1[[#This Row],[Recette guichet ]]*1.1275177)-Tableau1[[#This Row],[Recette guichet ]]</f>
        <v>0</v>
      </c>
      <c r="AK246" s="57"/>
      <c r="AL246" s="56">
        <f t="shared" si="158"/>
        <v>0</v>
      </c>
      <c r="AM246" s="58"/>
      <c r="AN246" s="58"/>
      <c r="AO246" s="58"/>
      <c r="AP246" s="115">
        <f t="shared" si="129"/>
        <v>0</v>
      </c>
      <c r="AQ246" s="69"/>
      <c r="AR246" s="69"/>
      <c r="AS246" s="69"/>
      <c r="AT246" s="69"/>
      <c r="AU246" s="59">
        <f t="shared" si="130"/>
        <v>0</v>
      </c>
      <c r="AV246" s="60">
        <f t="shared" si="131"/>
        <v>0</v>
      </c>
      <c r="AW246" s="58"/>
      <c r="AX246" s="58"/>
      <c r="AY246" s="58"/>
      <c r="AZ246" s="60">
        <f t="shared" si="121"/>
        <v>0</v>
      </c>
      <c r="BA246" s="58"/>
      <c r="BB246" s="58"/>
      <c r="BC246" s="58"/>
      <c r="BD246" s="60">
        <f>SUM(Tableau1[[#This Row],[ticket/carte/abonnement périmé]:[Autres ou non précisé 5]])</f>
        <v>0</v>
      </c>
      <c r="BE246" s="58"/>
      <c r="BF246" s="58"/>
      <c r="BG246" s="58"/>
      <c r="BH246" s="61">
        <f t="shared" si="132"/>
        <v>0</v>
      </c>
      <c r="BI246" s="120"/>
      <c r="BJ246" s="120"/>
      <c r="BK246" s="62">
        <f t="shared" si="133"/>
        <v>0</v>
      </c>
      <c r="BL246" s="120"/>
      <c r="BM246" s="120"/>
      <c r="BN246" s="120"/>
      <c r="BO246" s="120"/>
      <c r="BP246" s="120"/>
      <c r="BQ246" s="63"/>
      <c r="BR246" s="52">
        <f t="shared" si="134"/>
        <v>0</v>
      </c>
      <c r="BS246" s="52">
        <f t="shared" si="135"/>
        <v>0</v>
      </c>
      <c r="BT246" s="61">
        <f t="shared" si="136"/>
        <v>0</v>
      </c>
      <c r="BU246" s="64">
        <f t="shared" si="137"/>
        <v>0</v>
      </c>
      <c r="BV246" s="119">
        <f>SUM(Tableau1[[#This Row],[Achats confiserie]:[Achats boisson]])</f>
        <v>0</v>
      </c>
      <c r="BW246" s="58"/>
      <c r="BX246" s="69"/>
      <c r="BY246" s="58"/>
      <c r="BZ246" s="56">
        <f t="shared" si="138"/>
        <v>0</v>
      </c>
      <c r="CA246" s="66"/>
      <c r="CB246" s="66"/>
      <c r="CC246" s="56">
        <f t="shared" si="139"/>
        <v>0</v>
      </c>
      <c r="CD246" s="55"/>
      <c r="CE246" s="65"/>
      <c r="CF246" s="55"/>
      <c r="CG246" s="55"/>
      <c r="CH246" s="67">
        <f t="shared" si="140"/>
        <v>0</v>
      </c>
      <c r="CI246" s="68">
        <f t="shared" si="156"/>
        <v>0</v>
      </c>
      <c r="CJ246" s="55"/>
      <c r="CK246" s="55"/>
      <c r="CL246" s="55"/>
      <c r="CM246" s="55"/>
      <c r="CN246" s="55"/>
      <c r="CO246" s="68">
        <f t="shared" si="141"/>
        <v>0</v>
      </c>
      <c r="CP246" s="75">
        <f>SUM(Tableau1[[#This Row],[Fourniture eau]:[Energie (non précisé)]])</f>
        <v>0</v>
      </c>
      <c r="CQ246" s="55"/>
      <c r="CR246" s="55"/>
      <c r="CS246" s="55"/>
      <c r="CT246" s="55"/>
      <c r="CU246" s="55"/>
      <c r="CV246" s="55">
        <v>0</v>
      </c>
      <c r="CW246" s="55"/>
      <c r="CX246" s="68">
        <f>SUM(Tableau1[[#This Row],[Sous-traitance]:[Autres ou non précisé 12]])</f>
        <v>0</v>
      </c>
      <c r="CY246" s="65"/>
      <c r="CZ246" s="65"/>
      <c r="DA246" s="65"/>
      <c r="DB246" s="65"/>
      <c r="DC246" s="55"/>
      <c r="DD246" s="68">
        <f t="shared" si="122"/>
        <v>0</v>
      </c>
      <c r="DE246" s="55"/>
      <c r="DF246" s="65"/>
      <c r="DG246" s="65"/>
      <c r="DH246" s="65"/>
      <c r="DI246" s="68">
        <f>SUM(Tableau1[[#This Row],[Entretien et réparation matériel de projection]:[Autres ou non précisé 14]])</f>
        <v>0</v>
      </c>
      <c r="DJ246" s="58"/>
      <c r="DK246" s="58"/>
      <c r="DL246" s="69"/>
      <c r="DM246" s="68">
        <f t="shared" si="142"/>
        <v>0</v>
      </c>
      <c r="DN246" s="58"/>
      <c r="DO246" s="58"/>
      <c r="DP246" s="68">
        <f t="shared" si="143"/>
        <v>0</v>
      </c>
      <c r="DQ246" s="65"/>
      <c r="DR246" s="65"/>
      <c r="DS246" s="68">
        <f t="shared" si="144"/>
        <v>0</v>
      </c>
      <c r="DT246" s="65"/>
      <c r="DU246" s="65"/>
      <c r="DV246" s="65"/>
      <c r="DW246" s="68">
        <f>SUM(Tableau1[[#This Row],[Comission et courtage sur achats]:[Autres ou honoraires
 non précisé ]])</f>
        <v>0</v>
      </c>
      <c r="DX246" s="57"/>
      <c r="DY246" s="57"/>
      <c r="DZ246" s="65"/>
      <c r="EA246" s="65"/>
      <c r="EB246" s="65"/>
      <c r="EC246" s="68">
        <f t="shared" si="145"/>
        <v>0</v>
      </c>
      <c r="ED246" s="69"/>
      <c r="EE246" s="69"/>
      <c r="EF246" s="69"/>
      <c r="EG246" s="69"/>
      <c r="EH246" s="69"/>
      <c r="EI246" s="84">
        <f>SUM(Tableau1[[#This Row],[Transports sur films]:[autres ]])</f>
        <v>0</v>
      </c>
      <c r="EJ246" s="132">
        <v>0</v>
      </c>
      <c r="EK246" s="132"/>
      <c r="EL246" s="68">
        <f t="shared" si="146"/>
        <v>0</v>
      </c>
      <c r="EM246" s="65"/>
      <c r="EN246" s="65">
        <v>0</v>
      </c>
      <c r="EO246" s="65"/>
      <c r="EP246" s="65"/>
      <c r="EQ246" s="65"/>
      <c r="ER246" s="65"/>
      <c r="ES246" s="65"/>
      <c r="ET246" s="68">
        <f t="shared" si="147"/>
        <v>0</v>
      </c>
      <c r="EU246" s="65"/>
      <c r="EV246" s="65"/>
      <c r="EW246" s="65"/>
      <c r="EX246" s="65"/>
      <c r="EY246" s="65"/>
      <c r="EZ246" s="68">
        <f t="shared" si="124"/>
        <v>0</v>
      </c>
      <c r="FA246" s="65"/>
      <c r="FB246" s="65"/>
      <c r="FC246" s="70">
        <f t="shared" si="123"/>
        <v>0</v>
      </c>
      <c r="FD246" s="65"/>
      <c r="FE246" s="71">
        <f t="shared" si="148"/>
        <v>0</v>
      </c>
      <c r="FF246" s="72">
        <f t="shared" si="149"/>
        <v>0</v>
      </c>
      <c r="FG246" s="65"/>
      <c r="FH246" s="65"/>
      <c r="FI246" s="65"/>
      <c r="FJ246" s="56">
        <f t="shared" si="150"/>
        <v>0</v>
      </c>
      <c r="FK246" s="65"/>
      <c r="FL246" s="65"/>
      <c r="FM246" s="65"/>
      <c r="FN246" s="65"/>
      <c r="FO246" s="67">
        <f t="shared" si="151"/>
        <v>0</v>
      </c>
      <c r="FP246" s="57"/>
      <c r="FQ246" s="73"/>
      <c r="FR246" s="73"/>
      <c r="FS246" s="71">
        <f t="shared" si="152"/>
        <v>0</v>
      </c>
      <c r="FT246" s="91"/>
      <c r="FU246" s="91"/>
      <c r="FV246" s="67">
        <f>SUM(Tableau1[[#This Row],[Droits d''auteurs SACEM + cotisations SACEM]:[Autres ou non préciés]])</f>
        <v>0</v>
      </c>
      <c r="FW246" s="75">
        <f t="shared" si="153"/>
        <v>0</v>
      </c>
      <c r="FX246" s="74">
        <v>0</v>
      </c>
      <c r="FY246" s="74"/>
      <c r="FZ246" s="74"/>
      <c r="GA246" s="74"/>
      <c r="GB246" s="71">
        <f t="shared" si="154"/>
        <v>0</v>
      </c>
      <c r="GC246" s="92"/>
      <c r="GD246" s="92"/>
      <c r="GE246" s="67">
        <f t="shared" si="155"/>
        <v>0</v>
      </c>
      <c r="GF246" s="66"/>
      <c r="GG246" s="66"/>
      <c r="GH246" s="66"/>
      <c r="GI246" s="66"/>
      <c r="GJ246" s="77"/>
    </row>
    <row r="247" spans="1:192" ht="18.600000000000001" customHeight="1" x14ac:dyDescent="0.25">
      <c r="A247" s="89"/>
      <c r="B247" s="17"/>
      <c r="C247" s="50"/>
      <c r="D247" s="140"/>
      <c r="E247" s="51"/>
      <c r="F247" s="139">
        <f t="shared" si="159"/>
        <v>1</v>
      </c>
      <c r="G247" s="49"/>
      <c r="H247" s="50"/>
      <c r="I247" s="122"/>
      <c r="J247" s="49"/>
      <c r="K247" s="50"/>
      <c r="L247" s="50"/>
      <c r="M247" s="90"/>
      <c r="N247" s="50"/>
      <c r="O247" s="50"/>
      <c r="P247" s="90"/>
      <c r="Q247" s="52">
        <f t="shared" si="125"/>
        <v>0</v>
      </c>
      <c r="R247" s="52">
        <f t="shared" si="126"/>
        <v>0</v>
      </c>
      <c r="S247" s="53">
        <f t="shared" si="127"/>
        <v>0</v>
      </c>
      <c r="T247" s="54">
        <f t="shared" si="128"/>
        <v>0</v>
      </c>
      <c r="U247" s="115">
        <f>SUM(Tableau1[[#This Row],[Vente confiserie]:[Vente boisson]])</f>
        <v>0</v>
      </c>
      <c r="V247" s="55"/>
      <c r="W247" s="55"/>
      <c r="X247" s="135">
        <f>SUM(Tableau1[[#This Row],[Vente lunette]:[Location lunette]])</f>
        <v>0</v>
      </c>
      <c r="Y247" s="55"/>
      <c r="Z247" s="55"/>
      <c r="AA247" s="55"/>
      <c r="AB247" s="55"/>
      <c r="AC247" s="56">
        <f t="shared" si="157"/>
        <v>0</v>
      </c>
      <c r="AD247" s="57"/>
      <c r="AE247" s="57"/>
      <c r="AF247" s="57"/>
      <c r="AG247" s="57"/>
      <c r="AH247" s="57"/>
      <c r="AI247" s="57"/>
      <c r="AJ247" s="118">
        <f>(Tableau1[[#This Row],[Recette guichet ]]*1.1275177)-Tableau1[[#This Row],[Recette guichet ]]</f>
        <v>0</v>
      </c>
      <c r="AK247" s="57"/>
      <c r="AL247" s="56">
        <f t="shared" si="158"/>
        <v>0</v>
      </c>
      <c r="AM247" s="58"/>
      <c r="AN247" s="58"/>
      <c r="AO247" s="58"/>
      <c r="AP247" s="115">
        <f t="shared" si="129"/>
        <v>0</v>
      </c>
      <c r="AQ247" s="69"/>
      <c r="AR247" s="69"/>
      <c r="AS247" s="69"/>
      <c r="AT247" s="69"/>
      <c r="AU247" s="59">
        <f t="shared" si="130"/>
        <v>0</v>
      </c>
      <c r="AV247" s="60">
        <f t="shared" si="131"/>
        <v>0</v>
      </c>
      <c r="AW247" s="58"/>
      <c r="AX247" s="58"/>
      <c r="AY247" s="58"/>
      <c r="AZ247" s="60">
        <f t="shared" si="121"/>
        <v>0</v>
      </c>
      <c r="BA247" s="58"/>
      <c r="BB247" s="58"/>
      <c r="BC247" s="58"/>
      <c r="BD247" s="60">
        <f>SUM(Tableau1[[#This Row],[ticket/carte/abonnement périmé]:[Autres ou non précisé 5]])</f>
        <v>0</v>
      </c>
      <c r="BE247" s="58"/>
      <c r="BF247" s="58"/>
      <c r="BG247" s="58"/>
      <c r="BH247" s="61">
        <f t="shared" si="132"/>
        <v>0</v>
      </c>
      <c r="BI247" s="120"/>
      <c r="BJ247" s="120"/>
      <c r="BK247" s="62">
        <f t="shared" si="133"/>
        <v>0</v>
      </c>
      <c r="BL247" s="120"/>
      <c r="BM247" s="120"/>
      <c r="BN247" s="120"/>
      <c r="BO247" s="120"/>
      <c r="BP247" s="120"/>
      <c r="BQ247" s="63"/>
      <c r="BR247" s="52">
        <f t="shared" si="134"/>
        <v>0</v>
      </c>
      <c r="BS247" s="52">
        <f t="shared" si="135"/>
        <v>0</v>
      </c>
      <c r="BT247" s="61">
        <f t="shared" si="136"/>
        <v>0</v>
      </c>
      <c r="BU247" s="64">
        <f t="shared" si="137"/>
        <v>0</v>
      </c>
      <c r="BV247" s="119">
        <f>SUM(Tableau1[[#This Row],[Achats confiserie]:[Achats boisson]])</f>
        <v>0</v>
      </c>
      <c r="BW247" s="58"/>
      <c r="BX247" s="69"/>
      <c r="BY247" s="58"/>
      <c r="BZ247" s="56">
        <f t="shared" si="138"/>
        <v>0</v>
      </c>
      <c r="CA247" s="66"/>
      <c r="CB247" s="66"/>
      <c r="CC247" s="56">
        <f t="shared" si="139"/>
        <v>0</v>
      </c>
      <c r="CD247" s="55"/>
      <c r="CE247" s="65"/>
      <c r="CF247" s="55"/>
      <c r="CG247" s="55"/>
      <c r="CH247" s="67">
        <f t="shared" si="140"/>
        <v>0</v>
      </c>
      <c r="CI247" s="68">
        <f t="shared" si="156"/>
        <v>0</v>
      </c>
      <c r="CJ247" s="55"/>
      <c r="CK247" s="55"/>
      <c r="CL247" s="55"/>
      <c r="CM247" s="55"/>
      <c r="CN247" s="55"/>
      <c r="CO247" s="68">
        <f t="shared" si="141"/>
        <v>0</v>
      </c>
      <c r="CP247" s="75">
        <f>SUM(Tableau1[[#This Row],[Fourniture eau]:[Energie (non précisé)]])</f>
        <v>0</v>
      </c>
      <c r="CQ247" s="55"/>
      <c r="CR247" s="55"/>
      <c r="CS247" s="55"/>
      <c r="CT247" s="55"/>
      <c r="CU247" s="55"/>
      <c r="CV247" s="55">
        <v>0</v>
      </c>
      <c r="CW247" s="55"/>
      <c r="CX247" s="68">
        <f>SUM(Tableau1[[#This Row],[Sous-traitance]:[Autres ou non précisé 12]])</f>
        <v>0</v>
      </c>
      <c r="CY247" s="65"/>
      <c r="CZ247" s="65"/>
      <c r="DA247" s="65"/>
      <c r="DB247" s="65"/>
      <c r="DC247" s="55"/>
      <c r="DD247" s="68">
        <f t="shared" si="122"/>
        <v>0</v>
      </c>
      <c r="DE247" s="55"/>
      <c r="DF247" s="65"/>
      <c r="DG247" s="65"/>
      <c r="DH247" s="65"/>
      <c r="DI247" s="68">
        <f>SUM(Tableau1[[#This Row],[Entretien et réparation matériel de projection]:[Autres ou non précisé 14]])</f>
        <v>0</v>
      </c>
      <c r="DJ247" s="58"/>
      <c r="DK247" s="58"/>
      <c r="DL247" s="69"/>
      <c r="DM247" s="68">
        <f t="shared" si="142"/>
        <v>0</v>
      </c>
      <c r="DN247" s="58"/>
      <c r="DO247" s="58"/>
      <c r="DP247" s="68">
        <f t="shared" si="143"/>
        <v>0</v>
      </c>
      <c r="DQ247" s="65"/>
      <c r="DR247" s="65"/>
      <c r="DS247" s="68">
        <f t="shared" si="144"/>
        <v>0</v>
      </c>
      <c r="DT247" s="65"/>
      <c r="DU247" s="65"/>
      <c r="DV247" s="65"/>
      <c r="DW247" s="68">
        <f>SUM(Tableau1[[#This Row],[Comission et courtage sur achats]:[Autres ou honoraires
 non précisé ]])</f>
        <v>0</v>
      </c>
      <c r="DX247" s="57"/>
      <c r="DY247" s="57"/>
      <c r="DZ247" s="65"/>
      <c r="EA247" s="65"/>
      <c r="EB247" s="65"/>
      <c r="EC247" s="68">
        <f t="shared" si="145"/>
        <v>0</v>
      </c>
      <c r="ED247" s="69"/>
      <c r="EE247" s="69"/>
      <c r="EF247" s="69"/>
      <c r="EG247" s="69"/>
      <c r="EH247" s="69"/>
      <c r="EI247" s="84">
        <f>SUM(Tableau1[[#This Row],[Transports sur films]:[autres ]])</f>
        <v>0</v>
      </c>
      <c r="EJ247" s="132">
        <v>0</v>
      </c>
      <c r="EK247" s="132"/>
      <c r="EL247" s="68">
        <f t="shared" si="146"/>
        <v>0</v>
      </c>
      <c r="EM247" s="65"/>
      <c r="EN247" s="65">
        <v>0</v>
      </c>
      <c r="EO247" s="65"/>
      <c r="EP247" s="65"/>
      <c r="EQ247" s="65"/>
      <c r="ER247" s="65"/>
      <c r="ES247" s="65"/>
      <c r="ET247" s="68">
        <f t="shared" si="147"/>
        <v>0</v>
      </c>
      <c r="EU247" s="65"/>
      <c r="EV247" s="65"/>
      <c r="EW247" s="65"/>
      <c r="EX247" s="65"/>
      <c r="EY247" s="65"/>
      <c r="EZ247" s="68">
        <f t="shared" si="124"/>
        <v>0</v>
      </c>
      <c r="FA247" s="65"/>
      <c r="FB247" s="65"/>
      <c r="FC247" s="70">
        <f t="shared" si="123"/>
        <v>0</v>
      </c>
      <c r="FD247" s="65"/>
      <c r="FE247" s="71">
        <f t="shared" si="148"/>
        <v>0</v>
      </c>
      <c r="FF247" s="72">
        <f t="shared" si="149"/>
        <v>0</v>
      </c>
      <c r="FG247" s="65"/>
      <c r="FH247" s="65"/>
      <c r="FI247" s="65"/>
      <c r="FJ247" s="56">
        <f t="shared" si="150"/>
        <v>0</v>
      </c>
      <c r="FK247" s="65"/>
      <c r="FL247" s="65"/>
      <c r="FM247" s="65"/>
      <c r="FN247" s="65"/>
      <c r="FO247" s="67">
        <f t="shared" si="151"/>
        <v>0</v>
      </c>
      <c r="FP247" s="57"/>
      <c r="FQ247" s="73"/>
      <c r="FR247" s="73"/>
      <c r="FS247" s="71">
        <f t="shared" si="152"/>
        <v>0</v>
      </c>
      <c r="FT247" s="91"/>
      <c r="FU247" s="91"/>
      <c r="FV247" s="67">
        <f>SUM(Tableau1[[#This Row],[Droits d''auteurs SACEM + cotisations SACEM]:[Autres ou non préciés]])</f>
        <v>0</v>
      </c>
      <c r="FW247" s="75">
        <f t="shared" si="153"/>
        <v>0</v>
      </c>
      <c r="FX247" s="74">
        <v>0</v>
      </c>
      <c r="FY247" s="74"/>
      <c r="FZ247" s="74"/>
      <c r="GA247" s="74"/>
      <c r="GB247" s="71">
        <f t="shared" si="154"/>
        <v>0</v>
      </c>
      <c r="GC247" s="92"/>
      <c r="GD247" s="92"/>
      <c r="GE247" s="67">
        <f t="shared" si="155"/>
        <v>0</v>
      </c>
      <c r="GF247" s="66"/>
      <c r="GG247" s="66"/>
      <c r="GH247" s="66"/>
      <c r="GI247" s="66"/>
      <c r="GJ247" s="77"/>
    </row>
    <row r="248" spans="1:192" ht="18.600000000000001" customHeight="1" x14ac:dyDescent="0.25">
      <c r="A248" s="89"/>
      <c r="B248" s="17"/>
      <c r="C248" s="50"/>
      <c r="D248" s="140"/>
      <c r="E248" s="51"/>
      <c r="F248" s="139">
        <f t="shared" si="159"/>
        <v>1</v>
      </c>
      <c r="G248" s="49"/>
      <c r="H248" s="50"/>
      <c r="I248" s="122"/>
      <c r="J248" s="49"/>
      <c r="K248" s="50"/>
      <c r="L248" s="50"/>
      <c r="M248" s="90"/>
      <c r="N248" s="50"/>
      <c r="O248" s="50"/>
      <c r="P248" s="90"/>
      <c r="Q248" s="52">
        <f t="shared" si="125"/>
        <v>0</v>
      </c>
      <c r="R248" s="52">
        <f t="shared" si="126"/>
        <v>0</v>
      </c>
      <c r="S248" s="53">
        <f t="shared" si="127"/>
        <v>0</v>
      </c>
      <c r="T248" s="54">
        <f t="shared" si="128"/>
        <v>0</v>
      </c>
      <c r="U248" s="115">
        <f>SUM(Tableau1[[#This Row],[Vente confiserie]:[Vente boisson]])</f>
        <v>0</v>
      </c>
      <c r="V248" s="55"/>
      <c r="W248" s="55"/>
      <c r="X248" s="135">
        <f>SUM(Tableau1[[#This Row],[Vente lunette]:[Location lunette]])</f>
        <v>0</v>
      </c>
      <c r="Y248" s="55"/>
      <c r="Z248" s="55"/>
      <c r="AA248" s="55"/>
      <c r="AB248" s="55"/>
      <c r="AC248" s="56">
        <f t="shared" si="157"/>
        <v>0</v>
      </c>
      <c r="AD248" s="57"/>
      <c r="AE248" s="57"/>
      <c r="AF248" s="57"/>
      <c r="AG248" s="57"/>
      <c r="AH248" s="57"/>
      <c r="AI248" s="57"/>
      <c r="AJ248" s="118">
        <f>(Tableau1[[#This Row],[Recette guichet ]]*1.1275177)-Tableau1[[#This Row],[Recette guichet ]]</f>
        <v>0</v>
      </c>
      <c r="AK248" s="57"/>
      <c r="AL248" s="56">
        <f t="shared" si="158"/>
        <v>0</v>
      </c>
      <c r="AM248" s="58"/>
      <c r="AN248" s="58"/>
      <c r="AO248" s="58"/>
      <c r="AP248" s="115">
        <f t="shared" si="129"/>
        <v>0</v>
      </c>
      <c r="AQ248" s="69"/>
      <c r="AR248" s="69"/>
      <c r="AS248" s="69"/>
      <c r="AT248" s="69"/>
      <c r="AU248" s="59">
        <f t="shared" si="130"/>
        <v>0</v>
      </c>
      <c r="AV248" s="60">
        <f t="shared" si="131"/>
        <v>0</v>
      </c>
      <c r="AW248" s="58"/>
      <c r="AX248" s="58"/>
      <c r="AY248" s="58"/>
      <c r="AZ248" s="60">
        <f t="shared" ref="AZ248:AZ311" si="160">SUM(BA248:BC248)</f>
        <v>0</v>
      </c>
      <c r="BA248" s="58"/>
      <c r="BB248" s="58"/>
      <c r="BC248" s="58"/>
      <c r="BD248" s="60">
        <f>SUM(Tableau1[[#This Row],[ticket/carte/abonnement périmé]:[Autres ou non précisé 5]])</f>
        <v>0</v>
      </c>
      <c r="BE248" s="58"/>
      <c r="BF248" s="58"/>
      <c r="BG248" s="58"/>
      <c r="BH248" s="61">
        <f t="shared" si="132"/>
        <v>0</v>
      </c>
      <c r="BI248" s="120"/>
      <c r="BJ248" s="120"/>
      <c r="BK248" s="62">
        <f t="shared" si="133"/>
        <v>0</v>
      </c>
      <c r="BL248" s="120"/>
      <c r="BM248" s="120"/>
      <c r="BN248" s="120"/>
      <c r="BO248" s="120"/>
      <c r="BP248" s="120"/>
      <c r="BQ248" s="63"/>
      <c r="BR248" s="52">
        <f t="shared" si="134"/>
        <v>0</v>
      </c>
      <c r="BS248" s="52">
        <f t="shared" si="135"/>
        <v>0</v>
      </c>
      <c r="BT248" s="61">
        <f t="shared" si="136"/>
        <v>0</v>
      </c>
      <c r="BU248" s="64">
        <f t="shared" si="137"/>
        <v>0</v>
      </c>
      <c r="BV248" s="119">
        <f>SUM(Tableau1[[#This Row],[Achats confiserie]:[Achats boisson]])</f>
        <v>0</v>
      </c>
      <c r="BW248" s="58"/>
      <c r="BX248" s="69"/>
      <c r="BY248" s="58"/>
      <c r="BZ248" s="56">
        <f t="shared" si="138"/>
        <v>0</v>
      </c>
      <c r="CA248" s="66"/>
      <c r="CB248" s="66"/>
      <c r="CC248" s="56">
        <f t="shared" si="139"/>
        <v>0</v>
      </c>
      <c r="CD248" s="55"/>
      <c r="CE248" s="65"/>
      <c r="CF248" s="55"/>
      <c r="CG248" s="55"/>
      <c r="CH248" s="67">
        <f t="shared" si="140"/>
        <v>0</v>
      </c>
      <c r="CI248" s="68">
        <f t="shared" si="156"/>
        <v>0</v>
      </c>
      <c r="CJ248" s="55"/>
      <c r="CK248" s="55"/>
      <c r="CL248" s="55"/>
      <c r="CM248" s="55"/>
      <c r="CN248" s="55"/>
      <c r="CO248" s="68">
        <f t="shared" si="141"/>
        <v>0</v>
      </c>
      <c r="CP248" s="75">
        <f>SUM(Tableau1[[#This Row],[Fourniture eau]:[Energie (non précisé)]])</f>
        <v>0</v>
      </c>
      <c r="CQ248" s="55"/>
      <c r="CR248" s="55"/>
      <c r="CS248" s="55"/>
      <c r="CT248" s="55"/>
      <c r="CU248" s="55"/>
      <c r="CV248" s="55">
        <v>0</v>
      </c>
      <c r="CW248" s="55"/>
      <c r="CX248" s="68">
        <f>SUM(Tableau1[[#This Row],[Sous-traitance]:[Autres ou non précisé 12]])</f>
        <v>0</v>
      </c>
      <c r="CY248" s="65"/>
      <c r="CZ248" s="65"/>
      <c r="DA248" s="65"/>
      <c r="DB248" s="65"/>
      <c r="DC248" s="55"/>
      <c r="DD248" s="68">
        <f t="shared" ref="DD248:DD311" si="161">SUM(DE248:DH248)</f>
        <v>0</v>
      </c>
      <c r="DE248" s="55"/>
      <c r="DF248" s="65"/>
      <c r="DG248" s="65"/>
      <c r="DH248" s="65"/>
      <c r="DI248" s="68">
        <f>SUM(Tableau1[[#This Row],[Entretien et réparation matériel de projection]:[Autres ou non précisé 14]])</f>
        <v>0</v>
      </c>
      <c r="DJ248" s="58"/>
      <c r="DK248" s="58"/>
      <c r="DL248" s="69"/>
      <c r="DM248" s="68">
        <f t="shared" si="142"/>
        <v>0</v>
      </c>
      <c r="DN248" s="58"/>
      <c r="DO248" s="58"/>
      <c r="DP248" s="68">
        <f t="shared" si="143"/>
        <v>0</v>
      </c>
      <c r="DQ248" s="65"/>
      <c r="DR248" s="65"/>
      <c r="DS248" s="68">
        <f t="shared" si="144"/>
        <v>0</v>
      </c>
      <c r="DT248" s="65"/>
      <c r="DU248" s="65"/>
      <c r="DV248" s="65"/>
      <c r="DW248" s="68">
        <f>SUM(Tableau1[[#This Row],[Comission et courtage sur achats]:[Autres ou honoraires
 non précisé ]])</f>
        <v>0</v>
      </c>
      <c r="DX248" s="57"/>
      <c r="DY248" s="57"/>
      <c r="DZ248" s="65"/>
      <c r="EA248" s="65"/>
      <c r="EB248" s="65"/>
      <c r="EC248" s="68">
        <f t="shared" si="145"/>
        <v>0</v>
      </c>
      <c r="ED248" s="69"/>
      <c r="EE248" s="69"/>
      <c r="EF248" s="69"/>
      <c r="EG248" s="69"/>
      <c r="EH248" s="69"/>
      <c r="EI248" s="84">
        <f>SUM(Tableau1[[#This Row],[Transports sur films]:[autres ]])</f>
        <v>0</v>
      </c>
      <c r="EJ248" s="132">
        <v>0</v>
      </c>
      <c r="EK248" s="132"/>
      <c r="EL248" s="68">
        <f t="shared" si="146"/>
        <v>0</v>
      </c>
      <c r="EM248" s="65"/>
      <c r="EN248" s="65">
        <v>0</v>
      </c>
      <c r="EO248" s="65"/>
      <c r="EP248" s="65"/>
      <c r="EQ248" s="65"/>
      <c r="ER248" s="65"/>
      <c r="ES248" s="65"/>
      <c r="ET248" s="68">
        <f t="shared" si="147"/>
        <v>0</v>
      </c>
      <c r="EU248" s="65"/>
      <c r="EV248" s="65"/>
      <c r="EW248" s="65"/>
      <c r="EX248" s="65"/>
      <c r="EY248" s="65"/>
      <c r="EZ248" s="68">
        <f t="shared" si="124"/>
        <v>0</v>
      </c>
      <c r="FA248" s="65"/>
      <c r="FB248" s="65"/>
      <c r="FC248" s="70">
        <f t="shared" ref="FC248:FC311" si="162">SUM(FD248:FD248)</f>
        <v>0</v>
      </c>
      <c r="FD248" s="65"/>
      <c r="FE248" s="71">
        <f t="shared" si="148"/>
        <v>0</v>
      </c>
      <c r="FF248" s="72">
        <f t="shared" si="149"/>
        <v>0</v>
      </c>
      <c r="FG248" s="65"/>
      <c r="FH248" s="65"/>
      <c r="FI248" s="65"/>
      <c r="FJ248" s="56">
        <f t="shared" si="150"/>
        <v>0</v>
      </c>
      <c r="FK248" s="65"/>
      <c r="FL248" s="65"/>
      <c r="FM248" s="65"/>
      <c r="FN248" s="65"/>
      <c r="FO248" s="67">
        <f t="shared" si="151"/>
        <v>0</v>
      </c>
      <c r="FP248" s="57"/>
      <c r="FQ248" s="73"/>
      <c r="FR248" s="73"/>
      <c r="FS248" s="71">
        <f t="shared" si="152"/>
        <v>0</v>
      </c>
      <c r="FT248" s="91"/>
      <c r="FU248" s="91"/>
      <c r="FV248" s="67">
        <f>SUM(Tableau1[[#This Row],[Droits d''auteurs SACEM + cotisations SACEM]:[Autres ou non préciés]])</f>
        <v>0</v>
      </c>
      <c r="FW248" s="75">
        <f t="shared" si="153"/>
        <v>0</v>
      </c>
      <c r="FX248" s="74">
        <v>0</v>
      </c>
      <c r="FY248" s="74"/>
      <c r="FZ248" s="74"/>
      <c r="GA248" s="74"/>
      <c r="GB248" s="71">
        <f t="shared" si="154"/>
        <v>0</v>
      </c>
      <c r="GC248" s="92"/>
      <c r="GD248" s="92"/>
      <c r="GE248" s="67">
        <f t="shared" si="155"/>
        <v>0</v>
      </c>
      <c r="GF248" s="66"/>
      <c r="GG248" s="66"/>
      <c r="GH248" s="66"/>
      <c r="GI248" s="66"/>
      <c r="GJ248" s="77"/>
    </row>
    <row r="249" spans="1:192" ht="18.600000000000001" customHeight="1" x14ac:dyDescent="0.25">
      <c r="A249" s="89"/>
      <c r="B249" s="17"/>
      <c r="C249" s="50"/>
      <c r="D249" s="140"/>
      <c r="E249" s="51"/>
      <c r="F249" s="139">
        <f t="shared" si="159"/>
        <v>1</v>
      </c>
      <c r="G249" s="49"/>
      <c r="H249" s="50"/>
      <c r="I249" s="122"/>
      <c r="J249" s="49"/>
      <c r="K249" s="50"/>
      <c r="L249" s="50"/>
      <c r="M249" s="90"/>
      <c r="N249" s="50"/>
      <c r="O249" s="50"/>
      <c r="P249" s="90"/>
      <c r="Q249" s="52">
        <f t="shared" si="125"/>
        <v>0</v>
      </c>
      <c r="R249" s="52">
        <f t="shared" si="126"/>
        <v>0</v>
      </c>
      <c r="S249" s="53">
        <f t="shared" si="127"/>
        <v>0</v>
      </c>
      <c r="T249" s="54">
        <f t="shared" si="128"/>
        <v>0</v>
      </c>
      <c r="U249" s="115">
        <f>SUM(Tableau1[[#This Row],[Vente confiserie]:[Vente boisson]])</f>
        <v>0</v>
      </c>
      <c r="V249" s="55"/>
      <c r="W249" s="55"/>
      <c r="X249" s="135">
        <f>SUM(Tableau1[[#This Row],[Vente lunette]:[Location lunette]])</f>
        <v>0</v>
      </c>
      <c r="Y249" s="55"/>
      <c r="Z249" s="55"/>
      <c r="AA249" s="55"/>
      <c r="AB249" s="55"/>
      <c r="AC249" s="56">
        <f t="shared" si="157"/>
        <v>0</v>
      </c>
      <c r="AD249" s="57"/>
      <c r="AE249" s="57"/>
      <c r="AF249" s="57"/>
      <c r="AG249" s="57"/>
      <c r="AH249" s="57"/>
      <c r="AI249" s="57"/>
      <c r="AJ249" s="118">
        <f>(Tableau1[[#This Row],[Recette guichet ]]*1.1275177)-Tableau1[[#This Row],[Recette guichet ]]</f>
        <v>0</v>
      </c>
      <c r="AK249" s="57"/>
      <c r="AL249" s="56">
        <f t="shared" si="158"/>
        <v>0</v>
      </c>
      <c r="AM249" s="58"/>
      <c r="AN249" s="58"/>
      <c r="AO249" s="58"/>
      <c r="AP249" s="115">
        <f t="shared" si="129"/>
        <v>0</v>
      </c>
      <c r="AQ249" s="69"/>
      <c r="AR249" s="69"/>
      <c r="AS249" s="69"/>
      <c r="AT249" s="69"/>
      <c r="AU249" s="59">
        <f t="shared" si="130"/>
        <v>0</v>
      </c>
      <c r="AV249" s="60">
        <f t="shared" si="131"/>
        <v>0</v>
      </c>
      <c r="AW249" s="58"/>
      <c r="AX249" s="58"/>
      <c r="AY249" s="58"/>
      <c r="AZ249" s="60">
        <f t="shared" si="160"/>
        <v>0</v>
      </c>
      <c r="BA249" s="58"/>
      <c r="BB249" s="58"/>
      <c r="BC249" s="58"/>
      <c r="BD249" s="60">
        <f>SUM(Tableau1[[#This Row],[ticket/carte/abonnement périmé]:[Autres ou non précisé 5]])</f>
        <v>0</v>
      </c>
      <c r="BE249" s="58"/>
      <c r="BF249" s="58"/>
      <c r="BG249" s="58"/>
      <c r="BH249" s="61">
        <f t="shared" si="132"/>
        <v>0</v>
      </c>
      <c r="BI249" s="120"/>
      <c r="BJ249" s="120"/>
      <c r="BK249" s="62">
        <f t="shared" si="133"/>
        <v>0</v>
      </c>
      <c r="BL249" s="120"/>
      <c r="BM249" s="120"/>
      <c r="BN249" s="120"/>
      <c r="BO249" s="120"/>
      <c r="BP249" s="120"/>
      <c r="BQ249" s="63"/>
      <c r="BR249" s="52">
        <f t="shared" si="134"/>
        <v>0</v>
      </c>
      <c r="BS249" s="52">
        <f t="shared" si="135"/>
        <v>0</v>
      </c>
      <c r="BT249" s="61">
        <f t="shared" si="136"/>
        <v>0</v>
      </c>
      <c r="BU249" s="64">
        <f t="shared" si="137"/>
        <v>0</v>
      </c>
      <c r="BV249" s="119">
        <f>SUM(Tableau1[[#This Row],[Achats confiserie]:[Achats boisson]])</f>
        <v>0</v>
      </c>
      <c r="BW249" s="58"/>
      <c r="BX249" s="69"/>
      <c r="BY249" s="58"/>
      <c r="BZ249" s="56">
        <f t="shared" si="138"/>
        <v>0</v>
      </c>
      <c r="CA249" s="66"/>
      <c r="CB249" s="66"/>
      <c r="CC249" s="56">
        <f t="shared" si="139"/>
        <v>0</v>
      </c>
      <c r="CD249" s="55"/>
      <c r="CE249" s="65"/>
      <c r="CF249" s="55"/>
      <c r="CG249" s="55"/>
      <c r="CH249" s="67">
        <f t="shared" si="140"/>
        <v>0</v>
      </c>
      <c r="CI249" s="68">
        <f t="shared" si="156"/>
        <v>0</v>
      </c>
      <c r="CJ249" s="55"/>
      <c r="CK249" s="55"/>
      <c r="CL249" s="55"/>
      <c r="CM249" s="55"/>
      <c r="CN249" s="55"/>
      <c r="CO249" s="68">
        <f t="shared" si="141"/>
        <v>0</v>
      </c>
      <c r="CP249" s="75">
        <f>SUM(Tableau1[[#This Row],[Fourniture eau]:[Energie (non précisé)]])</f>
        <v>0</v>
      </c>
      <c r="CQ249" s="55"/>
      <c r="CR249" s="55"/>
      <c r="CS249" s="55"/>
      <c r="CT249" s="55"/>
      <c r="CU249" s="55"/>
      <c r="CV249" s="55">
        <v>0</v>
      </c>
      <c r="CW249" s="55"/>
      <c r="CX249" s="68">
        <f>SUM(Tableau1[[#This Row],[Sous-traitance]:[Autres ou non précisé 12]])</f>
        <v>0</v>
      </c>
      <c r="CY249" s="65"/>
      <c r="CZ249" s="65"/>
      <c r="DA249" s="65"/>
      <c r="DB249" s="65"/>
      <c r="DC249" s="55"/>
      <c r="DD249" s="68">
        <f t="shared" si="161"/>
        <v>0</v>
      </c>
      <c r="DE249" s="55"/>
      <c r="DF249" s="65"/>
      <c r="DG249" s="65"/>
      <c r="DH249" s="65"/>
      <c r="DI249" s="68">
        <f>SUM(Tableau1[[#This Row],[Entretien et réparation matériel de projection]:[Autres ou non précisé 14]])</f>
        <v>0</v>
      </c>
      <c r="DJ249" s="58"/>
      <c r="DK249" s="58"/>
      <c r="DL249" s="69"/>
      <c r="DM249" s="68">
        <f t="shared" si="142"/>
        <v>0</v>
      </c>
      <c r="DN249" s="58"/>
      <c r="DO249" s="58"/>
      <c r="DP249" s="68">
        <f t="shared" si="143"/>
        <v>0</v>
      </c>
      <c r="DQ249" s="65"/>
      <c r="DR249" s="65"/>
      <c r="DS249" s="68">
        <f t="shared" si="144"/>
        <v>0</v>
      </c>
      <c r="DT249" s="65"/>
      <c r="DU249" s="65"/>
      <c r="DV249" s="65"/>
      <c r="DW249" s="68">
        <f>SUM(Tableau1[[#This Row],[Comission et courtage sur achats]:[Autres ou honoraires
 non précisé ]])</f>
        <v>0</v>
      </c>
      <c r="DX249" s="57"/>
      <c r="DY249" s="57"/>
      <c r="DZ249" s="65"/>
      <c r="EA249" s="65"/>
      <c r="EB249" s="65"/>
      <c r="EC249" s="68">
        <f t="shared" si="145"/>
        <v>0</v>
      </c>
      <c r="ED249" s="69"/>
      <c r="EE249" s="69"/>
      <c r="EF249" s="69"/>
      <c r="EG249" s="69"/>
      <c r="EH249" s="69"/>
      <c r="EI249" s="84">
        <f>SUM(Tableau1[[#This Row],[Transports sur films]:[autres ]])</f>
        <v>0</v>
      </c>
      <c r="EJ249" s="132">
        <v>0</v>
      </c>
      <c r="EK249" s="132"/>
      <c r="EL249" s="68">
        <f t="shared" si="146"/>
        <v>0</v>
      </c>
      <c r="EM249" s="65"/>
      <c r="EN249" s="65">
        <v>0</v>
      </c>
      <c r="EO249" s="65"/>
      <c r="EP249" s="65"/>
      <c r="EQ249" s="65"/>
      <c r="ER249" s="65"/>
      <c r="ES249" s="65"/>
      <c r="ET249" s="68">
        <f t="shared" si="147"/>
        <v>0</v>
      </c>
      <c r="EU249" s="65"/>
      <c r="EV249" s="65"/>
      <c r="EW249" s="65"/>
      <c r="EX249" s="65"/>
      <c r="EY249" s="65"/>
      <c r="EZ249" s="68">
        <f t="shared" si="124"/>
        <v>0</v>
      </c>
      <c r="FA249" s="65"/>
      <c r="FB249" s="65"/>
      <c r="FC249" s="70">
        <f t="shared" si="162"/>
        <v>0</v>
      </c>
      <c r="FD249" s="65"/>
      <c r="FE249" s="71">
        <f t="shared" si="148"/>
        <v>0</v>
      </c>
      <c r="FF249" s="72">
        <f t="shared" si="149"/>
        <v>0</v>
      </c>
      <c r="FG249" s="65"/>
      <c r="FH249" s="65"/>
      <c r="FI249" s="65"/>
      <c r="FJ249" s="56">
        <f t="shared" si="150"/>
        <v>0</v>
      </c>
      <c r="FK249" s="65"/>
      <c r="FL249" s="65"/>
      <c r="FM249" s="65"/>
      <c r="FN249" s="65"/>
      <c r="FO249" s="67">
        <f t="shared" si="151"/>
        <v>0</v>
      </c>
      <c r="FP249" s="57"/>
      <c r="FQ249" s="73"/>
      <c r="FR249" s="73"/>
      <c r="FS249" s="71">
        <f t="shared" si="152"/>
        <v>0</v>
      </c>
      <c r="FT249" s="91"/>
      <c r="FU249" s="91"/>
      <c r="FV249" s="67">
        <f>SUM(Tableau1[[#This Row],[Droits d''auteurs SACEM + cotisations SACEM]:[Autres ou non préciés]])</f>
        <v>0</v>
      </c>
      <c r="FW249" s="75">
        <f t="shared" si="153"/>
        <v>0</v>
      </c>
      <c r="FX249" s="74">
        <v>0</v>
      </c>
      <c r="FY249" s="74"/>
      <c r="FZ249" s="74"/>
      <c r="GA249" s="74"/>
      <c r="GB249" s="71">
        <f t="shared" si="154"/>
        <v>0</v>
      </c>
      <c r="GC249" s="92"/>
      <c r="GD249" s="92"/>
      <c r="GE249" s="67">
        <f t="shared" si="155"/>
        <v>0</v>
      </c>
      <c r="GF249" s="66"/>
      <c r="GG249" s="66"/>
      <c r="GH249" s="66"/>
      <c r="GI249" s="66"/>
      <c r="GJ249" s="77"/>
    </row>
    <row r="250" spans="1:192" ht="18.600000000000001" customHeight="1" x14ac:dyDescent="0.25">
      <c r="A250" s="89"/>
      <c r="B250" s="17"/>
      <c r="C250" s="50"/>
      <c r="D250" s="140"/>
      <c r="E250" s="51"/>
      <c r="F250" s="139">
        <f t="shared" si="159"/>
        <v>1</v>
      </c>
      <c r="G250" s="49"/>
      <c r="H250" s="50"/>
      <c r="I250" s="122"/>
      <c r="J250" s="49"/>
      <c r="K250" s="50"/>
      <c r="L250" s="50"/>
      <c r="M250" s="90"/>
      <c r="N250" s="50"/>
      <c r="O250" s="50"/>
      <c r="P250" s="90"/>
      <c r="Q250" s="52">
        <f t="shared" si="125"/>
        <v>0</v>
      </c>
      <c r="R250" s="52">
        <f t="shared" si="126"/>
        <v>0</v>
      </c>
      <c r="S250" s="53">
        <f t="shared" si="127"/>
        <v>0</v>
      </c>
      <c r="T250" s="54">
        <f t="shared" si="128"/>
        <v>0</v>
      </c>
      <c r="U250" s="115">
        <f>SUM(Tableau1[[#This Row],[Vente confiserie]:[Vente boisson]])</f>
        <v>0</v>
      </c>
      <c r="V250" s="55"/>
      <c r="W250" s="55"/>
      <c r="X250" s="135">
        <f>SUM(Tableau1[[#This Row],[Vente lunette]:[Location lunette]])</f>
        <v>0</v>
      </c>
      <c r="Y250" s="55"/>
      <c r="Z250" s="55"/>
      <c r="AA250" s="55"/>
      <c r="AB250" s="55"/>
      <c r="AC250" s="56">
        <f t="shared" si="157"/>
        <v>0</v>
      </c>
      <c r="AD250" s="57"/>
      <c r="AE250" s="57"/>
      <c r="AF250" s="57"/>
      <c r="AG250" s="57"/>
      <c r="AH250" s="57"/>
      <c r="AI250" s="57"/>
      <c r="AJ250" s="118">
        <f>(Tableau1[[#This Row],[Recette guichet ]]*1.1275177)-Tableau1[[#This Row],[Recette guichet ]]</f>
        <v>0</v>
      </c>
      <c r="AK250" s="57"/>
      <c r="AL250" s="56">
        <f t="shared" si="158"/>
        <v>0</v>
      </c>
      <c r="AM250" s="58"/>
      <c r="AN250" s="58"/>
      <c r="AO250" s="58"/>
      <c r="AP250" s="115">
        <f t="shared" si="129"/>
        <v>0</v>
      </c>
      <c r="AQ250" s="69"/>
      <c r="AR250" s="69"/>
      <c r="AS250" s="69"/>
      <c r="AT250" s="69"/>
      <c r="AU250" s="59">
        <f t="shared" si="130"/>
        <v>0</v>
      </c>
      <c r="AV250" s="60">
        <f t="shared" si="131"/>
        <v>0</v>
      </c>
      <c r="AW250" s="58"/>
      <c r="AX250" s="58"/>
      <c r="AY250" s="58"/>
      <c r="AZ250" s="60">
        <f t="shared" si="160"/>
        <v>0</v>
      </c>
      <c r="BA250" s="58"/>
      <c r="BB250" s="58"/>
      <c r="BC250" s="58"/>
      <c r="BD250" s="60">
        <f>SUM(Tableau1[[#This Row],[ticket/carte/abonnement périmé]:[Autres ou non précisé 5]])</f>
        <v>0</v>
      </c>
      <c r="BE250" s="58"/>
      <c r="BF250" s="58"/>
      <c r="BG250" s="58"/>
      <c r="BH250" s="61">
        <f t="shared" si="132"/>
        <v>0</v>
      </c>
      <c r="BI250" s="120"/>
      <c r="BJ250" s="120"/>
      <c r="BK250" s="62">
        <f t="shared" si="133"/>
        <v>0</v>
      </c>
      <c r="BL250" s="120"/>
      <c r="BM250" s="120"/>
      <c r="BN250" s="120"/>
      <c r="BO250" s="120"/>
      <c r="BP250" s="120"/>
      <c r="BQ250" s="63"/>
      <c r="BR250" s="52">
        <f t="shared" si="134"/>
        <v>0</v>
      </c>
      <c r="BS250" s="52">
        <f t="shared" si="135"/>
        <v>0</v>
      </c>
      <c r="BT250" s="61">
        <f t="shared" si="136"/>
        <v>0</v>
      </c>
      <c r="BU250" s="64">
        <f t="shared" si="137"/>
        <v>0</v>
      </c>
      <c r="BV250" s="119">
        <f>SUM(Tableau1[[#This Row],[Achats confiserie]:[Achats boisson]])</f>
        <v>0</v>
      </c>
      <c r="BW250" s="58"/>
      <c r="BX250" s="69"/>
      <c r="BY250" s="58"/>
      <c r="BZ250" s="56">
        <f t="shared" si="138"/>
        <v>0</v>
      </c>
      <c r="CA250" s="66"/>
      <c r="CB250" s="66"/>
      <c r="CC250" s="56">
        <f t="shared" si="139"/>
        <v>0</v>
      </c>
      <c r="CD250" s="55"/>
      <c r="CE250" s="65"/>
      <c r="CF250" s="55"/>
      <c r="CG250" s="55"/>
      <c r="CH250" s="67">
        <f t="shared" si="140"/>
        <v>0</v>
      </c>
      <c r="CI250" s="68">
        <f t="shared" si="156"/>
        <v>0</v>
      </c>
      <c r="CJ250" s="55"/>
      <c r="CK250" s="55"/>
      <c r="CL250" s="55"/>
      <c r="CM250" s="55"/>
      <c r="CN250" s="55"/>
      <c r="CO250" s="68">
        <f t="shared" si="141"/>
        <v>0</v>
      </c>
      <c r="CP250" s="75">
        <f>SUM(Tableau1[[#This Row],[Fourniture eau]:[Energie (non précisé)]])</f>
        <v>0</v>
      </c>
      <c r="CQ250" s="55"/>
      <c r="CR250" s="55"/>
      <c r="CS250" s="55"/>
      <c r="CT250" s="55"/>
      <c r="CU250" s="55"/>
      <c r="CV250" s="55">
        <v>0</v>
      </c>
      <c r="CW250" s="55"/>
      <c r="CX250" s="68">
        <f>SUM(Tableau1[[#This Row],[Sous-traitance]:[Autres ou non précisé 12]])</f>
        <v>0</v>
      </c>
      <c r="CY250" s="65"/>
      <c r="CZ250" s="65"/>
      <c r="DA250" s="65"/>
      <c r="DB250" s="65"/>
      <c r="DC250" s="55"/>
      <c r="DD250" s="68">
        <f t="shared" si="161"/>
        <v>0</v>
      </c>
      <c r="DE250" s="55"/>
      <c r="DF250" s="65"/>
      <c r="DG250" s="65"/>
      <c r="DH250" s="65"/>
      <c r="DI250" s="68">
        <f>SUM(Tableau1[[#This Row],[Entretien et réparation matériel de projection]:[Autres ou non précisé 14]])</f>
        <v>0</v>
      </c>
      <c r="DJ250" s="58"/>
      <c r="DK250" s="58"/>
      <c r="DL250" s="69"/>
      <c r="DM250" s="68">
        <f t="shared" si="142"/>
        <v>0</v>
      </c>
      <c r="DN250" s="58"/>
      <c r="DO250" s="58"/>
      <c r="DP250" s="68">
        <f t="shared" si="143"/>
        <v>0</v>
      </c>
      <c r="DQ250" s="65"/>
      <c r="DR250" s="65"/>
      <c r="DS250" s="68">
        <f t="shared" si="144"/>
        <v>0</v>
      </c>
      <c r="DT250" s="65"/>
      <c r="DU250" s="65"/>
      <c r="DV250" s="65"/>
      <c r="DW250" s="68">
        <f>SUM(Tableau1[[#This Row],[Comission et courtage sur achats]:[Autres ou honoraires
 non précisé ]])</f>
        <v>0</v>
      </c>
      <c r="DX250" s="57"/>
      <c r="DY250" s="57"/>
      <c r="DZ250" s="65"/>
      <c r="EA250" s="65"/>
      <c r="EB250" s="65"/>
      <c r="EC250" s="68">
        <f t="shared" si="145"/>
        <v>0</v>
      </c>
      <c r="ED250" s="69"/>
      <c r="EE250" s="69"/>
      <c r="EF250" s="69"/>
      <c r="EG250" s="69"/>
      <c r="EH250" s="69"/>
      <c r="EI250" s="84">
        <f>SUM(Tableau1[[#This Row],[Transports sur films]:[autres ]])</f>
        <v>0</v>
      </c>
      <c r="EJ250" s="132">
        <v>0</v>
      </c>
      <c r="EK250" s="132"/>
      <c r="EL250" s="68">
        <f t="shared" si="146"/>
        <v>0</v>
      </c>
      <c r="EM250" s="65"/>
      <c r="EN250" s="65">
        <v>0</v>
      </c>
      <c r="EO250" s="65"/>
      <c r="EP250" s="65"/>
      <c r="EQ250" s="65"/>
      <c r="ER250" s="65"/>
      <c r="ES250" s="65"/>
      <c r="ET250" s="68">
        <f t="shared" si="147"/>
        <v>0</v>
      </c>
      <c r="EU250" s="65"/>
      <c r="EV250" s="65"/>
      <c r="EW250" s="65"/>
      <c r="EX250" s="65"/>
      <c r="EY250" s="65"/>
      <c r="EZ250" s="68">
        <f t="shared" si="124"/>
        <v>0</v>
      </c>
      <c r="FA250" s="65"/>
      <c r="FB250" s="65"/>
      <c r="FC250" s="70">
        <f t="shared" si="162"/>
        <v>0</v>
      </c>
      <c r="FD250" s="65"/>
      <c r="FE250" s="71">
        <f t="shared" si="148"/>
        <v>0</v>
      </c>
      <c r="FF250" s="72">
        <f t="shared" si="149"/>
        <v>0</v>
      </c>
      <c r="FG250" s="65"/>
      <c r="FH250" s="65"/>
      <c r="FI250" s="65"/>
      <c r="FJ250" s="56">
        <f t="shared" si="150"/>
        <v>0</v>
      </c>
      <c r="FK250" s="65"/>
      <c r="FL250" s="65"/>
      <c r="FM250" s="65"/>
      <c r="FN250" s="65"/>
      <c r="FO250" s="67">
        <f t="shared" si="151"/>
        <v>0</v>
      </c>
      <c r="FP250" s="57"/>
      <c r="FQ250" s="73"/>
      <c r="FR250" s="73"/>
      <c r="FS250" s="71">
        <f t="shared" si="152"/>
        <v>0</v>
      </c>
      <c r="FT250" s="91"/>
      <c r="FU250" s="91"/>
      <c r="FV250" s="67">
        <f>SUM(Tableau1[[#This Row],[Droits d''auteurs SACEM + cotisations SACEM]:[Autres ou non préciés]])</f>
        <v>0</v>
      </c>
      <c r="FW250" s="75">
        <f t="shared" si="153"/>
        <v>0</v>
      </c>
      <c r="FX250" s="74">
        <v>0</v>
      </c>
      <c r="FY250" s="74"/>
      <c r="FZ250" s="74"/>
      <c r="GA250" s="74"/>
      <c r="GB250" s="71">
        <f t="shared" si="154"/>
        <v>0</v>
      </c>
      <c r="GC250" s="92"/>
      <c r="GD250" s="92"/>
      <c r="GE250" s="67">
        <f t="shared" si="155"/>
        <v>0</v>
      </c>
      <c r="GF250" s="66"/>
      <c r="GG250" s="66"/>
      <c r="GH250" s="66"/>
      <c r="GI250" s="66"/>
      <c r="GJ250" s="77"/>
    </row>
    <row r="251" spans="1:192" ht="18.600000000000001" customHeight="1" x14ac:dyDescent="0.25">
      <c r="A251" s="89"/>
      <c r="B251" s="17"/>
      <c r="C251" s="50"/>
      <c r="D251" s="140"/>
      <c r="E251" s="51"/>
      <c r="F251" s="139">
        <f t="shared" si="159"/>
        <v>1</v>
      </c>
      <c r="G251" s="49"/>
      <c r="H251" s="50"/>
      <c r="I251" s="122"/>
      <c r="J251" s="49"/>
      <c r="K251" s="50"/>
      <c r="L251" s="50"/>
      <c r="M251" s="90"/>
      <c r="N251" s="50"/>
      <c r="O251" s="50"/>
      <c r="P251" s="90"/>
      <c r="Q251" s="52">
        <f t="shared" si="125"/>
        <v>0</v>
      </c>
      <c r="R251" s="52">
        <f t="shared" si="126"/>
        <v>0</v>
      </c>
      <c r="S251" s="53">
        <f t="shared" si="127"/>
        <v>0</v>
      </c>
      <c r="T251" s="54">
        <f t="shared" si="128"/>
        <v>0</v>
      </c>
      <c r="U251" s="115">
        <f>SUM(Tableau1[[#This Row],[Vente confiserie]:[Vente boisson]])</f>
        <v>0</v>
      </c>
      <c r="V251" s="55"/>
      <c r="W251" s="55"/>
      <c r="X251" s="135">
        <f>SUM(Tableau1[[#This Row],[Vente lunette]:[Location lunette]])</f>
        <v>0</v>
      </c>
      <c r="Y251" s="55"/>
      <c r="Z251" s="55"/>
      <c r="AA251" s="55"/>
      <c r="AB251" s="55"/>
      <c r="AC251" s="56">
        <f t="shared" si="157"/>
        <v>0</v>
      </c>
      <c r="AD251" s="57"/>
      <c r="AE251" s="57"/>
      <c r="AF251" s="57"/>
      <c r="AG251" s="57"/>
      <c r="AH251" s="57"/>
      <c r="AI251" s="57"/>
      <c r="AJ251" s="118">
        <f>(Tableau1[[#This Row],[Recette guichet ]]*1.1275177)-Tableau1[[#This Row],[Recette guichet ]]</f>
        <v>0</v>
      </c>
      <c r="AK251" s="57"/>
      <c r="AL251" s="56">
        <f t="shared" si="158"/>
        <v>0</v>
      </c>
      <c r="AM251" s="58"/>
      <c r="AN251" s="58"/>
      <c r="AO251" s="58"/>
      <c r="AP251" s="115">
        <f t="shared" si="129"/>
        <v>0</v>
      </c>
      <c r="AQ251" s="69"/>
      <c r="AR251" s="69"/>
      <c r="AS251" s="69"/>
      <c r="AT251" s="69"/>
      <c r="AU251" s="59">
        <f t="shared" si="130"/>
        <v>0</v>
      </c>
      <c r="AV251" s="60">
        <f t="shared" si="131"/>
        <v>0</v>
      </c>
      <c r="AW251" s="58"/>
      <c r="AX251" s="58"/>
      <c r="AY251" s="58"/>
      <c r="AZ251" s="60">
        <f t="shared" si="160"/>
        <v>0</v>
      </c>
      <c r="BA251" s="58"/>
      <c r="BB251" s="58"/>
      <c r="BC251" s="58"/>
      <c r="BD251" s="60">
        <f>SUM(Tableau1[[#This Row],[ticket/carte/abonnement périmé]:[Autres ou non précisé 5]])</f>
        <v>0</v>
      </c>
      <c r="BE251" s="58"/>
      <c r="BF251" s="58"/>
      <c r="BG251" s="58"/>
      <c r="BH251" s="61">
        <f t="shared" si="132"/>
        <v>0</v>
      </c>
      <c r="BI251" s="120"/>
      <c r="BJ251" s="120"/>
      <c r="BK251" s="62">
        <f t="shared" si="133"/>
        <v>0</v>
      </c>
      <c r="BL251" s="120"/>
      <c r="BM251" s="120"/>
      <c r="BN251" s="120"/>
      <c r="BO251" s="120"/>
      <c r="BP251" s="120"/>
      <c r="BQ251" s="63"/>
      <c r="BR251" s="52">
        <f t="shared" si="134"/>
        <v>0</v>
      </c>
      <c r="BS251" s="52">
        <f t="shared" si="135"/>
        <v>0</v>
      </c>
      <c r="BT251" s="61">
        <f t="shared" si="136"/>
        <v>0</v>
      </c>
      <c r="BU251" s="64">
        <f t="shared" si="137"/>
        <v>0</v>
      </c>
      <c r="BV251" s="119">
        <f>SUM(Tableau1[[#This Row],[Achats confiserie]:[Achats boisson]])</f>
        <v>0</v>
      </c>
      <c r="BW251" s="58"/>
      <c r="BX251" s="69"/>
      <c r="BY251" s="58"/>
      <c r="BZ251" s="56">
        <f t="shared" si="138"/>
        <v>0</v>
      </c>
      <c r="CA251" s="66"/>
      <c r="CB251" s="66"/>
      <c r="CC251" s="56">
        <f t="shared" si="139"/>
        <v>0</v>
      </c>
      <c r="CD251" s="55"/>
      <c r="CE251" s="65"/>
      <c r="CF251" s="55"/>
      <c r="CG251" s="55"/>
      <c r="CH251" s="67">
        <f t="shared" si="140"/>
        <v>0</v>
      </c>
      <c r="CI251" s="68">
        <f t="shared" si="156"/>
        <v>0</v>
      </c>
      <c r="CJ251" s="55"/>
      <c r="CK251" s="55"/>
      <c r="CL251" s="55"/>
      <c r="CM251" s="55"/>
      <c r="CN251" s="55"/>
      <c r="CO251" s="68">
        <f t="shared" si="141"/>
        <v>0</v>
      </c>
      <c r="CP251" s="75">
        <f>SUM(Tableau1[[#This Row],[Fourniture eau]:[Energie (non précisé)]])</f>
        <v>0</v>
      </c>
      <c r="CQ251" s="55"/>
      <c r="CR251" s="55"/>
      <c r="CS251" s="55"/>
      <c r="CT251" s="55"/>
      <c r="CU251" s="55"/>
      <c r="CV251" s="55">
        <v>0</v>
      </c>
      <c r="CW251" s="55"/>
      <c r="CX251" s="68">
        <f>SUM(Tableau1[[#This Row],[Sous-traitance]:[Autres ou non précisé 12]])</f>
        <v>0</v>
      </c>
      <c r="CY251" s="65"/>
      <c r="CZ251" s="65"/>
      <c r="DA251" s="65"/>
      <c r="DB251" s="65"/>
      <c r="DC251" s="55"/>
      <c r="DD251" s="68">
        <f t="shared" si="161"/>
        <v>0</v>
      </c>
      <c r="DE251" s="55"/>
      <c r="DF251" s="65"/>
      <c r="DG251" s="65"/>
      <c r="DH251" s="65"/>
      <c r="DI251" s="68">
        <f>SUM(Tableau1[[#This Row],[Entretien et réparation matériel de projection]:[Autres ou non précisé 14]])</f>
        <v>0</v>
      </c>
      <c r="DJ251" s="58"/>
      <c r="DK251" s="58"/>
      <c r="DL251" s="69"/>
      <c r="DM251" s="68">
        <f t="shared" si="142"/>
        <v>0</v>
      </c>
      <c r="DN251" s="58"/>
      <c r="DO251" s="58"/>
      <c r="DP251" s="68">
        <f t="shared" si="143"/>
        <v>0</v>
      </c>
      <c r="DQ251" s="65"/>
      <c r="DR251" s="65"/>
      <c r="DS251" s="68">
        <f t="shared" si="144"/>
        <v>0</v>
      </c>
      <c r="DT251" s="65"/>
      <c r="DU251" s="65"/>
      <c r="DV251" s="65"/>
      <c r="DW251" s="68">
        <f>SUM(Tableau1[[#This Row],[Comission et courtage sur achats]:[Autres ou honoraires
 non précisé ]])</f>
        <v>0</v>
      </c>
      <c r="DX251" s="57"/>
      <c r="DY251" s="57"/>
      <c r="DZ251" s="65"/>
      <c r="EA251" s="65"/>
      <c r="EB251" s="65"/>
      <c r="EC251" s="68">
        <f t="shared" si="145"/>
        <v>0</v>
      </c>
      <c r="ED251" s="69"/>
      <c r="EE251" s="69"/>
      <c r="EF251" s="69"/>
      <c r="EG251" s="69"/>
      <c r="EH251" s="69"/>
      <c r="EI251" s="84">
        <f>SUM(Tableau1[[#This Row],[Transports sur films]:[autres ]])</f>
        <v>0</v>
      </c>
      <c r="EJ251" s="132">
        <v>0</v>
      </c>
      <c r="EK251" s="132"/>
      <c r="EL251" s="68">
        <f t="shared" si="146"/>
        <v>0</v>
      </c>
      <c r="EM251" s="65"/>
      <c r="EN251" s="65">
        <v>0</v>
      </c>
      <c r="EO251" s="65"/>
      <c r="EP251" s="65"/>
      <c r="EQ251" s="65"/>
      <c r="ER251" s="65"/>
      <c r="ES251" s="65"/>
      <c r="ET251" s="68">
        <f t="shared" si="147"/>
        <v>0</v>
      </c>
      <c r="EU251" s="65"/>
      <c r="EV251" s="65"/>
      <c r="EW251" s="65"/>
      <c r="EX251" s="65"/>
      <c r="EY251" s="65"/>
      <c r="EZ251" s="68">
        <f t="shared" ref="EZ251:EZ314" si="163">SUM(FA251:FB251)</f>
        <v>0</v>
      </c>
      <c r="FA251" s="65"/>
      <c r="FB251" s="65"/>
      <c r="FC251" s="70">
        <f t="shared" si="162"/>
        <v>0</v>
      </c>
      <c r="FD251" s="65"/>
      <c r="FE251" s="71">
        <f t="shared" si="148"/>
        <v>0</v>
      </c>
      <c r="FF251" s="72">
        <f t="shared" si="149"/>
        <v>0</v>
      </c>
      <c r="FG251" s="65"/>
      <c r="FH251" s="65"/>
      <c r="FI251" s="65"/>
      <c r="FJ251" s="56">
        <f t="shared" si="150"/>
        <v>0</v>
      </c>
      <c r="FK251" s="65"/>
      <c r="FL251" s="65"/>
      <c r="FM251" s="65"/>
      <c r="FN251" s="65"/>
      <c r="FO251" s="67">
        <f t="shared" si="151"/>
        <v>0</v>
      </c>
      <c r="FP251" s="57"/>
      <c r="FQ251" s="73"/>
      <c r="FR251" s="73"/>
      <c r="FS251" s="71">
        <f t="shared" si="152"/>
        <v>0</v>
      </c>
      <c r="FT251" s="91"/>
      <c r="FU251" s="91"/>
      <c r="FV251" s="67">
        <f>SUM(Tableau1[[#This Row],[Droits d''auteurs SACEM + cotisations SACEM]:[Autres ou non préciés]])</f>
        <v>0</v>
      </c>
      <c r="FW251" s="75">
        <f t="shared" si="153"/>
        <v>0</v>
      </c>
      <c r="FX251" s="74">
        <v>0</v>
      </c>
      <c r="FY251" s="74"/>
      <c r="FZ251" s="74"/>
      <c r="GA251" s="74"/>
      <c r="GB251" s="71">
        <f t="shared" si="154"/>
        <v>0</v>
      </c>
      <c r="GC251" s="92"/>
      <c r="GD251" s="92"/>
      <c r="GE251" s="67">
        <f t="shared" si="155"/>
        <v>0</v>
      </c>
      <c r="GF251" s="66"/>
      <c r="GG251" s="66"/>
      <c r="GH251" s="66"/>
      <c r="GI251" s="66"/>
      <c r="GJ251" s="77"/>
    </row>
    <row r="252" spans="1:192" ht="18.600000000000001" customHeight="1" x14ac:dyDescent="0.25">
      <c r="A252" s="89"/>
      <c r="B252" s="17"/>
      <c r="C252" s="50"/>
      <c r="D252" s="140"/>
      <c r="E252" s="51"/>
      <c r="F252" s="139">
        <f t="shared" si="159"/>
        <v>1</v>
      </c>
      <c r="G252" s="49"/>
      <c r="H252" s="50"/>
      <c r="I252" s="122"/>
      <c r="J252" s="49"/>
      <c r="K252" s="50"/>
      <c r="L252" s="50"/>
      <c r="M252" s="90"/>
      <c r="N252" s="50"/>
      <c r="O252" s="50"/>
      <c r="P252" s="90"/>
      <c r="Q252" s="52">
        <f t="shared" si="125"/>
        <v>0</v>
      </c>
      <c r="R252" s="52">
        <f t="shared" si="126"/>
        <v>0</v>
      </c>
      <c r="S252" s="53">
        <f t="shared" si="127"/>
        <v>0</v>
      </c>
      <c r="T252" s="54">
        <f t="shared" si="128"/>
        <v>0</v>
      </c>
      <c r="U252" s="115">
        <f>SUM(Tableau1[[#This Row],[Vente confiserie]:[Vente boisson]])</f>
        <v>0</v>
      </c>
      <c r="V252" s="55"/>
      <c r="W252" s="55"/>
      <c r="X252" s="135">
        <f>SUM(Tableau1[[#This Row],[Vente lunette]:[Location lunette]])</f>
        <v>0</v>
      </c>
      <c r="Y252" s="55"/>
      <c r="Z252" s="55"/>
      <c r="AA252" s="55"/>
      <c r="AB252" s="55"/>
      <c r="AC252" s="56">
        <f t="shared" si="157"/>
        <v>0</v>
      </c>
      <c r="AD252" s="57"/>
      <c r="AE252" s="57"/>
      <c r="AF252" s="57"/>
      <c r="AG252" s="57"/>
      <c r="AH252" s="57"/>
      <c r="AI252" s="57"/>
      <c r="AJ252" s="118">
        <f>(Tableau1[[#This Row],[Recette guichet ]]*1.1275177)-Tableau1[[#This Row],[Recette guichet ]]</f>
        <v>0</v>
      </c>
      <c r="AK252" s="57"/>
      <c r="AL252" s="56">
        <f t="shared" si="158"/>
        <v>0</v>
      </c>
      <c r="AM252" s="58"/>
      <c r="AN252" s="58"/>
      <c r="AO252" s="58"/>
      <c r="AP252" s="115">
        <f t="shared" si="129"/>
        <v>0</v>
      </c>
      <c r="AQ252" s="69"/>
      <c r="AR252" s="69"/>
      <c r="AS252" s="69"/>
      <c r="AT252" s="69"/>
      <c r="AU252" s="59">
        <f t="shared" si="130"/>
        <v>0</v>
      </c>
      <c r="AV252" s="60">
        <f t="shared" si="131"/>
        <v>0</v>
      </c>
      <c r="AW252" s="58"/>
      <c r="AX252" s="58"/>
      <c r="AY252" s="58"/>
      <c r="AZ252" s="60">
        <f t="shared" si="160"/>
        <v>0</v>
      </c>
      <c r="BA252" s="58"/>
      <c r="BB252" s="58"/>
      <c r="BC252" s="58"/>
      <c r="BD252" s="60">
        <f>SUM(Tableau1[[#This Row],[ticket/carte/abonnement périmé]:[Autres ou non précisé 5]])</f>
        <v>0</v>
      </c>
      <c r="BE252" s="58"/>
      <c r="BF252" s="58"/>
      <c r="BG252" s="58"/>
      <c r="BH252" s="61">
        <f t="shared" si="132"/>
        <v>0</v>
      </c>
      <c r="BI252" s="120"/>
      <c r="BJ252" s="120"/>
      <c r="BK252" s="62">
        <f t="shared" si="133"/>
        <v>0</v>
      </c>
      <c r="BL252" s="120"/>
      <c r="BM252" s="120"/>
      <c r="BN252" s="120"/>
      <c r="BO252" s="120"/>
      <c r="BP252" s="120"/>
      <c r="BQ252" s="63"/>
      <c r="BR252" s="52">
        <f t="shared" si="134"/>
        <v>0</v>
      </c>
      <c r="BS252" s="52">
        <f t="shared" si="135"/>
        <v>0</v>
      </c>
      <c r="BT252" s="61">
        <f t="shared" si="136"/>
        <v>0</v>
      </c>
      <c r="BU252" s="64">
        <f t="shared" si="137"/>
        <v>0</v>
      </c>
      <c r="BV252" s="119">
        <f>SUM(Tableau1[[#This Row],[Achats confiserie]:[Achats boisson]])</f>
        <v>0</v>
      </c>
      <c r="BW252" s="58"/>
      <c r="BX252" s="69"/>
      <c r="BY252" s="58"/>
      <c r="BZ252" s="56">
        <f t="shared" si="138"/>
        <v>0</v>
      </c>
      <c r="CA252" s="66"/>
      <c r="CB252" s="66"/>
      <c r="CC252" s="56">
        <f t="shared" si="139"/>
        <v>0</v>
      </c>
      <c r="CD252" s="55"/>
      <c r="CE252" s="65"/>
      <c r="CF252" s="55"/>
      <c r="CG252" s="55"/>
      <c r="CH252" s="67">
        <f t="shared" si="140"/>
        <v>0</v>
      </c>
      <c r="CI252" s="68">
        <f t="shared" si="156"/>
        <v>0</v>
      </c>
      <c r="CJ252" s="55"/>
      <c r="CK252" s="55"/>
      <c r="CL252" s="55"/>
      <c r="CM252" s="55"/>
      <c r="CN252" s="55"/>
      <c r="CO252" s="68">
        <f t="shared" si="141"/>
        <v>0</v>
      </c>
      <c r="CP252" s="75">
        <f>SUM(Tableau1[[#This Row],[Fourniture eau]:[Energie (non précisé)]])</f>
        <v>0</v>
      </c>
      <c r="CQ252" s="55"/>
      <c r="CR252" s="55"/>
      <c r="CS252" s="55"/>
      <c r="CT252" s="55"/>
      <c r="CU252" s="55"/>
      <c r="CV252" s="55">
        <v>0</v>
      </c>
      <c r="CW252" s="55"/>
      <c r="CX252" s="68">
        <f>SUM(Tableau1[[#This Row],[Sous-traitance]:[Autres ou non précisé 12]])</f>
        <v>0</v>
      </c>
      <c r="CY252" s="65"/>
      <c r="CZ252" s="65"/>
      <c r="DA252" s="65"/>
      <c r="DB252" s="65"/>
      <c r="DC252" s="55"/>
      <c r="DD252" s="68">
        <f t="shared" si="161"/>
        <v>0</v>
      </c>
      <c r="DE252" s="55"/>
      <c r="DF252" s="65"/>
      <c r="DG252" s="65"/>
      <c r="DH252" s="65"/>
      <c r="DI252" s="68">
        <f>SUM(Tableau1[[#This Row],[Entretien et réparation matériel de projection]:[Autres ou non précisé 14]])</f>
        <v>0</v>
      </c>
      <c r="DJ252" s="58"/>
      <c r="DK252" s="58"/>
      <c r="DL252" s="69"/>
      <c r="DM252" s="68">
        <f t="shared" si="142"/>
        <v>0</v>
      </c>
      <c r="DN252" s="58"/>
      <c r="DO252" s="58"/>
      <c r="DP252" s="68">
        <f t="shared" si="143"/>
        <v>0</v>
      </c>
      <c r="DQ252" s="65"/>
      <c r="DR252" s="65"/>
      <c r="DS252" s="68">
        <f t="shared" si="144"/>
        <v>0</v>
      </c>
      <c r="DT252" s="65"/>
      <c r="DU252" s="65"/>
      <c r="DV252" s="65"/>
      <c r="DW252" s="68">
        <f>SUM(Tableau1[[#This Row],[Comission et courtage sur achats]:[Autres ou honoraires
 non précisé ]])</f>
        <v>0</v>
      </c>
      <c r="DX252" s="57"/>
      <c r="DY252" s="57"/>
      <c r="DZ252" s="65"/>
      <c r="EA252" s="65"/>
      <c r="EB252" s="65"/>
      <c r="EC252" s="68">
        <f t="shared" si="145"/>
        <v>0</v>
      </c>
      <c r="ED252" s="69"/>
      <c r="EE252" s="69"/>
      <c r="EF252" s="69"/>
      <c r="EG252" s="69"/>
      <c r="EH252" s="69"/>
      <c r="EI252" s="84">
        <f>SUM(Tableau1[[#This Row],[Transports sur films]:[autres ]])</f>
        <v>0</v>
      </c>
      <c r="EJ252" s="132">
        <v>0</v>
      </c>
      <c r="EK252" s="132"/>
      <c r="EL252" s="68">
        <f t="shared" si="146"/>
        <v>0</v>
      </c>
      <c r="EM252" s="65"/>
      <c r="EN252" s="65">
        <v>0</v>
      </c>
      <c r="EO252" s="65"/>
      <c r="EP252" s="65"/>
      <c r="EQ252" s="65"/>
      <c r="ER252" s="65"/>
      <c r="ES252" s="65"/>
      <c r="ET252" s="68">
        <f t="shared" si="147"/>
        <v>0</v>
      </c>
      <c r="EU252" s="65"/>
      <c r="EV252" s="65"/>
      <c r="EW252" s="65"/>
      <c r="EX252" s="65"/>
      <c r="EY252" s="65"/>
      <c r="EZ252" s="68">
        <f t="shared" si="163"/>
        <v>0</v>
      </c>
      <c r="FA252" s="65"/>
      <c r="FB252" s="65"/>
      <c r="FC252" s="70">
        <f t="shared" si="162"/>
        <v>0</v>
      </c>
      <c r="FD252" s="65"/>
      <c r="FE252" s="71">
        <f t="shared" si="148"/>
        <v>0</v>
      </c>
      <c r="FF252" s="72">
        <f t="shared" si="149"/>
        <v>0</v>
      </c>
      <c r="FG252" s="65"/>
      <c r="FH252" s="65"/>
      <c r="FI252" s="65"/>
      <c r="FJ252" s="56">
        <f t="shared" si="150"/>
        <v>0</v>
      </c>
      <c r="FK252" s="65"/>
      <c r="FL252" s="65"/>
      <c r="FM252" s="65"/>
      <c r="FN252" s="65"/>
      <c r="FO252" s="67">
        <f t="shared" si="151"/>
        <v>0</v>
      </c>
      <c r="FP252" s="57"/>
      <c r="FQ252" s="73"/>
      <c r="FR252" s="73"/>
      <c r="FS252" s="71">
        <f t="shared" si="152"/>
        <v>0</v>
      </c>
      <c r="FT252" s="91"/>
      <c r="FU252" s="91"/>
      <c r="FV252" s="67">
        <f>SUM(Tableau1[[#This Row],[Droits d''auteurs SACEM + cotisations SACEM]:[Autres ou non préciés]])</f>
        <v>0</v>
      </c>
      <c r="FW252" s="75">
        <f t="shared" si="153"/>
        <v>0</v>
      </c>
      <c r="FX252" s="74">
        <v>0</v>
      </c>
      <c r="FY252" s="74"/>
      <c r="FZ252" s="74"/>
      <c r="GA252" s="74"/>
      <c r="GB252" s="71">
        <f t="shared" si="154"/>
        <v>0</v>
      </c>
      <c r="GC252" s="92"/>
      <c r="GD252" s="92"/>
      <c r="GE252" s="67">
        <f t="shared" si="155"/>
        <v>0</v>
      </c>
      <c r="GF252" s="66"/>
      <c r="GG252" s="66"/>
      <c r="GH252" s="66"/>
      <c r="GI252" s="66"/>
      <c r="GJ252" s="77"/>
    </row>
    <row r="253" spans="1:192" ht="18.600000000000001" customHeight="1" x14ac:dyDescent="0.25">
      <c r="A253" s="89"/>
      <c r="B253" s="17"/>
      <c r="C253" s="50"/>
      <c r="D253" s="140"/>
      <c r="E253" s="51"/>
      <c r="F253" s="139">
        <f t="shared" si="159"/>
        <v>1</v>
      </c>
      <c r="G253" s="49"/>
      <c r="H253" s="50"/>
      <c r="I253" s="122"/>
      <c r="J253" s="49"/>
      <c r="K253" s="50"/>
      <c r="L253" s="50"/>
      <c r="M253" s="90"/>
      <c r="N253" s="50"/>
      <c r="O253" s="50"/>
      <c r="P253" s="90"/>
      <c r="Q253" s="52">
        <f t="shared" si="125"/>
        <v>0</v>
      </c>
      <c r="R253" s="52">
        <f t="shared" si="126"/>
        <v>0</v>
      </c>
      <c r="S253" s="53">
        <f t="shared" si="127"/>
        <v>0</v>
      </c>
      <c r="T253" s="54">
        <f t="shared" si="128"/>
        <v>0</v>
      </c>
      <c r="U253" s="115">
        <f>SUM(Tableau1[[#This Row],[Vente confiserie]:[Vente boisson]])</f>
        <v>0</v>
      </c>
      <c r="V253" s="55"/>
      <c r="W253" s="55"/>
      <c r="X253" s="135">
        <f>SUM(Tableau1[[#This Row],[Vente lunette]:[Location lunette]])</f>
        <v>0</v>
      </c>
      <c r="Y253" s="55"/>
      <c r="Z253" s="55"/>
      <c r="AA253" s="55"/>
      <c r="AB253" s="55"/>
      <c r="AC253" s="56">
        <f t="shared" si="157"/>
        <v>0</v>
      </c>
      <c r="AD253" s="57"/>
      <c r="AE253" s="57"/>
      <c r="AF253" s="57"/>
      <c r="AG253" s="57"/>
      <c r="AH253" s="57"/>
      <c r="AI253" s="57"/>
      <c r="AJ253" s="118">
        <f>(Tableau1[[#This Row],[Recette guichet ]]*1.1275177)-Tableau1[[#This Row],[Recette guichet ]]</f>
        <v>0</v>
      </c>
      <c r="AK253" s="57"/>
      <c r="AL253" s="56">
        <f t="shared" si="158"/>
        <v>0</v>
      </c>
      <c r="AM253" s="58"/>
      <c r="AN253" s="58"/>
      <c r="AO253" s="58"/>
      <c r="AP253" s="115">
        <f t="shared" si="129"/>
        <v>0</v>
      </c>
      <c r="AQ253" s="69"/>
      <c r="AR253" s="69"/>
      <c r="AS253" s="69"/>
      <c r="AT253" s="69"/>
      <c r="AU253" s="59">
        <f t="shared" si="130"/>
        <v>0</v>
      </c>
      <c r="AV253" s="60">
        <f t="shared" si="131"/>
        <v>0</v>
      </c>
      <c r="AW253" s="58"/>
      <c r="AX253" s="58"/>
      <c r="AY253" s="58"/>
      <c r="AZ253" s="60">
        <f t="shared" si="160"/>
        <v>0</v>
      </c>
      <c r="BA253" s="58"/>
      <c r="BB253" s="58"/>
      <c r="BC253" s="58"/>
      <c r="BD253" s="60">
        <f>SUM(Tableau1[[#This Row],[ticket/carte/abonnement périmé]:[Autres ou non précisé 5]])</f>
        <v>0</v>
      </c>
      <c r="BE253" s="58"/>
      <c r="BF253" s="58"/>
      <c r="BG253" s="58"/>
      <c r="BH253" s="61">
        <f t="shared" si="132"/>
        <v>0</v>
      </c>
      <c r="BI253" s="120"/>
      <c r="BJ253" s="120"/>
      <c r="BK253" s="62">
        <f t="shared" si="133"/>
        <v>0</v>
      </c>
      <c r="BL253" s="120"/>
      <c r="BM253" s="120"/>
      <c r="BN253" s="120"/>
      <c r="BO253" s="120"/>
      <c r="BP253" s="120"/>
      <c r="BQ253" s="63"/>
      <c r="BR253" s="52">
        <f t="shared" si="134"/>
        <v>0</v>
      </c>
      <c r="BS253" s="52">
        <f t="shared" si="135"/>
        <v>0</v>
      </c>
      <c r="BT253" s="61">
        <f t="shared" si="136"/>
        <v>0</v>
      </c>
      <c r="BU253" s="64">
        <f t="shared" si="137"/>
        <v>0</v>
      </c>
      <c r="BV253" s="119">
        <f>SUM(Tableau1[[#This Row],[Achats confiserie]:[Achats boisson]])</f>
        <v>0</v>
      </c>
      <c r="BW253" s="58"/>
      <c r="BX253" s="69"/>
      <c r="BY253" s="58"/>
      <c r="BZ253" s="56">
        <f t="shared" si="138"/>
        <v>0</v>
      </c>
      <c r="CA253" s="66"/>
      <c r="CB253" s="66"/>
      <c r="CC253" s="56">
        <f t="shared" si="139"/>
        <v>0</v>
      </c>
      <c r="CD253" s="55"/>
      <c r="CE253" s="65"/>
      <c r="CF253" s="55"/>
      <c r="CG253" s="55"/>
      <c r="CH253" s="67">
        <f t="shared" si="140"/>
        <v>0</v>
      </c>
      <c r="CI253" s="68">
        <f t="shared" si="156"/>
        <v>0</v>
      </c>
      <c r="CJ253" s="55"/>
      <c r="CK253" s="55"/>
      <c r="CL253" s="55"/>
      <c r="CM253" s="55"/>
      <c r="CN253" s="55"/>
      <c r="CO253" s="68">
        <f t="shared" si="141"/>
        <v>0</v>
      </c>
      <c r="CP253" s="75">
        <f>SUM(Tableau1[[#This Row],[Fourniture eau]:[Energie (non précisé)]])</f>
        <v>0</v>
      </c>
      <c r="CQ253" s="55"/>
      <c r="CR253" s="55"/>
      <c r="CS253" s="55"/>
      <c r="CT253" s="55"/>
      <c r="CU253" s="55"/>
      <c r="CV253" s="55">
        <v>0</v>
      </c>
      <c r="CW253" s="55"/>
      <c r="CX253" s="68">
        <f>SUM(Tableau1[[#This Row],[Sous-traitance]:[Autres ou non précisé 12]])</f>
        <v>0</v>
      </c>
      <c r="CY253" s="65"/>
      <c r="CZ253" s="65"/>
      <c r="DA253" s="65"/>
      <c r="DB253" s="65"/>
      <c r="DC253" s="55"/>
      <c r="DD253" s="68">
        <f t="shared" si="161"/>
        <v>0</v>
      </c>
      <c r="DE253" s="55"/>
      <c r="DF253" s="65"/>
      <c r="DG253" s="65"/>
      <c r="DH253" s="65"/>
      <c r="DI253" s="68">
        <f>SUM(Tableau1[[#This Row],[Entretien et réparation matériel de projection]:[Autres ou non précisé 14]])</f>
        <v>0</v>
      </c>
      <c r="DJ253" s="58"/>
      <c r="DK253" s="58"/>
      <c r="DL253" s="69"/>
      <c r="DM253" s="68">
        <f t="shared" si="142"/>
        <v>0</v>
      </c>
      <c r="DN253" s="58"/>
      <c r="DO253" s="58"/>
      <c r="DP253" s="68">
        <f t="shared" si="143"/>
        <v>0</v>
      </c>
      <c r="DQ253" s="65"/>
      <c r="DR253" s="65"/>
      <c r="DS253" s="68">
        <f t="shared" si="144"/>
        <v>0</v>
      </c>
      <c r="DT253" s="65"/>
      <c r="DU253" s="65"/>
      <c r="DV253" s="65"/>
      <c r="DW253" s="68">
        <f>SUM(Tableau1[[#This Row],[Comission et courtage sur achats]:[Autres ou honoraires
 non précisé ]])</f>
        <v>0</v>
      </c>
      <c r="DX253" s="57"/>
      <c r="DY253" s="57"/>
      <c r="DZ253" s="65"/>
      <c r="EA253" s="65"/>
      <c r="EB253" s="65"/>
      <c r="EC253" s="68">
        <f t="shared" si="145"/>
        <v>0</v>
      </c>
      <c r="ED253" s="69"/>
      <c r="EE253" s="69"/>
      <c r="EF253" s="69"/>
      <c r="EG253" s="69"/>
      <c r="EH253" s="69"/>
      <c r="EI253" s="84">
        <f>SUM(Tableau1[[#This Row],[Transports sur films]:[autres ]])</f>
        <v>0</v>
      </c>
      <c r="EJ253" s="132">
        <v>0</v>
      </c>
      <c r="EK253" s="132"/>
      <c r="EL253" s="68">
        <f t="shared" si="146"/>
        <v>0</v>
      </c>
      <c r="EM253" s="65"/>
      <c r="EN253" s="65">
        <v>0</v>
      </c>
      <c r="EO253" s="65"/>
      <c r="EP253" s="65"/>
      <c r="EQ253" s="65"/>
      <c r="ER253" s="65"/>
      <c r="ES253" s="65"/>
      <c r="ET253" s="68">
        <f t="shared" si="147"/>
        <v>0</v>
      </c>
      <c r="EU253" s="65"/>
      <c r="EV253" s="65"/>
      <c r="EW253" s="65"/>
      <c r="EX253" s="65"/>
      <c r="EY253" s="65"/>
      <c r="EZ253" s="68">
        <f t="shared" si="163"/>
        <v>0</v>
      </c>
      <c r="FA253" s="65"/>
      <c r="FB253" s="65"/>
      <c r="FC253" s="70">
        <f t="shared" si="162"/>
        <v>0</v>
      </c>
      <c r="FD253" s="65"/>
      <c r="FE253" s="71">
        <f t="shared" si="148"/>
        <v>0</v>
      </c>
      <c r="FF253" s="72">
        <f t="shared" si="149"/>
        <v>0</v>
      </c>
      <c r="FG253" s="65"/>
      <c r="FH253" s="65"/>
      <c r="FI253" s="65"/>
      <c r="FJ253" s="56">
        <f t="shared" si="150"/>
        <v>0</v>
      </c>
      <c r="FK253" s="65"/>
      <c r="FL253" s="65"/>
      <c r="FM253" s="65"/>
      <c r="FN253" s="65"/>
      <c r="FO253" s="67">
        <f t="shared" si="151"/>
        <v>0</v>
      </c>
      <c r="FP253" s="57"/>
      <c r="FQ253" s="73"/>
      <c r="FR253" s="73"/>
      <c r="FS253" s="71">
        <f t="shared" si="152"/>
        <v>0</v>
      </c>
      <c r="FT253" s="91"/>
      <c r="FU253" s="91"/>
      <c r="FV253" s="67">
        <f>SUM(Tableau1[[#This Row],[Droits d''auteurs SACEM + cotisations SACEM]:[Autres ou non préciés]])</f>
        <v>0</v>
      </c>
      <c r="FW253" s="75">
        <f t="shared" si="153"/>
        <v>0</v>
      </c>
      <c r="FX253" s="74">
        <v>0</v>
      </c>
      <c r="FY253" s="74"/>
      <c r="FZ253" s="74"/>
      <c r="GA253" s="74"/>
      <c r="GB253" s="71">
        <f t="shared" si="154"/>
        <v>0</v>
      </c>
      <c r="GC253" s="92"/>
      <c r="GD253" s="92"/>
      <c r="GE253" s="67">
        <f t="shared" si="155"/>
        <v>0</v>
      </c>
      <c r="GF253" s="66"/>
      <c r="GG253" s="66"/>
      <c r="GH253" s="66"/>
      <c r="GI253" s="66"/>
      <c r="GJ253" s="77"/>
    </row>
    <row r="254" spans="1:192" ht="18.600000000000001" customHeight="1" x14ac:dyDescent="0.25">
      <c r="A254" s="89"/>
      <c r="B254" s="17"/>
      <c r="C254" s="50"/>
      <c r="D254" s="140"/>
      <c r="E254" s="51"/>
      <c r="F254" s="139">
        <f t="shared" si="159"/>
        <v>1</v>
      </c>
      <c r="G254" s="49"/>
      <c r="H254" s="50"/>
      <c r="I254" s="122"/>
      <c r="J254" s="49"/>
      <c r="K254" s="50"/>
      <c r="L254" s="50"/>
      <c r="M254" s="90"/>
      <c r="N254" s="50"/>
      <c r="O254" s="50"/>
      <c r="P254" s="90"/>
      <c r="Q254" s="52">
        <f t="shared" si="125"/>
        <v>0</v>
      </c>
      <c r="R254" s="52">
        <f t="shared" si="126"/>
        <v>0</v>
      </c>
      <c r="S254" s="53">
        <f t="shared" si="127"/>
        <v>0</v>
      </c>
      <c r="T254" s="54">
        <f t="shared" si="128"/>
        <v>0</v>
      </c>
      <c r="U254" s="115">
        <f>SUM(Tableau1[[#This Row],[Vente confiserie]:[Vente boisson]])</f>
        <v>0</v>
      </c>
      <c r="V254" s="55"/>
      <c r="W254" s="55"/>
      <c r="X254" s="135">
        <f>SUM(Tableau1[[#This Row],[Vente lunette]:[Location lunette]])</f>
        <v>0</v>
      </c>
      <c r="Y254" s="55"/>
      <c r="Z254" s="55"/>
      <c r="AA254" s="55"/>
      <c r="AB254" s="55"/>
      <c r="AC254" s="56">
        <f t="shared" si="157"/>
        <v>0</v>
      </c>
      <c r="AD254" s="57"/>
      <c r="AE254" s="57"/>
      <c r="AF254" s="57"/>
      <c r="AG254" s="57"/>
      <c r="AH254" s="57"/>
      <c r="AI254" s="57"/>
      <c r="AJ254" s="118">
        <f>(Tableau1[[#This Row],[Recette guichet ]]*1.1275177)-Tableau1[[#This Row],[Recette guichet ]]</f>
        <v>0</v>
      </c>
      <c r="AK254" s="57"/>
      <c r="AL254" s="56">
        <f t="shared" si="158"/>
        <v>0</v>
      </c>
      <c r="AM254" s="58"/>
      <c r="AN254" s="58"/>
      <c r="AO254" s="58"/>
      <c r="AP254" s="115">
        <f t="shared" si="129"/>
        <v>0</v>
      </c>
      <c r="AQ254" s="69"/>
      <c r="AR254" s="69"/>
      <c r="AS254" s="69"/>
      <c r="AT254" s="69"/>
      <c r="AU254" s="59">
        <f t="shared" si="130"/>
        <v>0</v>
      </c>
      <c r="AV254" s="60">
        <f t="shared" si="131"/>
        <v>0</v>
      </c>
      <c r="AW254" s="58"/>
      <c r="AX254" s="58"/>
      <c r="AY254" s="58"/>
      <c r="AZ254" s="60">
        <f t="shared" si="160"/>
        <v>0</v>
      </c>
      <c r="BA254" s="58"/>
      <c r="BB254" s="58"/>
      <c r="BC254" s="58"/>
      <c r="BD254" s="60">
        <f>SUM(Tableau1[[#This Row],[ticket/carte/abonnement périmé]:[Autres ou non précisé 5]])</f>
        <v>0</v>
      </c>
      <c r="BE254" s="58"/>
      <c r="BF254" s="58"/>
      <c r="BG254" s="58"/>
      <c r="BH254" s="61">
        <f t="shared" si="132"/>
        <v>0</v>
      </c>
      <c r="BI254" s="120"/>
      <c r="BJ254" s="120"/>
      <c r="BK254" s="62">
        <f t="shared" si="133"/>
        <v>0</v>
      </c>
      <c r="BL254" s="120"/>
      <c r="BM254" s="120"/>
      <c r="BN254" s="120"/>
      <c r="BO254" s="120"/>
      <c r="BP254" s="120"/>
      <c r="BQ254" s="63"/>
      <c r="BR254" s="52">
        <f t="shared" si="134"/>
        <v>0</v>
      </c>
      <c r="BS254" s="52">
        <f t="shared" si="135"/>
        <v>0</v>
      </c>
      <c r="BT254" s="61">
        <f t="shared" si="136"/>
        <v>0</v>
      </c>
      <c r="BU254" s="64">
        <f t="shared" si="137"/>
        <v>0</v>
      </c>
      <c r="BV254" s="119">
        <f>SUM(Tableau1[[#This Row],[Achats confiserie]:[Achats boisson]])</f>
        <v>0</v>
      </c>
      <c r="BW254" s="58"/>
      <c r="BX254" s="69"/>
      <c r="BY254" s="58"/>
      <c r="BZ254" s="56">
        <f t="shared" si="138"/>
        <v>0</v>
      </c>
      <c r="CA254" s="66"/>
      <c r="CB254" s="66"/>
      <c r="CC254" s="56">
        <f t="shared" si="139"/>
        <v>0</v>
      </c>
      <c r="CD254" s="55"/>
      <c r="CE254" s="65"/>
      <c r="CF254" s="55"/>
      <c r="CG254" s="55"/>
      <c r="CH254" s="67">
        <f t="shared" si="140"/>
        <v>0</v>
      </c>
      <c r="CI254" s="68">
        <f t="shared" si="156"/>
        <v>0</v>
      </c>
      <c r="CJ254" s="55"/>
      <c r="CK254" s="55"/>
      <c r="CL254" s="55"/>
      <c r="CM254" s="55"/>
      <c r="CN254" s="55"/>
      <c r="CO254" s="68">
        <f t="shared" si="141"/>
        <v>0</v>
      </c>
      <c r="CP254" s="75">
        <f>SUM(Tableau1[[#This Row],[Fourniture eau]:[Energie (non précisé)]])</f>
        <v>0</v>
      </c>
      <c r="CQ254" s="55"/>
      <c r="CR254" s="55"/>
      <c r="CS254" s="55"/>
      <c r="CT254" s="55"/>
      <c r="CU254" s="55"/>
      <c r="CV254" s="55">
        <v>0</v>
      </c>
      <c r="CW254" s="55"/>
      <c r="CX254" s="68">
        <f>SUM(Tableau1[[#This Row],[Sous-traitance]:[Autres ou non précisé 12]])</f>
        <v>0</v>
      </c>
      <c r="CY254" s="65"/>
      <c r="CZ254" s="65"/>
      <c r="DA254" s="65"/>
      <c r="DB254" s="65"/>
      <c r="DC254" s="55"/>
      <c r="DD254" s="68">
        <f t="shared" si="161"/>
        <v>0</v>
      </c>
      <c r="DE254" s="55"/>
      <c r="DF254" s="65"/>
      <c r="DG254" s="65"/>
      <c r="DH254" s="65"/>
      <c r="DI254" s="68">
        <f>SUM(Tableau1[[#This Row],[Entretien et réparation matériel de projection]:[Autres ou non précisé 14]])</f>
        <v>0</v>
      </c>
      <c r="DJ254" s="58"/>
      <c r="DK254" s="58"/>
      <c r="DL254" s="69"/>
      <c r="DM254" s="68">
        <f t="shared" si="142"/>
        <v>0</v>
      </c>
      <c r="DN254" s="58"/>
      <c r="DO254" s="58"/>
      <c r="DP254" s="68">
        <f t="shared" si="143"/>
        <v>0</v>
      </c>
      <c r="DQ254" s="65"/>
      <c r="DR254" s="65"/>
      <c r="DS254" s="68">
        <f t="shared" si="144"/>
        <v>0</v>
      </c>
      <c r="DT254" s="65"/>
      <c r="DU254" s="65"/>
      <c r="DV254" s="65"/>
      <c r="DW254" s="68">
        <f>SUM(Tableau1[[#This Row],[Comission et courtage sur achats]:[Autres ou honoraires
 non précisé ]])</f>
        <v>0</v>
      </c>
      <c r="DX254" s="57"/>
      <c r="DY254" s="57"/>
      <c r="DZ254" s="65"/>
      <c r="EA254" s="65"/>
      <c r="EB254" s="65"/>
      <c r="EC254" s="68">
        <f t="shared" si="145"/>
        <v>0</v>
      </c>
      <c r="ED254" s="69"/>
      <c r="EE254" s="69"/>
      <c r="EF254" s="69"/>
      <c r="EG254" s="69"/>
      <c r="EH254" s="69"/>
      <c r="EI254" s="84">
        <f>SUM(Tableau1[[#This Row],[Transports sur films]:[autres ]])</f>
        <v>0</v>
      </c>
      <c r="EJ254" s="132">
        <v>0</v>
      </c>
      <c r="EK254" s="132"/>
      <c r="EL254" s="68">
        <f t="shared" si="146"/>
        <v>0</v>
      </c>
      <c r="EM254" s="65"/>
      <c r="EN254" s="65">
        <v>0</v>
      </c>
      <c r="EO254" s="65"/>
      <c r="EP254" s="65"/>
      <c r="EQ254" s="65"/>
      <c r="ER254" s="65"/>
      <c r="ES254" s="65"/>
      <c r="ET254" s="68">
        <f t="shared" si="147"/>
        <v>0</v>
      </c>
      <c r="EU254" s="65"/>
      <c r="EV254" s="65"/>
      <c r="EW254" s="65"/>
      <c r="EX254" s="65"/>
      <c r="EY254" s="65"/>
      <c r="EZ254" s="68">
        <f t="shared" si="163"/>
        <v>0</v>
      </c>
      <c r="FA254" s="65"/>
      <c r="FB254" s="65"/>
      <c r="FC254" s="70">
        <f t="shared" si="162"/>
        <v>0</v>
      </c>
      <c r="FD254" s="65"/>
      <c r="FE254" s="71">
        <f t="shared" si="148"/>
        <v>0</v>
      </c>
      <c r="FF254" s="72">
        <f t="shared" si="149"/>
        <v>0</v>
      </c>
      <c r="FG254" s="65"/>
      <c r="FH254" s="65"/>
      <c r="FI254" s="65"/>
      <c r="FJ254" s="56">
        <f t="shared" si="150"/>
        <v>0</v>
      </c>
      <c r="FK254" s="65"/>
      <c r="FL254" s="65"/>
      <c r="FM254" s="65"/>
      <c r="FN254" s="65"/>
      <c r="FO254" s="67">
        <f t="shared" si="151"/>
        <v>0</v>
      </c>
      <c r="FP254" s="57"/>
      <c r="FQ254" s="73"/>
      <c r="FR254" s="73"/>
      <c r="FS254" s="71">
        <f t="shared" si="152"/>
        <v>0</v>
      </c>
      <c r="FT254" s="91"/>
      <c r="FU254" s="91"/>
      <c r="FV254" s="67">
        <f>SUM(Tableau1[[#This Row],[Droits d''auteurs SACEM + cotisations SACEM]:[Autres ou non préciés]])</f>
        <v>0</v>
      </c>
      <c r="FW254" s="75">
        <f t="shared" si="153"/>
        <v>0</v>
      </c>
      <c r="FX254" s="74">
        <v>0</v>
      </c>
      <c r="FY254" s="74"/>
      <c r="FZ254" s="74"/>
      <c r="GA254" s="74"/>
      <c r="GB254" s="71">
        <f t="shared" si="154"/>
        <v>0</v>
      </c>
      <c r="GC254" s="92"/>
      <c r="GD254" s="92"/>
      <c r="GE254" s="67">
        <f t="shared" si="155"/>
        <v>0</v>
      </c>
      <c r="GF254" s="66"/>
      <c r="GG254" s="66"/>
      <c r="GH254" s="66"/>
      <c r="GI254" s="66"/>
      <c r="GJ254" s="77"/>
    </row>
    <row r="255" spans="1:192" ht="18.600000000000001" customHeight="1" x14ac:dyDescent="0.25">
      <c r="A255" s="89"/>
      <c r="B255" s="17"/>
      <c r="C255" s="50"/>
      <c r="D255" s="140"/>
      <c r="E255" s="51"/>
      <c r="F255" s="139">
        <f t="shared" si="159"/>
        <v>1</v>
      </c>
      <c r="G255" s="49"/>
      <c r="H255" s="50"/>
      <c r="I255" s="122"/>
      <c r="J255" s="49"/>
      <c r="K255" s="50"/>
      <c r="L255" s="50"/>
      <c r="M255" s="90"/>
      <c r="N255" s="50"/>
      <c r="O255" s="50"/>
      <c r="P255" s="90"/>
      <c r="Q255" s="52">
        <f t="shared" si="125"/>
        <v>0</v>
      </c>
      <c r="R255" s="52">
        <f t="shared" si="126"/>
        <v>0</v>
      </c>
      <c r="S255" s="53">
        <f t="shared" si="127"/>
        <v>0</v>
      </c>
      <c r="T255" s="54">
        <f t="shared" si="128"/>
        <v>0</v>
      </c>
      <c r="U255" s="115">
        <f>SUM(Tableau1[[#This Row],[Vente confiserie]:[Vente boisson]])</f>
        <v>0</v>
      </c>
      <c r="V255" s="55"/>
      <c r="W255" s="55"/>
      <c r="X255" s="135">
        <f>SUM(Tableau1[[#This Row],[Vente lunette]:[Location lunette]])</f>
        <v>0</v>
      </c>
      <c r="Y255" s="55"/>
      <c r="Z255" s="55"/>
      <c r="AA255" s="55"/>
      <c r="AB255" s="55"/>
      <c r="AC255" s="56">
        <f t="shared" si="157"/>
        <v>0</v>
      </c>
      <c r="AD255" s="57"/>
      <c r="AE255" s="57"/>
      <c r="AF255" s="57"/>
      <c r="AG255" s="57"/>
      <c r="AH255" s="57"/>
      <c r="AI255" s="57"/>
      <c r="AJ255" s="118">
        <f>(Tableau1[[#This Row],[Recette guichet ]]*1.1275177)-Tableau1[[#This Row],[Recette guichet ]]</f>
        <v>0</v>
      </c>
      <c r="AK255" s="57"/>
      <c r="AL255" s="56">
        <f t="shared" si="158"/>
        <v>0</v>
      </c>
      <c r="AM255" s="58"/>
      <c r="AN255" s="58"/>
      <c r="AO255" s="58"/>
      <c r="AP255" s="115">
        <f t="shared" si="129"/>
        <v>0</v>
      </c>
      <c r="AQ255" s="69"/>
      <c r="AR255" s="69"/>
      <c r="AS255" s="69"/>
      <c r="AT255" s="69"/>
      <c r="AU255" s="59">
        <f t="shared" si="130"/>
        <v>0</v>
      </c>
      <c r="AV255" s="60">
        <f t="shared" si="131"/>
        <v>0</v>
      </c>
      <c r="AW255" s="58"/>
      <c r="AX255" s="58"/>
      <c r="AY255" s="58"/>
      <c r="AZ255" s="60">
        <f t="shared" si="160"/>
        <v>0</v>
      </c>
      <c r="BA255" s="58"/>
      <c r="BB255" s="58"/>
      <c r="BC255" s="58"/>
      <c r="BD255" s="60">
        <f>SUM(Tableau1[[#This Row],[ticket/carte/abonnement périmé]:[Autres ou non précisé 5]])</f>
        <v>0</v>
      </c>
      <c r="BE255" s="58"/>
      <c r="BF255" s="58"/>
      <c r="BG255" s="58"/>
      <c r="BH255" s="61">
        <f t="shared" si="132"/>
        <v>0</v>
      </c>
      <c r="BI255" s="120"/>
      <c r="BJ255" s="120"/>
      <c r="BK255" s="62">
        <f t="shared" si="133"/>
        <v>0</v>
      </c>
      <c r="BL255" s="120"/>
      <c r="BM255" s="120"/>
      <c r="BN255" s="120"/>
      <c r="BO255" s="120"/>
      <c r="BP255" s="120"/>
      <c r="BQ255" s="63"/>
      <c r="BR255" s="52">
        <f t="shared" si="134"/>
        <v>0</v>
      </c>
      <c r="BS255" s="52">
        <f t="shared" si="135"/>
        <v>0</v>
      </c>
      <c r="BT255" s="61">
        <f t="shared" si="136"/>
        <v>0</v>
      </c>
      <c r="BU255" s="64">
        <f t="shared" si="137"/>
        <v>0</v>
      </c>
      <c r="BV255" s="119">
        <f>SUM(Tableau1[[#This Row],[Achats confiserie]:[Achats boisson]])</f>
        <v>0</v>
      </c>
      <c r="BW255" s="58"/>
      <c r="BX255" s="69"/>
      <c r="BY255" s="58"/>
      <c r="BZ255" s="56">
        <f t="shared" si="138"/>
        <v>0</v>
      </c>
      <c r="CA255" s="66"/>
      <c r="CB255" s="66"/>
      <c r="CC255" s="56">
        <f t="shared" si="139"/>
        <v>0</v>
      </c>
      <c r="CD255" s="55"/>
      <c r="CE255" s="65"/>
      <c r="CF255" s="55"/>
      <c r="CG255" s="55"/>
      <c r="CH255" s="67">
        <f t="shared" si="140"/>
        <v>0</v>
      </c>
      <c r="CI255" s="68">
        <f t="shared" si="156"/>
        <v>0</v>
      </c>
      <c r="CJ255" s="55"/>
      <c r="CK255" s="55"/>
      <c r="CL255" s="55"/>
      <c r="CM255" s="55"/>
      <c r="CN255" s="55"/>
      <c r="CO255" s="68">
        <f t="shared" si="141"/>
        <v>0</v>
      </c>
      <c r="CP255" s="75">
        <f>SUM(Tableau1[[#This Row],[Fourniture eau]:[Energie (non précisé)]])</f>
        <v>0</v>
      </c>
      <c r="CQ255" s="55"/>
      <c r="CR255" s="55"/>
      <c r="CS255" s="55"/>
      <c r="CT255" s="55"/>
      <c r="CU255" s="55"/>
      <c r="CV255" s="55">
        <v>0</v>
      </c>
      <c r="CW255" s="55"/>
      <c r="CX255" s="68">
        <f>SUM(Tableau1[[#This Row],[Sous-traitance]:[Autres ou non précisé 12]])</f>
        <v>0</v>
      </c>
      <c r="CY255" s="65"/>
      <c r="CZ255" s="65"/>
      <c r="DA255" s="65"/>
      <c r="DB255" s="65"/>
      <c r="DC255" s="55"/>
      <c r="DD255" s="68">
        <f t="shared" si="161"/>
        <v>0</v>
      </c>
      <c r="DE255" s="55"/>
      <c r="DF255" s="65"/>
      <c r="DG255" s="65"/>
      <c r="DH255" s="65"/>
      <c r="DI255" s="68">
        <f>SUM(Tableau1[[#This Row],[Entretien et réparation matériel de projection]:[Autres ou non précisé 14]])</f>
        <v>0</v>
      </c>
      <c r="DJ255" s="58"/>
      <c r="DK255" s="58"/>
      <c r="DL255" s="69"/>
      <c r="DM255" s="68">
        <f t="shared" si="142"/>
        <v>0</v>
      </c>
      <c r="DN255" s="58"/>
      <c r="DO255" s="58"/>
      <c r="DP255" s="68">
        <f t="shared" si="143"/>
        <v>0</v>
      </c>
      <c r="DQ255" s="65"/>
      <c r="DR255" s="65"/>
      <c r="DS255" s="68">
        <f t="shared" si="144"/>
        <v>0</v>
      </c>
      <c r="DT255" s="65"/>
      <c r="DU255" s="65"/>
      <c r="DV255" s="65"/>
      <c r="DW255" s="68">
        <f>SUM(Tableau1[[#This Row],[Comission et courtage sur achats]:[Autres ou honoraires
 non précisé ]])</f>
        <v>0</v>
      </c>
      <c r="DX255" s="57"/>
      <c r="DY255" s="57"/>
      <c r="DZ255" s="65"/>
      <c r="EA255" s="65"/>
      <c r="EB255" s="65"/>
      <c r="EC255" s="68">
        <f t="shared" si="145"/>
        <v>0</v>
      </c>
      <c r="ED255" s="69"/>
      <c r="EE255" s="69"/>
      <c r="EF255" s="69"/>
      <c r="EG255" s="69"/>
      <c r="EH255" s="69"/>
      <c r="EI255" s="84">
        <f>SUM(Tableau1[[#This Row],[Transports sur films]:[autres ]])</f>
        <v>0</v>
      </c>
      <c r="EJ255" s="132">
        <v>0</v>
      </c>
      <c r="EK255" s="132"/>
      <c r="EL255" s="68">
        <f t="shared" si="146"/>
        <v>0</v>
      </c>
      <c r="EM255" s="65"/>
      <c r="EN255" s="65">
        <v>0</v>
      </c>
      <c r="EO255" s="65"/>
      <c r="EP255" s="65"/>
      <c r="EQ255" s="65"/>
      <c r="ER255" s="65"/>
      <c r="ES255" s="65"/>
      <c r="ET255" s="68">
        <f t="shared" si="147"/>
        <v>0</v>
      </c>
      <c r="EU255" s="65"/>
      <c r="EV255" s="65"/>
      <c r="EW255" s="65"/>
      <c r="EX255" s="65"/>
      <c r="EY255" s="65"/>
      <c r="EZ255" s="68">
        <f t="shared" si="163"/>
        <v>0</v>
      </c>
      <c r="FA255" s="65"/>
      <c r="FB255" s="65"/>
      <c r="FC255" s="70">
        <f t="shared" si="162"/>
        <v>0</v>
      </c>
      <c r="FD255" s="65"/>
      <c r="FE255" s="71">
        <f t="shared" si="148"/>
        <v>0</v>
      </c>
      <c r="FF255" s="72">
        <f t="shared" si="149"/>
        <v>0</v>
      </c>
      <c r="FG255" s="65"/>
      <c r="FH255" s="65"/>
      <c r="FI255" s="65"/>
      <c r="FJ255" s="56">
        <f t="shared" si="150"/>
        <v>0</v>
      </c>
      <c r="FK255" s="65"/>
      <c r="FL255" s="65"/>
      <c r="FM255" s="65"/>
      <c r="FN255" s="65"/>
      <c r="FO255" s="67">
        <f t="shared" si="151"/>
        <v>0</v>
      </c>
      <c r="FP255" s="57"/>
      <c r="FQ255" s="73"/>
      <c r="FR255" s="73"/>
      <c r="FS255" s="71">
        <f t="shared" si="152"/>
        <v>0</v>
      </c>
      <c r="FT255" s="91"/>
      <c r="FU255" s="91"/>
      <c r="FV255" s="67">
        <f>SUM(Tableau1[[#This Row],[Droits d''auteurs SACEM + cotisations SACEM]:[Autres ou non préciés]])</f>
        <v>0</v>
      </c>
      <c r="FW255" s="75">
        <f t="shared" si="153"/>
        <v>0</v>
      </c>
      <c r="FX255" s="74">
        <v>0</v>
      </c>
      <c r="FY255" s="74"/>
      <c r="FZ255" s="74"/>
      <c r="GA255" s="74"/>
      <c r="GB255" s="71">
        <f t="shared" si="154"/>
        <v>0</v>
      </c>
      <c r="GC255" s="92"/>
      <c r="GD255" s="92"/>
      <c r="GE255" s="67">
        <f t="shared" si="155"/>
        <v>0</v>
      </c>
      <c r="GF255" s="66"/>
      <c r="GG255" s="66"/>
      <c r="GH255" s="66"/>
      <c r="GI255" s="66"/>
      <c r="GJ255" s="77"/>
    </row>
    <row r="256" spans="1:192" ht="18.600000000000001" customHeight="1" x14ac:dyDescent="0.25">
      <c r="A256" s="89"/>
      <c r="B256" s="17"/>
      <c r="C256" s="50"/>
      <c r="D256" s="140"/>
      <c r="E256" s="51"/>
      <c r="F256" s="139">
        <f t="shared" si="159"/>
        <v>1</v>
      </c>
      <c r="G256" s="49"/>
      <c r="H256" s="50"/>
      <c r="I256" s="122"/>
      <c r="J256" s="49"/>
      <c r="K256" s="50"/>
      <c r="L256" s="50"/>
      <c r="M256" s="90"/>
      <c r="N256" s="50"/>
      <c r="O256" s="50"/>
      <c r="P256" s="90"/>
      <c r="Q256" s="52">
        <f t="shared" si="125"/>
        <v>0</v>
      </c>
      <c r="R256" s="52">
        <f t="shared" si="126"/>
        <v>0</v>
      </c>
      <c r="S256" s="53">
        <f t="shared" si="127"/>
        <v>0</v>
      </c>
      <c r="T256" s="54">
        <f t="shared" si="128"/>
        <v>0</v>
      </c>
      <c r="U256" s="115">
        <f>SUM(Tableau1[[#This Row],[Vente confiserie]:[Vente boisson]])</f>
        <v>0</v>
      </c>
      <c r="V256" s="55"/>
      <c r="W256" s="55"/>
      <c r="X256" s="135">
        <f>SUM(Tableau1[[#This Row],[Vente lunette]:[Location lunette]])</f>
        <v>0</v>
      </c>
      <c r="Y256" s="55"/>
      <c r="Z256" s="55"/>
      <c r="AA256" s="55"/>
      <c r="AB256" s="55"/>
      <c r="AC256" s="56">
        <f t="shared" si="157"/>
        <v>0</v>
      </c>
      <c r="AD256" s="57"/>
      <c r="AE256" s="57"/>
      <c r="AF256" s="57"/>
      <c r="AG256" s="57"/>
      <c r="AH256" s="57"/>
      <c r="AI256" s="57"/>
      <c r="AJ256" s="118">
        <f>(Tableau1[[#This Row],[Recette guichet ]]*1.1275177)-Tableau1[[#This Row],[Recette guichet ]]</f>
        <v>0</v>
      </c>
      <c r="AK256" s="57"/>
      <c r="AL256" s="56">
        <f t="shared" si="158"/>
        <v>0</v>
      </c>
      <c r="AM256" s="58"/>
      <c r="AN256" s="58"/>
      <c r="AO256" s="58"/>
      <c r="AP256" s="115">
        <f t="shared" si="129"/>
        <v>0</v>
      </c>
      <c r="AQ256" s="69"/>
      <c r="AR256" s="69"/>
      <c r="AS256" s="69"/>
      <c r="AT256" s="69"/>
      <c r="AU256" s="59">
        <f t="shared" si="130"/>
        <v>0</v>
      </c>
      <c r="AV256" s="60">
        <f t="shared" si="131"/>
        <v>0</v>
      </c>
      <c r="AW256" s="58"/>
      <c r="AX256" s="58"/>
      <c r="AY256" s="58"/>
      <c r="AZ256" s="60">
        <f t="shared" si="160"/>
        <v>0</v>
      </c>
      <c r="BA256" s="58"/>
      <c r="BB256" s="58"/>
      <c r="BC256" s="58"/>
      <c r="BD256" s="60">
        <f>SUM(Tableau1[[#This Row],[ticket/carte/abonnement périmé]:[Autres ou non précisé 5]])</f>
        <v>0</v>
      </c>
      <c r="BE256" s="58"/>
      <c r="BF256" s="58"/>
      <c r="BG256" s="58"/>
      <c r="BH256" s="61">
        <f t="shared" si="132"/>
        <v>0</v>
      </c>
      <c r="BI256" s="120"/>
      <c r="BJ256" s="120"/>
      <c r="BK256" s="62">
        <f t="shared" si="133"/>
        <v>0</v>
      </c>
      <c r="BL256" s="120"/>
      <c r="BM256" s="120"/>
      <c r="BN256" s="120"/>
      <c r="BO256" s="120"/>
      <c r="BP256" s="120"/>
      <c r="BQ256" s="63"/>
      <c r="BR256" s="52">
        <f t="shared" si="134"/>
        <v>0</v>
      </c>
      <c r="BS256" s="52">
        <f t="shared" si="135"/>
        <v>0</v>
      </c>
      <c r="BT256" s="61">
        <f t="shared" si="136"/>
        <v>0</v>
      </c>
      <c r="BU256" s="64">
        <f t="shared" si="137"/>
        <v>0</v>
      </c>
      <c r="BV256" s="119">
        <f>SUM(Tableau1[[#This Row],[Achats confiserie]:[Achats boisson]])</f>
        <v>0</v>
      </c>
      <c r="BW256" s="58"/>
      <c r="BX256" s="69"/>
      <c r="BY256" s="58"/>
      <c r="BZ256" s="56">
        <f t="shared" si="138"/>
        <v>0</v>
      </c>
      <c r="CA256" s="66"/>
      <c r="CB256" s="66"/>
      <c r="CC256" s="56">
        <f t="shared" si="139"/>
        <v>0</v>
      </c>
      <c r="CD256" s="55"/>
      <c r="CE256" s="65"/>
      <c r="CF256" s="55"/>
      <c r="CG256" s="55"/>
      <c r="CH256" s="67">
        <f t="shared" si="140"/>
        <v>0</v>
      </c>
      <c r="CI256" s="68">
        <f t="shared" si="156"/>
        <v>0</v>
      </c>
      <c r="CJ256" s="55"/>
      <c r="CK256" s="55"/>
      <c r="CL256" s="55"/>
      <c r="CM256" s="55"/>
      <c r="CN256" s="55"/>
      <c r="CO256" s="68">
        <f t="shared" si="141"/>
        <v>0</v>
      </c>
      <c r="CP256" s="75">
        <f>SUM(Tableau1[[#This Row],[Fourniture eau]:[Energie (non précisé)]])</f>
        <v>0</v>
      </c>
      <c r="CQ256" s="55"/>
      <c r="CR256" s="55"/>
      <c r="CS256" s="55"/>
      <c r="CT256" s="55"/>
      <c r="CU256" s="55"/>
      <c r="CV256" s="55">
        <v>0</v>
      </c>
      <c r="CW256" s="55"/>
      <c r="CX256" s="68">
        <f>SUM(Tableau1[[#This Row],[Sous-traitance]:[Autres ou non précisé 12]])</f>
        <v>0</v>
      </c>
      <c r="CY256" s="65"/>
      <c r="CZ256" s="65"/>
      <c r="DA256" s="65"/>
      <c r="DB256" s="65"/>
      <c r="DC256" s="55"/>
      <c r="DD256" s="68">
        <f t="shared" si="161"/>
        <v>0</v>
      </c>
      <c r="DE256" s="55"/>
      <c r="DF256" s="65"/>
      <c r="DG256" s="65"/>
      <c r="DH256" s="65"/>
      <c r="DI256" s="68">
        <f>SUM(Tableau1[[#This Row],[Entretien et réparation matériel de projection]:[Autres ou non précisé 14]])</f>
        <v>0</v>
      </c>
      <c r="DJ256" s="58"/>
      <c r="DK256" s="58"/>
      <c r="DL256" s="69"/>
      <c r="DM256" s="68">
        <f t="shared" si="142"/>
        <v>0</v>
      </c>
      <c r="DN256" s="58"/>
      <c r="DO256" s="58"/>
      <c r="DP256" s="68">
        <f t="shared" si="143"/>
        <v>0</v>
      </c>
      <c r="DQ256" s="65"/>
      <c r="DR256" s="65"/>
      <c r="DS256" s="68">
        <f t="shared" si="144"/>
        <v>0</v>
      </c>
      <c r="DT256" s="65"/>
      <c r="DU256" s="65"/>
      <c r="DV256" s="65"/>
      <c r="DW256" s="68">
        <f>SUM(Tableau1[[#This Row],[Comission et courtage sur achats]:[Autres ou honoraires
 non précisé ]])</f>
        <v>0</v>
      </c>
      <c r="DX256" s="57"/>
      <c r="DY256" s="57"/>
      <c r="DZ256" s="65"/>
      <c r="EA256" s="65"/>
      <c r="EB256" s="65"/>
      <c r="EC256" s="68">
        <f t="shared" si="145"/>
        <v>0</v>
      </c>
      <c r="ED256" s="69"/>
      <c r="EE256" s="69"/>
      <c r="EF256" s="69"/>
      <c r="EG256" s="69"/>
      <c r="EH256" s="69"/>
      <c r="EI256" s="84">
        <f>SUM(Tableau1[[#This Row],[Transports sur films]:[autres ]])</f>
        <v>0</v>
      </c>
      <c r="EJ256" s="132">
        <v>0</v>
      </c>
      <c r="EK256" s="132"/>
      <c r="EL256" s="68">
        <f t="shared" si="146"/>
        <v>0</v>
      </c>
      <c r="EM256" s="65"/>
      <c r="EN256" s="65">
        <v>0</v>
      </c>
      <c r="EO256" s="65"/>
      <c r="EP256" s="65"/>
      <c r="EQ256" s="65"/>
      <c r="ER256" s="65"/>
      <c r="ES256" s="65"/>
      <c r="ET256" s="68">
        <f t="shared" si="147"/>
        <v>0</v>
      </c>
      <c r="EU256" s="65"/>
      <c r="EV256" s="65"/>
      <c r="EW256" s="65"/>
      <c r="EX256" s="65"/>
      <c r="EY256" s="65"/>
      <c r="EZ256" s="68">
        <f t="shared" si="163"/>
        <v>0</v>
      </c>
      <c r="FA256" s="65"/>
      <c r="FB256" s="65"/>
      <c r="FC256" s="70">
        <f t="shared" si="162"/>
        <v>0</v>
      </c>
      <c r="FD256" s="65"/>
      <c r="FE256" s="71">
        <f t="shared" si="148"/>
        <v>0</v>
      </c>
      <c r="FF256" s="72">
        <f t="shared" si="149"/>
        <v>0</v>
      </c>
      <c r="FG256" s="65"/>
      <c r="FH256" s="65"/>
      <c r="FI256" s="65"/>
      <c r="FJ256" s="56">
        <f t="shared" si="150"/>
        <v>0</v>
      </c>
      <c r="FK256" s="65"/>
      <c r="FL256" s="65"/>
      <c r="FM256" s="65"/>
      <c r="FN256" s="65"/>
      <c r="FO256" s="67">
        <f t="shared" si="151"/>
        <v>0</v>
      </c>
      <c r="FP256" s="57"/>
      <c r="FQ256" s="73"/>
      <c r="FR256" s="73"/>
      <c r="FS256" s="71">
        <f t="shared" si="152"/>
        <v>0</v>
      </c>
      <c r="FT256" s="91"/>
      <c r="FU256" s="91"/>
      <c r="FV256" s="67">
        <f>SUM(Tableau1[[#This Row],[Droits d''auteurs SACEM + cotisations SACEM]:[Autres ou non préciés]])</f>
        <v>0</v>
      </c>
      <c r="FW256" s="75">
        <f t="shared" si="153"/>
        <v>0</v>
      </c>
      <c r="FX256" s="74">
        <v>0</v>
      </c>
      <c r="FY256" s="74"/>
      <c r="FZ256" s="74"/>
      <c r="GA256" s="74"/>
      <c r="GB256" s="71">
        <f t="shared" si="154"/>
        <v>0</v>
      </c>
      <c r="GC256" s="92"/>
      <c r="GD256" s="92"/>
      <c r="GE256" s="67">
        <f t="shared" si="155"/>
        <v>0</v>
      </c>
      <c r="GF256" s="66"/>
      <c r="GG256" s="66"/>
      <c r="GH256" s="66"/>
      <c r="GI256" s="66"/>
      <c r="GJ256" s="77"/>
    </row>
    <row r="257" spans="1:192" ht="18.600000000000001" customHeight="1" x14ac:dyDescent="0.25">
      <c r="A257" s="89"/>
      <c r="B257" s="17"/>
      <c r="C257" s="50"/>
      <c r="D257" s="140"/>
      <c r="E257" s="51"/>
      <c r="F257" s="139">
        <f t="shared" si="159"/>
        <v>1</v>
      </c>
      <c r="G257" s="49"/>
      <c r="H257" s="50"/>
      <c r="I257" s="122"/>
      <c r="J257" s="49"/>
      <c r="K257" s="50"/>
      <c r="L257" s="50"/>
      <c r="M257" s="90"/>
      <c r="N257" s="50"/>
      <c r="O257" s="50"/>
      <c r="P257" s="90"/>
      <c r="Q257" s="52">
        <f t="shared" si="125"/>
        <v>0</v>
      </c>
      <c r="R257" s="52">
        <f t="shared" si="126"/>
        <v>0</v>
      </c>
      <c r="S257" s="53">
        <f t="shared" si="127"/>
        <v>0</v>
      </c>
      <c r="T257" s="54">
        <f t="shared" si="128"/>
        <v>0</v>
      </c>
      <c r="U257" s="115">
        <f>SUM(Tableau1[[#This Row],[Vente confiserie]:[Vente boisson]])</f>
        <v>0</v>
      </c>
      <c r="V257" s="55"/>
      <c r="W257" s="55"/>
      <c r="X257" s="135">
        <f>SUM(Tableau1[[#This Row],[Vente lunette]:[Location lunette]])</f>
        <v>0</v>
      </c>
      <c r="Y257" s="55"/>
      <c r="Z257" s="55"/>
      <c r="AA257" s="55"/>
      <c r="AB257" s="55"/>
      <c r="AC257" s="56">
        <f t="shared" si="157"/>
        <v>0</v>
      </c>
      <c r="AD257" s="57"/>
      <c r="AE257" s="57"/>
      <c r="AF257" s="57"/>
      <c r="AG257" s="57"/>
      <c r="AH257" s="57"/>
      <c r="AI257" s="57"/>
      <c r="AJ257" s="118">
        <f>(Tableau1[[#This Row],[Recette guichet ]]*1.1275177)-Tableau1[[#This Row],[Recette guichet ]]</f>
        <v>0</v>
      </c>
      <c r="AK257" s="57"/>
      <c r="AL257" s="56">
        <f t="shared" si="158"/>
        <v>0</v>
      </c>
      <c r="AM257" s="58"/>
      <c r="AN257" s="58"/>
      <c r="AO257" s="58"/>
      <c r="AP257" s="115">
        <f t="shared" si="129"/>
        <v>0</v>
      </c>
      <c r="AQ257" s="69"/>
      <c r="AR257" s="69"/>
      <c r="AS257" s="69"/>
      <c r="AT257" s="69"/>
      <c r="AU257" s="59">
        <f t="shared" si="130"/>
        <v>0</v>
      </c>
      <c r="AV257" s="60">
        <f t="shared" si="131"/>
        <v>0</v>
      </c>
      <c r="AW257" s="58"/>
      <c r="AX257" s="58"/>
      <c r="AY257" s="58"/>
      <c r="AZ257" s="60">
        <f t="shared" si="160"/>
        <v>0</v>
      </c>
      <c r="BA257" s="58"/>
      <c r="BB257" s="58"/>
      <c r="BC257" s="58"/>
      <c r="BD257" s="60">
        <f>SUM(Tableau1[[#This Row],[ticket/carte/abonnement périmé]:[Autres ou non précisé 5]])</f>
        <v>0</v>
      </c>
      <c r="BE257" s="58"/>
      <c r="BF257" s="58"/>
      <c r="BG257" s="58"/>
      <c r="BH257" s="61">
        <f t="shared" si="132"/>
        <v>0</v>
      </c>
      <c r="BI257" s="120"/>
      <c r="BJ257" s="120"/>
      <c r="BK257" s="62">
        <f t="shared" si="133"/>
        <v>0</v>
      </c>
      <c r="BL257" s="120"/>
      <c r="BM257" s="120"/>
      <c r="BN257" s="120"/>
      <c r="BO257" s="120"/>
      <c r="BP257" s="120"/>
      <c r="BQ257" s="63"/>
      <c r="BR257" s="52">
        <f t="shared" si="134"/>
        <v>0</v>
      </c>
      <c r="BS257" s="52">
        <f t="shared" si="135"/>
        <v>0</v>
      </c>
      <c r="BT257" s="61">
        <f t="shared" si="136"/>
        <v>0</v>
      </c>
      <c r="BU257" s="64">
        <f t="shared" si="137"/>
        <v>0</v>
      </c>
      <c r="BV257" s="119">
        <f>SUM(Tableau1[[#This Row],[Achats confiserie]:[Achats boisson]])</f>
        <v>0</v>
      </c>
      <c r="BW257" s="58"/>
      <c r="BX257" s="69"/>
      <c r="BY257" s="58"/>
      <c r="BZ257" s="56">
        <f t="shared" si="138"/>
        <v>0</v>
      </c>
      <c r="CA257" s="66"/>
      <c r="CB257" s="66"/>
      <c r="CC257" s="56">
        <f t="shared" si="139"/>
        <v>0</v>
      </c>
      <c r="CD257" s="55"/>
      <c r="CE257" s="65"/>
      <c r="CF257" s="55"/>
      <c r="CG257" s="55"/>
      <c r="CH257" s="67">
        <f t="shared" si="140"/>
        <v>0</v>
      </c>
      <c r="CI257" s="68">
        <f t="shared" si="156"/>
        <v>0</v>
      </c>
      <c r="CJ257" s="55"/>
      <c r="CK257" s="55"/>
      <c r="CL257" s="55"/>
      <c r="CM257" s="55"/>
      <c r="CN257" s="55"/>
      <c r="CO257" s="68">
        <f t="shared" si="141"/>
        <v>0</v>
      </c>
      <c r="CP257" s="75">
        <f>SUM(Tableau1[[#This Row],[Fourniture eau]:[Energie (non précisé)]])</f>
        <v>0</v>
      </c>
      <c r="CQ257" s="55"/>
      <c r="CR257" s="55"/>
      <c r="CS257" s="55"/>
      <c r="CT257" s="55"/>
      <c r="CU257" s="55"/>
      <c r="CV257" s="55">
        <v>0</v>
      </c>
      <c r="CW257" s="55"/>
      <c r="CX257" s="68">
        <f>SUM(Tableau1[[#This Row],[Sous-traitance]:[Autres ou non précisé 12]])</f>
        <v>0</v>
      </c>
      <c r="CY257" s="65"/>
      <c r="CZ257" s="65"/>
      <c r="DA257" s="65"/>
      <c r="DB257" s="65"/>
      <c r="DC257" s="55"/>
      <c r="DD257" s="68">
        <f t="shared" si="161"/>
        <v>0</v>
      </c>
      <c r="DE257" s="55"/>
      <c r="DF257" s="65"/>
      <c r="DG257" s="65"/>
      <c r="DH257" s="65"/>
      <c r="DI257" s="68">
        <f>SUM(Tableau1[[#This Row],[Entretien et réparation matériel de projection]:[Autres ou non précisé 14]])</f>
        <v>0</v>
      </c>
      <c r="DJ257" s="58"/>
      <c r="DK257" s="58"/>
      <c r="DL257" s="69"/>
      <c r="DM257" s="68">
        <f t="shared" si="142"/>
        <v>0</v>
      </c>
      <c r="DN257" s="58"/>
      <c r="DO257" s="58"/>
      <c r="DP257" s="68">
        <f t="shared" si="143"/>
        <v>0</v>
      </c>
      <c r="DQ257" s="65"/>
      <c r="DR257" s="65"/>
      <c r="DS257" s="68">
        <f t="shared" si="144"/>
        <v>0</v>
      </c>
      <c r="DT257" s="65"/>
      <c r="DU257" s="65"/>
      <c r="DV257" s="65"/>
      <c r="DW257" s="68">
        <f>SUM(Tableau1[[#This Row],[Comission et courtage sur achats]:[Autres ou honoraires
 non précisé ]])</f>
        <v>0</v>
      </c>
      <c r="DX257" s="57"/>
      <c r="DY257" s="57"/>
      <c r="DZ257" s="65"/>
      <c r="EA257" s="65"/>
      <c r="EB257" s="65"/>
      <c r="EC257" s="68">
        <f t="shared" si="145"/>
        <v>0</v>
      </c>
      <c r="ED257" s="69"/>
      <c r="EE257" s="69"/>
      <c r="EF257" s="69"/>
      <c r="EG257" s="69"/>
      <c r="EH257" s="69"/>
      <c r="EI257" s="84">
        <f>SUM(Tableau1[[#This Row],[Transports sur films]:[autres ]])</f>
        <v>0</v>
      </c>
      <c r="EJ257" s="132">
        <v>0</v>
      </c>
      <c r="EK257" s="132"/>
      <c r="EL257" s="68">
        <f t="shared" si="146"/>
        <v>0</v>
      </c>
      <c r="EM257" s="65"/>
      <c r="EN257" s="65">
        <v>0</v>
      </c>
      <c r="EO257" s="65"/>
      <c r="EP257" s="65"/>
      <c r="EQ257" s="65"/>
      <c r="ER257" s="65"/>
      <c r="ES257" s="65"/>
      <c r="ET257" s="68">
        <f t="shared" si="147"/>
        <v>0</v>
      </c>
      <c r="EU257" s="65"/>
      <c r="EV257" s="65"/>
      <c r="EW257" s="65"/>
      <c r="EX257" s="65"/>
      <c r="EY257" s="65"/>
      <c r="EZ257" s="68">
        <f t="shared" si="163"/>
        <v>0</v>
      </c>
      <c r="FA257" s="65"/>
      <c r="FB257" s="65"/>
      <c r="FC257" s="70">
        <f t="shared" si="162"/>
        <v>0</v>
      </c>
      <c r="FD257" s="65"/>
      <c r="FE257" s="71">
        <f t="shared" si="148"/>
        <v>0</v>
      </c>
      <c r="FF257" s="72">
        <f t="shared" si="149"/>
        <v>0</v>
      </c>
      <c r="FG257" s="65"/>
      <c r="FH257" s="65"/>
      <c r="FI257" s="65"/>
      <c r="FJ257" s="56">
        <f t="shared" si="150"/>
        <v>0</v>
      </c>
      <c r="FK257" s="65"/>
      <c r="FL257" s="65"/>
      <c r="FM257" s="65"/>
      <c r="FN257" s="65"/>
      <c r="FO257" s="67">
        <f t="shared" si="151"/>
        <v>0</v>
      </c>
      <c r="FP257" s="57"/>
      <c r="FQ257" s="73"/>
      <c r="FR257" s="73"/>
      <c r="FS257" s="71">
        <f t="shared" si="152"/>
        <v>0</v>
      </c>
      <c r="FT257" s="91"/>
      <c r="FU257" s="91"/>
      <c r="FV257" s="67">
        <f>SUM(Tableau1[[#This Row],[Droits d''auteurs SACEM + cotisations SACEM]:[Autres ou non préciés]])</f>
        <v>0</v>
      </c>
      <c r="FW257" s="75">
        <f t="shared" si="153"/>
        <v>0</v>
      </c>
      <c r="FX257" s="74">
        <v>0</v>
      </c>
      <c r="FY257" s="74"/>
      <c r="FZ257" s="74"/>
      <c r="GA257" s="74"/>
      <c r="GB257" s="71">
        <f t="shared" si="154"/>
        <v>0</v>
      </c>
      <c r="GC257" s="92"/>
      <c r="GD257" s="92"/>
      <c r="GE257" s="67">
        <f t="shared" si="155"/>
        <v>0</v>
      </c>
      <c r="GF257" s="66"/>
      <c r="GG257" s="66"/>
      <c r="GH257" s="66"/>
      <c r="GI257" s="66"/>
      <c r="GJ257" s="77"/>
    </row>
    <row r="258" spans="1:192" ht="18.600000000000001" customHeight="1" x14ac:dyDescent="0.25">
      <c r="A258" s="89"/>
      <c r="B258" s="17"/>
      <c r="C258" s="50"/>
      <c r="D258" s="140"/>
      <c r="E258" s="51"/>
      <c r="F258" s="139">
        <f t="shared" si="159"/>
        <v>1</v>
      </c>
      <c r="G258" s="49"/>
      <c r="H258" s="50"/>
      <c r="I258" s="122"/>
      <c r="J258" s="49"/>
      <c r="K258" s="50"/>
      <c r="L258" s="50"/>
      <c r="M258" s="90"/>
      <c r="N258" s="50"/>
      <c r="O258" s="50"/>
      <c r="P258" s="90"/>
      <c r="Q258" s="52">
        <f t="shared" si="125"/>
        <v>0</v>
      </c>
      <c r="R258" s="52">
        <f t="shared" si="126"/>
        <v>0</v>
      </c>
      <c r="S258" s="53">
        <f t="shared" si="127"/>
        <v>0</v>
      </c>
      <c r="T258" s="54">
        <f t="shared" si="128"/>
        <v>0</v>
      </c>
      <c r="U258" s="115">
        <f>SUM(Tableau1[[#This Row],[Vente confiserie]:[Vente boisson]])</f>
        <v>0</v>
      </c>
      <c r="V258" s="55"/>
      <c r="W258" s="55"/>
      <c r="X258" s="135">
        <f>SUM(Tableau1[[#This Row],[Vente lunette]:[Location lunette]])</f>
        <v>0</v>
      </c>
      <c r="Y258" s="55"/>
      <c r="Z258" s="55"/>
      <c r="AA258" s="55"/>
      <c r="AB258" s="55"/>
      <c r="AC258" s="56">
        <f t="shared" si="157"/>
        <v>0</v>
      </c>
      <c r="AD258" s="57"/>
      <c r="AE258" s="57"/>
      <c r="AF258" s="57"/>
      <c r="AG258" s="57"/>
      <c r="AH258" s="57"/>
      <c r="AI258" s="57"/>
      <c r="AJ258" s="118">
        <f>(Tableau1[[#This Row],[Recette guichet ]]*1.1275177)-Tableau1[[#This Row],[Recette guichet ]]</f>
        <v>0</v>
      </c>
      <c r="AK258" s="57"/>
      <c r="AL258" s="56">
        <f t="shared" si="158"/>
        <v>0</v>
      </c>
      <c r="AM258" s="58"/>
      <c r="AN258" s="58"/>
      <c r="AO258" s="58"/>
      <c r="AP258" s="115">
        <f t="shared" si="129"/>
        <v>0</v>
      </c>
      <c r="AQ258" s="69"/>
      <c r="AR258" s="69"/>
      <c r="AS258" s="69"/>
      <c r="AT258" s="69"/>
      <c r="AU258" s="59">
        <f t="shared" si="130"/>
        <v>0</v>
      </c>
      <c r="AV258" s="60">
        <f t="shared" si="131"/>
        <v>0</v>
      </c>
      <c r="AW258" s="58"/>
      <c r="AX258" s="58"/>
      <c r="AY258" s="58"/>
      <c r="AZ258" s="60">
        <f t="shared" si="160"/>
        <v>0</v>
      </c>
      <c r="BA258" s="58"/>
      <c r="BB258" s="58"/>
      <c r="BC258" s="58"/>
      <c r="BD258" s="60">
        <f>SUM(Tableau1[[#This Row],[ticket/carte/abonnement périmé]:[Autres ou non précisé 5]])</f>
        <v>0</v>
      </c>
      <c r="BE258" s="58"/>
      <c r="BF258" s="58"/>
      <c r="BG258" s="58"/>
      <c r="BH258" s="61">
        <f t="shared" si="132"/>
        <v>0</v>
      </c>
      <c r="BI258" s="120"/>
      <c r="BJ258" s="120"/>
      <c r="BK258" s="62">
        <f t="shared" si="133"/>
        <v>0</v>
      </c>
      <c r="BL258" s="120"/>
      <c r="BM258" s="120"/>
      <c r="BN258" s="120"/>
      <c r="BO258" s="120"/>
      <c r="BP258" s="120"/>
      <c r="BQ258" s="63"/>
      <c r="BR258" s="52">
        <f t="shared" si="134"/>
        <v>0</v>
      </c>
      <c r="BS258" s="52">
        <f t="shared" si="135"/>
        <v>0</v>
      </c>
      <c r="BT258" s="61">
        <f t="shared" si="136"/>
        <v>0</v>
      </c>
      <c r="BU258" s="64">
        <f t="shared" si="137"/>
        <v>0</v>
      </c>
      <c r="BV258" s="119">
        <f>SUM(Tableau1[[#This Row],[Achats confiserie]:[Achats boisson]])</f>
        <v>0</v>
      </c>
      <c r="BW258" s="58"/>
      <c r="BX258" s="69"/>
      <c r="BY258" s="58"/>
      <c r="BZ258" s="56">
        <f t="shared" si="138"/>
        <v>0</v>
      </c>
      <c r="CA258" s="66"/>
      <c r="CB258" s="66"/>
      <c r="CC258" s="56">
        <f t="shared" si="139"/>
        <v>0</v>
      </c>
      <c r="CD258" s="55"/>
      <c r="CE258" s="65"/>
      <c r="CF258" s="55"/>
      <c r="CG258" s="55"/>
      <c r="CH258" s="67">
        <f t="shared" si="140"/>
        <v>0</v>
      </c>
      <c r="CI258" s="68">
        <f t="shared" si="156"/>
        <v>0</v>
      </c>
      <c r="CJ258" s="55"/>
      <c r="CK258" s="55"/>
      <c r="CL258" s="55"/>
      <c r="CM258" s="55"/>
      <c r="CN258" s="55"/>
      <c r="CO258" s="68">
        <f t="shared" si="141"/>
        <v>0</v>
      </c>
      <c r="CP258" s="75">
        <f>SUM(Tableau1[[#This Row],[Fourniture eau]:[Energie (non précisé)]])</f>
        <v>0</v>
      </c>
      <c r="CQ258" s="55"/>
      <c r="CR258" s="55"/>
      <c r="CS258" s="55"/>
      <c r="CT258" s="55"/>
      <c r="CU258" s="55"/>
      <c r="CV258" s="55">
        <v>0</v>
      </c>
      <c r="CW258" s="55"/>
      <c r="CX258" s="68">
        <f>SUM(Tableau1[[#This Row],[Sous-traitance]:[Autres ou non précisé 12]])</f>
        <v>0</v>
      </c>
      <c r="CY258" s="65"/>
      <c r="CZ258" s="65"/>
      <c r="DA258" s="65"/>
      <c r="DB258" s="65"/>
      <c r="DC258" s="55"/>
      <c r="DD258" s="68">
        <f t="shared" si="161"/>
        <v>0</v>
      </c>
      <c r="DE258" s="55"/>
      <c r="DF258" s="65"/>
      <c r="DG258" s="65"/>
      <c r="DH258" s="65"/>
      <c r="DI258" s="68">
        <f>SUM(Tableau1[[#This Row],[Entretien et réparation matériel de projection]:[Autres ou non précisé 14]])</f>
        <v>0</v>
      </c>
      <c r="DJ258" s="58"/>
      <c r="DK258" s="58"/>
      <c r="DL258" s="69"/>
      <c r="DM258" s="68">
        <f t="shared" si="142"/>
        <v>0</v>
      </c>
      <c r="DN258" s="58"/>
      <c r="DO258" s="58"/>
      <c r="DP258" s="68">
        <f t="shared" si="143"/>
        <v>0</v>
      </c>
      <c r="DQ258" s="65"/>
      <c r="DR258" s="65"/>
      <c r="DS258" s="68">
        <f t="shared" si="144"/>
        <v>0</v>
      </c>
      <c r="DT258" s="65"/>
      <c r="DU258" s="65"/>
      <c r="DV258" s="65"/>
      <c r="DW258" s="68">
        <f>SUM(Tableau1[[#This Row],[Comission et courtage sur achats]:[Autres ou honoraires
 non précisé ]])</f>
        <v>0</v>
      </c>
      <c r="DX258" s="57"/>
      <c r="DY258" s="57"/>
      <c r="DZ258" s="65"/>
      <c r="EA258" s="65"/>
      <c r="EB258" s="65"/>
      <c r="EC258" s="68">
        <f t="shared" si="145"/>
        <v>0</v>
      </c>
      <c r="ED258" s="69"/>
      <c r="EE258" s="69"/>
      <c r="EF258" s="69"/>
      <c r="EG258" s="69"/>
      <c r="EH258" s="69"/>
      <c r="EI258" s="84">
        <f>SUM(Tableau1[[#This Row],[Transports sur films]:[autres ]])</f>
        <v>0</v>
      </c>
      <c r="EJ258" s="132">
        <v>0</v>
      </c>
      <c r="EK258" s="132"/>
      <c r="EL258" s="68">
        <f t="shared" si="146"/>
        <v>0</v>
      </c>
      <c r="EM258" s="65"/>
      <c r="EN258" s="65">
        <v>0</v>
      </c>
      <c r="EO258" s="65"/>
      <c r="EP258" s="65"/>
      <c r="EQ258" s="65"/>
      <c r="ER258" s="65"/>
      <c r="ES258" s="65"/>
      <c r="ET258" s="68">
        <f t="shared" si="147"/>
        <v>0</v>
      </c>
      <c r="EU258" s="65"/>
      <c r="EV258" s="65"/>
      <c r="EW258" s="65"/>
      <c r="EX258" s="65"/>
      <c r="EY258" s="65"/>
      <c r="EZ258" s="68">
        <f t="shared" si="163"/>
        <v>0</v>
      </c>
      <c r="FA258" s="65"/>
      <c r="FB258" s="65"/>
      <c r="FC258" s="70">
        <f t="shared" si="162"/>
        <v>0</v>
      </c>
      <c r="FD258" s="65"/>
      <c r="FE258" s="71">
        <f t="shared" si="148"/>
        <v>0</v>
      </c>
      <c r="FF258" s="72">
        <f t="shared" si="149"/>
        <v>0</v>
      </c>
      <c r="FG258" s="65"/>
      <c r="FH258" s="65"/>
      <c r="FI258" s="65"/>
      <c r="FJ258" s="56">
        <f t="shared" si="150"/>
        <v>0</v>
      </c>
      <c r="FK258" s="65"/>
      <c r="FL258" s="65"/>
      <c r="FM258" s="65"/>
      <c r="FN258" s="65"/>
      <c r="FO258" s="67">
        <f t="shared" si="151"/>
        <v>0</v>
      </c>
      <c r="FP258" s="57"/>
      <c r="FQ258" s="73"/>
      <c r="FR258" s="73"/>
      <c r="FS258" s="71">
        <f t="shared" si="152"/>
        <v>0</v>
      </c>
      <c r="FT258" s="91"/>
      <c r="FU258" s="91"/>
      <c r="FV258" s="67">
        <f>SUM(Tableau1[[#This Row],[Droits d''auteurs SACEM + cotisations SACEM]:[Autres ou non préciés]])</f>
        <v>0</v>
      </c>
      <c r="FW258" s="75">
        <f t="shared" si="153"/>
        <v>0</v>
      </c>
      <c r="FX258" s="74">
        <v>0</v>
      </c>
      <c r="FY258" s="74"/>
      <c r="FZ258" s="74"/>
      <c r="GA258" s="74"/>
      <c r="GB258" s="71">
        <f t="shared" si="154"/>
        <v>0</v>
      </c>
      <c r="GC258" s="92"/>
      <c r="GD258" s="92"/>
      <c r="GE258" s="67">
        <f t="shared" si="155"/>
        <v>0</v>
      </c>
      <c r="GF258" s="66"/>
      <c r="GG258" s="66"/>
      <c r="GH258" s="66"/>
      <c r="GI258" s="66"/>
      <c r="GJ258" s="77"/>
    </row>
    <row r="259" spans="1:192" ht="18.600000000000001" customHeight="1" x14ac:dyDescent="0.25">
      <c r="A259" s="89"/>
      <c r="B259" s="17"/>
      <c r="C259" s="50"/>
      <c r="D259" s="140"/>
      <c r="E259" s="51"/>
      <c r="F259" s="139">
        <f t="shared" si="159"/>
        <v>1</v>
      </c>
      <c r="G259" s="49"/>
      <c r="H259" s="50"/>
      <c r="I259" s="122"/>
      <c r="J259" s="49"/>
      <c r="K259" s="50"/>
      <c r="L259" s="50"/>
      <c r="M259" s="90"/>
      <c r="N259" s="50"/>
      <c r="O259" s="50"/>
      <c r="P259" s="90"/>
      <c r="Q259" s="52">
        <f t="shared" si="125"/>
        <v>0</v>
      </c>
      <c r="R259" s="52">
        <f t="shared" si="126"/>
        <v>0</v>
      </c>
      <c r="S259" s="53">
        <f t="shared" si="127"/>
        <v>0</v>
      </c>
      <c r="T259" s="54">
        <f t="shared" si="128"/>
        <v>0</v>
      </c>
      <c r="U259" s="115">
        <f>SUM(Tableau1[[#This Row],[Vente confiserie]:[Vente boisson]])</f>
        <v>0</v>
      </c>
      <c r="V259" s="55"/>
      <c r="W259" s="55"/>
      <c r="X259" s="135">
        <f>SUM(Tableau1[[#This Row],[Vente lunette]:[Location lunette]])</f>
        <v>0</v>
      </c>
      <c r="Y259" s="55"/>
      <c r="Z259" s="55"/>
      <c r="AA259" s="55"/>
      <c r="AB259" s="55"/>
      <c r="AC259" s="56">
        <f t="shared" si="157"/>
        <v>0</v>
      </c>
      <c r="AD259" s="57"/>
      <c r="AE259" s="57"/>
      <c r="AF259" s="57"/>
      <c r="AG259" s="57"/>
      <c r="AH259" s="57"/>
      <c r="AI259" s="57"/>
      <c r="AJ259" s="118">
        <f>(Tableau1[[#This Row],[Recette guichet ]]*1.1275177)-Tableau1[[#This Row],[Recette guichet ]]</f>
        <v>0</v>
      </c>
      <c r="AK259" s="57"/>
      <c r="AL259" s="56">
        <f t="shared" si="158"/>
        <v>0</v>
      </c>
      <c r="AM259" s="58"/>
      <c r="AN259" s="58"/>
      <c r="AO259" s="58"/>
      <c r="AP259" s="115">
        <f t="shared" si="129"/>
        <v>0</v>
      </c>
      <c r="AQ259" s="69"/>
      <c r="AR259" s="69"/>
      <c r="AS259" s="69"/>
      <c r="AT259" s="69"/>
      <c r="AU259" s="59">
        <f t="shared" si="130"/>
        <v>0</v>
      </c>
      <c r="AV259" s="60">
        <f t="shared" si="131"/>
        <v>0</v>
      </c>
      <c r="AW259" s="58"/>
      <c r="AX259" s="58"/>
      <c r="AY259" s="58"/>
      <c r="AZ259" s="60">
        <f t="shared" si="160"/>
        <v>0</v>
      </c>
      <c r="BA259" s="58"/>
      <c r="BB259" s="58"/>
      <c r="BC259" s="58"/>
      <c r="BD259" s="60">
        <f>SUM(Tableau1[[#This Row],[ticket/carte/abonnement périmé]:[Autres ou non précisé 5]])</f>
        <v>0</v>
      </c>
      <c r="BE259" s="58"/>
      <c r="BF259" s="58"/>
      <c r="BG259" s="58"/>
      <c r="BH259" s="61">
        <f t="shared" si="132"/>
        <v>0</v>
      </c>
      <c r="BI259" s="120"/>
      <c r="BJ259" s="120"/>
      <c r="BK259" s="62">
        <f t="shared" si="133"/>
        <v>0</v>
      </c>
      <c r="BL259" s="120"/>
      <c r="BM259" s="120"/>
      <c r="BN259" s="120"/>
      <c r="BO259" s="120"/>
      <c r="BP259" s="120"/>
      <c r="BQ259" s="63"/>
      <c r="BR259" s="52">
        <f t="shared" si="134"/>
        <v>0</v>
      </c>
      <c r="BS259" s="52">
        <f t="shared" si="135"/>
        <v>0</v>
      </c>
      <c r="BT259" s="61">
        <f t="shared" si="136"/>
        <v>0</v>
      </c>
      <c r="BU259" s="64">
        <f t="shared" si="137"/>
        <v>0</v>
      </c>
      <c r="BV259" s="119">
        <f>SUM(Tableau1[[#This Row],[Achats confiserie]:[Achats boisson]])</f>
        <v>0</v>
      </c>
      <c r="BW259" s="58"/>
      <c r="BX259" s="69"/>
      <c r="BY259" s="58"/>
      <c r="BZ259" s="56">
        <f t="shared" si="138"/>
        <v>0</v>
      </c>
      <c r="CA259" s="66"/>
      <c r="CB259" s="66"/>
      <c r="CC259" s="56">
        <f t="shared" si="139"/>
        <v>0</v>
      </c>
      <c r="CD259" s="55"/>
      <c r="CE259" s="65"/>
      <c r="CF259" s="55"/>
      <c r="CG259" s="55"/>
      <c r="CH259" s="67">
        <f t="shared" si="140"/>
        <v>0</v>
      </c>
      <c r="CI259" s="68">
        <f t="shared" si="156"/>
        <v>0</v>
      </c>
      <c r="CJ259" s="55"/>
      <c r="CK259" s="55"/>
      <c r="CL259" s="55"/>
      <c r="CM259" s="55"/>
      <c r="CN259" s="55"/>
      <c r="CO259" s="68">
        <f t="shared" si="141"/>
        <v>0</v>
      </c>
      <c r="CP259" s="75">
        <f>SUM(Tableau1[[#This Row],[Fourniture eau]:[Energie (non précisé)]])</f>
        <v>0</v>
      </c>
      <c r="CQ259" s="55"/>
      <c r="CR259" s="55"/>
      <c r="CS259" s="55"/>
      <c r="CT259" s="55"/>
      <c r="CU259" s="55"/>
      <c r="CV259" s="55">
        <v>0</v>
      </c>
      <c r="CW259" s="55"/>
      <c r="CX259" s="68">
        <f>SUM(Tableau1[[#This Row],[Sous-traitance]:[Autres ou non précisé 12]])</f>
        <v>0</v>
      </c>
      <c r="CY259" s="65"/>
      <c r="CZ259" s="65"/>
      <c r="DA259" s="65"/>
      <c r="DB259" s="65"/>
      <c r="DC259" s="55"/>
      <c r="DD259" s="68">
        <f t="shared" si="161"/>
        <v>0</v>
      </c>
      <c r="DE259" s="55"/>
      <c r="DF259" s="65"/>
      <c r="DG259" s="65"/>
      <c r="DH259" s="65"/>
      <c r="DI259" s="68">
        <f>SUM(Tableau1[[#This Row],[Entretien et réparation matériel de projection]:[Autres ou non précisé 14]])</f>
        <v>0</v>
      </c>
      <c r="DJ259" s="58"/>
      <c r="DK259" s="58"/>
      <c r="DL259" s="69"/>
      <c r="DM259" s="68">
        <f t="shared" si="142"/>
        <v>0</v>
      </c>
      <c r="DN259" s="58"/>
      <c r="DO259" s="58"/>
      <c r="DP259" s="68">
        <f t="shared" si="143"/>
        <v>0</v>
      </c>
      <c r="DQ259" s="65"/>
      <c r="DR259" s="65"/>
      <c r="DS259" s="68">
        <f t="shared" si="144"/>
        <v>0</v>
      </c>
      <c r="DT259" s="65"/>
      <c r="DU259" s="65"/>
      <c r="DV259" s="65"/>
      <c r="DW259" s="68">
        <f>SUM(Tableau1[[#This Row],[Comission et courtage sur achats]:[Autres ou honoraires
 non précisé ]])</f>
        <v>0</v>
      </c>
      <c r="DX259" s="57"/>
      <c r="DY259" s="57"/>
      <c r="DZ259" s="65"/>
      <c r="EA259" s="65"/>
      <c r="EB259" s="65"/>
      <c r="EC259" s="68">
        <f t="shared" si="145"/>
        <v>0</v>
      </c>
      <c r="ED259" s="69"/>
      <c r="EE259" s="69"/>
      <c r="EF259" s="69"/>
      <c r="EG259" s="69"/>
      <c r="EH259" s="69"/>
      <c r="EI259" s="84">
        <f>SUM(Tableau1[[#This Row],[Transports sur films]:[autres ]])</f>
        <v>0</v>
      </c>
      <c r="EJ259" s="132">
        <v>0</v>
      </c>
      <c r="EK259" s="132"/>
      <c r="EL259" s="68">
        <f t="shared" si="146"/>
        <v>0</v>
      </c>
      <c r="EM259" s="65"/>
      <c r="EN259" s="65">
        <v>0</v>
      </c>
      <c r="EO259" s="65"/>
      <c r="EP259" s="65"/>
      <c r="EQ259" s="65"/>
      <c r="ER259" s="65"/>
      <c r="ES259" s="65"/>
      <c r="ET259" s="68">
        <f t="shared" si="147"/>
        <v>0</v>
      </c>
      <c r="EU259" s="65"/>
      <c r="EV259" s="65"/>
      <c r="EW259" s="65"/>
      <c r="EX259" s="65"/>
      <c r="EY259" s="65"/>
      <c r="EZ259" s="68">
        <f t="shared" si="163"/>
        <v>0</v>
      </c>
      <c r="FA259" s="65"/>
      <c r="FB259" s="65"/>
      <c r="FC259" s="70">
        <f t="shared" si="162"/>
        <v>0</v>
      </c>
      <c r="FD259" s="65"/>
      <c r="FE259" s="71">
        <f t="shared" si="148"/>
        <v>0</v>
      </c>
      <c r="FF259" s="72">
        <f t="shared" si="149"/>
        <v>0</v>
      </c>
      <c r="FG259" s="65"/>
      <c r="FH259" s="65"/>
      <c r="FI259" s="65"/>
      <c r="FJ259" s="56">
        <f t="shared" si="150"/>
        <v>0</v>
      </c>
      <c r="FK259" s="65"/>
      <c r="FL259" s="65"/>
      <c r="FM259" s="65"/>
      <c r="FN259" s="65"/>
      <c r="FO259" s="67">
        <f t="shared" si="151"/>
        <v>0</v>
      </c>
      <c r="FP259" s="57"/>
      <c r="FQ259" s="73"/>
      <c r="FR259" s="73"/>
      <c r="FS259" s="71">
        <f t="shared" si="152"/>
        <v>0</v>
      </c>
      <c r="FT259" s="91"/>
      <c r="FU259" s="91"/>
      <c r="FV259" s="67">
        <f>SUM(Tableau1[[#This Row],[Droits d''auteurs SACEM + cotisations SACEM]:[Autres ou non préciés]])</f>
        <v>0</v>
      </c>
      <c r="FW259" s="75">
        <f t="shared" si="153"/>
        <v>0</v>
      </c>
      <c r="FX259" s="74">
        <v>0</v>
      </c>
      <c r="FY259" s="74"/>
      <c r="FZ259" s="74"/>
      <c r="GA259" s="74"/>
      <c r="GB259" s="71">
        <f t="shared" si="154"/>
        <v>0</v>
      </c>
      <c r="GC259" s="92"/>
      <c r="GD259" s="92"/>
      <c r="GE259" s="67">
        <f t="shared" si="155"/>
        <v>0</v>
      </c>
      <c r="GF259" s="66"/>
      <c r="GG259" s="66"/>
      <c r="GH259" s="66"/>
      <c r="GI259" s="66"/>
      <c r="GJ259" s="77"/>
    </row>
    <row r="260" spans="1:192" ht="18.600000000000001" customHeight="1" x14ac:dyDescent="0.25">
      <c r="A260" s="89"/>
      <c r="B260" s="17"/>
      <c r="C260" s="50"/>
      <c r="D260" s="140"/>
      <c r="E260" s="51"/>
      <c r="F260" s="139">
        <f t="shared" si="159"/>
        <v>1</v>
      </c>
      <c r="G260" s="49"/>
      <c r="H260" s="50"/>
      <c r="I260" s="122"/>
      <c r="J260" s="49"/>
      <c r="K260" s="50"/>
      <c r="L260" s="50"/>
      <c r="M260" s="90"/>
      <c r="N260" s="50"/>
      <c r="O260" s="50"/>
      <c r="P260" s="90"/>
      <c r="Q260" s="52">
        <f t="shared" si="125"/>
        <v>0</v>
      </c>
      <c r="R260" s="52">
        <f t="shared" si="126"/>
        <v>0</v>
      </c>
      <c r="S260" s="53">
        <f t="shared" si="127"/>
        <v>0</v>
      </c>
      <c r="T260" s="54">
        <f t="shared" si="128"/>
        <v>0</v>
      </c>
      <c r="U260" s="115">
        <f>SUM(Tableau1[[#This Row],[Vente confiserie]:[Vente boisson]])</f>
        <v>0</v>
      </c>
      <c r="V260" s="55"/>
      <c r="W260" s="55"/>
      <c r="X260" s="135">
        <f>SUM(Tableau1[[#This Row],[Vente lunette]:[Location lunette]])</f>
        <v>0</v>
      </c>
      <c r="Y260" s="55"/>
      <c r="Z260" s="55"/>
      <c r="AA260" s="55"/>
      <c r="AB260" s="55"/>
      <c r="AC260" s="56">
        <f t="shared" si="157"/>
        <v>0</v>
      </c>
      <c r="AD260" s="57"/>
      <c r="AE260" s="57"/>
      <c r="AF260" s="57"/>
      <c r="AG260" s="57"/>
      <c r="AH260" s="57"/>
      <c r="AI260" s="57"/>
      <c r="AJ260" s="118">
        <f>(Tableau1[[#This Row],[Recette guichet ]]*1.1275177)-Tableau1[[#This Row],[Recette guichet ]]</f>
        <v>0</v>
      </c>
      <c r="AK260" s="57"/>
      <c r="AL260" s="56">
        <f t="shared" si="158"/>
        <v>0</v>
      </c>
      <c r="AM260" s="58"/>
      <c r="AN260" s="58"/>
      <c r="AO260" s="58"/>
      <c r="AP260" s="115">
        <f t="shared" si="129"/>
        <v>0</v>
      </c>
      <c r="AQ260" s="69"/>
      <c r="AR260" s="69"/>
      <c r="AS260" s="69"/>
      <c r="AT260" s="69"/>
      <c r="AU260" s="59">
        <f t="shared" si="130"/>
        <v>0</v>
      </c>
      <c r="AV260" s="60">
        <f t="shared" si="131"/>
        <v>0</v>
      </c>
      <c r="AW260" s="58"/>
      <c r="AX260" s="58"/>
      <c r="AY260" s="58"/>
      <c r="AZ260" s="60">
        <f t="shared" si="160"/>
        <v>0</v>
      </c>
      <c r="BA260" s="58"/>
      <c r="BB260" s="58"/>
      <c r="BC260" s="58"/>
      <c r="BD260" s="60">
        <f>SUM(Tableau1[[#This Row],[ticket/carte/abonnement périmé]:[Autres ou non précisé 5]])</f>
        <v>0</v>
      </c>
      <c r="BE260" s="58"/>
      <c r="BF260" s="58"/>
      <c r="BG260" s="58"/>
      <c r="BH260" s="61">
        <f t="shared" si="132"/>
        <v>0</v>
      </c>
      <c r="BI260" s="120"/>
      <c r="BJ260" s="120"/>
      <c r="BK260" s="62">
        <f t="shared" si="133"/>
        <v>0</v>
      </c>
      <c r="BL260" s="120"/>
      <c r="BM260" s="120"/>
      <c r="BN260" s="120"/>
      <c r="BO260" s="120"/>
      <c r="BP260" s="120"/>
      <c r="BQ260" s="63"/>
      <c r="BR260" s="52">
        <f t="shared" si="134"/>
        <v>0</v>
      </c>
      <c r="BS260" s="52">
        <f t="shared" si="135"/>
        <v>0</v>
      </c>
      <c r="BT260" s="61">
        <f t="shared" si="136"/>
        <v>0</v>
      </c>
      <c r="BU260" s="64">
        <f t="shared" si="137"/>
        <v>0</v>
      </c>
      <c r="BV260" s="119">
        <f>SUM(Tableau1[[#This Row],[Achats confiserie]:[Achats boisson]])</f>
        <v>0</v>
      </c>
      <c r="BW260" s="58"/>
      <c r="BX260" s="69"/>
      <c r="BY260" s="58"/>
      <c r="BZ260" s="56">
        <f t="shared" si="138"/>
        <v>0</v>
      </c>
      <c r="CA260" s="66"/>
      <c r="CB260" s="66"/>
      <c r="CC260" s="56">
        <f t="shared" si="139"/>
        <v>0</v>
      </c>
      <c r="CD260" s="55"/>
      <c r="CE260" s="65"/>
      <c r="CF260" s="55"/>
      <c r="CG260" s="55"/>
      <c r="CH260" s="67">
        <f t="shared" si="140"/>
        <v>0</v>
      </c>
      <c r="CI260" s="68">
        <f t="shared" si="156"/>
        <v>0</v>
      </c>
      <c r="CJ260" s="55"/>
      <c r="CK260" s="55"/>
      <c r="CL260" s="55"/>
      <c r="CM260" s="55"/>
      <c r="CN260" s="55"/>
      <c r="CO260" s="68">
        <f t="shared" si="141"/>
        <v>0</v>
      </c>
      <c r="CP260" s="75">
        <f>SUM(Tableau1[[#This Row],[Fourniture eau]:[Energie (non précisé)]])</f>
        <v>0</v>
      </c>
      <c r="CQ260" s="55"/>
      <c r="CR260" s="55"/>
      <c r="CS260" s="55"/>
      <c r="CT260" s="55"/>
      <c r="CU260" s="55"/>
      <c r="CV260" s="55">
        <v>0</v>
      </c>
      <c r="CW260" s="55"/>
      <c r="CX260" s="68">
        <f>SUM(Tableau1[[#This Row],[Sous-traitance]:[Autres ou non précisé 12]])</f>
        <v>0</v>
      </c>
      <c r="CY260" s="65"/>
      <c r="CZ260" s="65"/>
      <c r="DA260" s="65"/>
      <c r="DB260" s="65"/>
      <c r="DC260" s="55"/>
      <c r="DD260" s="68">
        <f t="shared" si="161"/>
        <v>0</v>
      </c>
      <c r="DE260" s="55"/>
      <c r="DF260" s="65"/>
      <c r="DG260" s="65"/>
      <c r="DH260" s="65"/>
      <c r="DI260" s="68">
        <f>SUM(Tableau1[[#This Row],[Entretien et réparation matériel de projection]:[Autres ou non précisé 14]])</f>
        <v>0</v>
      </c>
      <c r="DJ260" s="58"/>
      <c r="DK260" s="58"/>
      <c r="DL260" s="69"/>
      <c r="DM260" s="68">
        <f t="shared" si="142"/>
        <v>0</v>
      </c>
      <c r="DN260" s="58"/>
      <c r="DO260" s="58"/>
      <c r="DP260" s="68">
        <f t="shared" si="143"/>
        <v>0</v>
      </c>
      <c r="DQ260" s="65"/>
      <c r="DR260" s="65"/>
      <c r="DS260" s="68">
        <f t="shared" si="144"/>
        <v>0</v>
      </c>
      <c r="DT260" s="65"/>
      <c r="DU260" s="65"/>
      <c r="DV260" s="65"/>
      <c r="DW260" s="68">
        <f>SUM(Tableau1[[#This Row],[Comission et courtage sur achats]:[Autres ou honoraires
 non précisé ]])</f>
        <v>0</v>
      </c>
      <c r="DX260" s="57"/>
      <c r="DY260" s="57"/>
      <c r="DZ260" s="65"/>
      <c r="EA260" s="65"/>
      <c r="EB260" s="65"/>
      <c r="EC260" s="68">
        <f t="shared" si="145"/>
        <v>0</v>
      </c>
      <c r="ED260" s="69"/>
      <c r="EE260" s="69"/>
      <c r="EF260" s="69"/>
      <c r="EG260" s="69"/>
      <c r="EH260" s="69"/>
      <c r="EI260" s="84">
        <f>SUM(Tableau1[[#This Row],[Transports sur films]:[autres ]])</f>
        <v>0</v>
      </c>
      <c r="EJ260" s="132">
        <v>0</v>
      </c>
      <c r="EK260" s="132"/>
      <c r="EL260" s="68">
        <f t="shared" si="146"/>
        <v>0</v>
      </c>
      <c r="EM260" s="65"/>
      <c r="EN260" s="65">
        <v>0</v>
      </c>
      <c r="EO260" s="65"/>
      <c r="EP260" s="65"/>
      <c r="EQ260" s="65"/>
      <c r="ER260" s="65"/>
      <c r="ES260" s="65"/>
      <c r="ET260" s="68">
        <f t="shared" si="147"/>
        <v>0</v>
      </c>
      <c r="EU260" s="65"/>
      <c r="EV260" s="65"/>
      <c r="EW260" s="65"/>
      <c r="EX260" s="65"/>
      <c r="EY260" s="65"/>
      <c r="EZ260" s="68">
        <f t="shared" si="163"/>
        <v>0</v>
      </c>
      <c r="FA260" s="65"/>
      <c r="FB260" s="65"/>
      <c r="FC260" s="70">
        <f t="shared" si="162"/>
        <v>0</v>
      </c>
      <c r="FD260" s="65"/>
      <c r="FE260" s="71">
        <f t="shared" si="148"/>
        <v>0</v>
      </c>
      <c r="FF260" s="72">
        <f t="shared" si="149"/>
        <v>0</v>
      </c>
      <c r="FG260" s="65"/>
      <c r="FH260" s="65"/>
      <c r="FI260" s="65"/>
      <c r="FJ260" s="56">
        <f t="shared" si="150"/>
        <v>0</v>
      </c>
      <c r="FK260" s="65"/>
      <c r="FL260" s="65"/>
      <c r="FM260" s="65"/>
      <c r="FN260" s="65"/>
      <c r="FO260" s="67">
        <f t="shared" si="151"/>
        <v>0</v>
      </c>
      <c r="FP260" s="57"/>
      <c r="FQ260" s="73"/>
      <c r="FR260" s="73"/>
      <c r="FS260" s="71">
        <f t="shared" si="152"/>
        <v>0</v>
      </c>
      <c r="FT260" s="91"/>
      <c r="FU260" s="91"/>
      <c r="FV260" s="67">
        <f>SUM(Tableau1[[#This Row],[Droits d''auteurs SACEM + cotisations SACEM]:[Autres ou non préciés]])</f>
        <v>0</v>
      </c>
      <c r="FW260" s="75">
        <f t="shared" si="153"/>
        <v>0</v>
      </c>
      <c r="FX260" s="74">
        <v>0</v>
      </c>
      <c r="FY260" s="74"/>
      <c r="FZ260" s="74"/>
      <c r="GA260" s="74"/>
      <c r="GB260" s="71">
        <f t="shared" si="154"/>
        <v>0</v>
      </c>
      <c r="GC260" s="92"/>
      <c r="GD260" s="92"/>
      <c r="GE260" s="67">
        <f t="shared" si="155"/>
        <v>0</v>
      </c>
      <c r="GF260" s="66"/>
      <c r="GG260" s="66"/>
      <c r="GH260" s="66"/>
      <c r="GI260" s="66"/>
      <c r="GJ260" s="77"/>
    </row>
    <row r="261" spans="1:192" ht="18.600000000000001" customHeight="1" x14ac:dyDescent="0.25">
      <c r="A261" s="89"/>
      <c r="B261" s="17"/>
      <c r="C261" s="50"/>
      <c r="D261" s="140"/>
      <c r="E261" s="51"/>
      <c r="F261" s="139">
        <f t="shared" si="159"/>
        <v>1</v>
      </c>
      <c r="G261" s="49"/>
      <c r="H261" s="50"/>
      <c r="I261" s="122"/>
      <c r="J261" s="49"/>
      <c r="K261" s="50"/>
      <c r="L261" s="50"/>
      <c r="M261" s="90"/>
      <c r="N261" s="50"/>
      <c r="O261" s="50"/>
      <c r="P261" s="90"/>
      <c r="Q261" s="52">
        <f t="shared" si="125"/>
        <v>0</v>
      </c>
      <c r="R261" s="52">
        <f t="shared" si="126"/>
        <v>0</v>
      </c>
      <c r="S261" s="53">
        <f t="shared" si="127"/>
        <v>0</v>
      </c>
      <c r="T261" s="54">
        <f t="shared" si="128"/>
        <v>0</v>
      </c>
      <c r="U261" s="115">
        <f>SUM(Tableau1[[#This Row],[Vente confiserie]:[Vente boisson]])</f>
        <v>0</v>
      </c>
      <c r="V261" s="55"/>
      <c r="W261" s="55"/>
      <c r="X261" s="135">
        <f>SUM(Tableau1[[#This Row],[Vente lunette]:[Location lunette]])</f>
        <v>0</v>
      </c>
      <c r="Y261" s="55"/>
      <c r="Z261" s="55"/>
      <c r="AA261" s="55"/>
      <c r="AB261" s="55"/>
      <c r="AC261" s="56">
        <f t="shared" si="157"/>
        <v>0</v>
      </c>
      <c r="AD261" s="57"/>
      <c r="AE261" s="57"/>
      <c r="AF261" s="57"/>
      <c r="AG261" s="57"/>
      <c r="AH261" s="57"/>
      <c r="AI261" s="57"/>
      <c r="AJ261" s="118">
        <f>(Tableau1[[#This Row],[Recette guichet ]]*1.1275177)-Tableau1[[#This Row],[Recette guichet ]]</f>
        <v>0</v>
      </c>
      <c r="AK261" s="57"/>
      <c r="AL261" s="56">
        <f t="shared" si="158"/>
        <v>0</v>
      </c>
      <c r="AM261" s="58"/>
      <c r="AN261" s="58"/>
      <c r="AO261" s="58"/>
      <c r="AP261" s="115">
        <f t="shared" si="129"/>
        <v>0</v>
      </c>
      <c r="AQ261" s="69"/>
      <c r="AR261" s="69"/>
      <c r="AS261" s="69"/>
      <c r="AT261" s="69"/>
      <c r="AU261" s="59">
        <f t="shared" si="130"/>
        <v>0</v>
      </c>
      <c r="AV261" s="60">
        <f t="shared" si="131"/>
        <v>0</v>
      </c>
      <c r="AW261" s="58"/>
      <c r="AX261" s="58"/>
      <c r="AY261" s="58"/>
      <c r="AZ261" s="60">
        <f t="shared" si="160"/>
        <v>0</v>
      </c>
      <c r="BA261" s="58"/>
      <c r="BB261" s="58"/>
      <c r="BC261" s="58"/>
      <c r="BD261" s="60">
        <f>SUM(Tableau1[[#This Row],[ticket/carte/abonnement périmé]:[Autres ou non précisé 5]])</f>
        <v>0</v>
      </c>
      <c r="BE261" s="58"/>
      <c r="BF261" s="58"/>
      <c r="BG261" s="58"/>
      <c r="BH261" s="61">
        <f t="shared" si="132"/>
        <v>0</v>
      </c>
      <c r="BI261" s="120"/>
      <c r="BJ261" s="120"/>
      <c r="BK261" s="62">
        <f t="shared" si="133"/>
        <v>0</v>
      </c>
      <c r="BL261" s="120"/>
      <c r="BM261" s="120"/>
      <c r="BN261" s="120"/>
      <c r="BO261" s="120"/>
      <c r="BP261" s="120"/>
      <c r="BQ261" s="63"/>
      <c r="BR261" s="52">
        <f t="shared" si="134"/>
        <v>0</v>
      </c>
      <c r="BS261" s="52">
        <f t="shared" si="135"/>
        <v>0</v>
      </c>
      <c r="BT261" s="61">
        <f t="shared" si="136"/>
        <v>0</v>
      </c>
      <c r="BU261" s="64">
        <f t="shared" si="137"/>
        <v>0</v>
      </c>
      <c r="BV261" s="119">
        <f>SUM(Tableau1[[#This Row],[Achats confiserie]:[Achats boisson]])</f>
        <v>0</v>
      </c>
      <c r="BW261" s="58"/>
      <c r="BX261" s="69"/>
      <c r="BY261" s="58"/>
      <c r="BZ261" s="56">
        <f t="shared" si="138"/>
        <v>0</v>
      </c>
      <c r="CA261" s="66"/>
      <c r="CB261" s="66"/>
      <c r="CC261" s="56">
        <f t="shared" si="139"/>
        <v>0</v>
      </c>
      <c r="CD261" s="55"/>
      <c r="CE261" s="65"/>
      <c r="CF261" s="55"/>
      <c r="CG261" s="55"/>
      <c r="CH261" s="67">
        <f t="shared" si="140"/>
        <v>0</v>
      </c>
      <c r="CI261" s="68">
        <f t="shared" si="156"/>
        <v>0</v>
      </c>
      <c r="CJ261" s="55"/>
      <c r="CK261" s="55"/>
      <c r="CL261" s="55"/>
      <c r="CM261" s="55"/>
      <c r="CN261" s="55"/>
      <c r="CO261" s="68">
        <f t="shared" si="141"/>
        <v>0</v>
      </c>
      <c r="CP261" s="75">
        <f>SUM(Tableau1[[#This Row],[Fourniture eau]:[Energie (non précisé)]])</f>
        <v>0</v>
      </c>
      <c r="CQ261" s="55"/>
      <c r="CR261" s="55"/>
      <c r="CS261" s="55"/>
      <c r="CT261" s="55"/>
      <c r="CU261" s="55"/>
      <c r="CV261" s="55">
        <v>0</v>
      </c>
      <c r="CW261" s="55"/>
      <c r="CX261" s="68">
        <f>SUM(Tableau1[[#This Row],[Sous-traitance]:[Autres ou non précisé 12]])</f>
        <v>0</v>
      </c>
      <c r="CY261" s="65"/>
      <c r="CZ261" s="65"/>
      <c r="DA261" s="65"/>
      <c r="DB261" s="65"/>
      <c r="DC261" s="55"/>
      <c r="DD261" s="68">
        <f t="shared" si="161"/>
        <v>0</v>
      </c>
      <c r="DE261" s="55"/>
      <c r="DF261" s="65"/>
      <c r="DG261" s="65"/>
      <c r="DH261" s="65"/>
      <c r="DI261" s="68">
        <f>SUM(Tableau1[[#This Row],[Entretien et réparation matériel de projection]:[Autres ou non précisé 14]])</f>
        <v>0</v>
      </c>
      <c r="DJ261" s="58"/>
      <c r="DK261" s="58"/>
      <c r="DL261" s="69"/>
      <c r="DM261" s="68">
        <f t="shared" si="142"/>
        <v>0</v>
      </c>
      <c r="DN261" s="58"/>
      <c r="DO261" s="58"/>
      <c r="DP261" s="68">
        <f t="shared" si="143"/>
        <v>0</v>
      </c>
      <c r="DQ261" s="65"/>
      <c r="DR261" s="65"/>
      <c r="DS261" s="68">
        <f t="shared" si="144"/>
        <v>0</v>
      </c>
      <c r="DT261" s="65"/>
      <c r="DU261" s="65"/>
      <c r="DV261" s="65"/>
      <c r="DW261" s="68">
        <f>SUM(Tableau1[[#This Row],[Comission et courtage sur achats]:[Autres ou honoraires
 non précisé ]])</f>
        <v>0</v>
      </c>
      <c r="DX261" s="57"/>
      <c r="DY261" s="57"/>
      <c r="DZ261" s="65"/>
      <c r="EA261" s="65"/>
      <c r="EB261" s="65"/>
      <c r="EC261" s="68">
        <f t="shared" si="145"/>
        <v>0</v>
      </c>
      <c r="ED261" s="69"/>
      <c r="EE261" s="69"/>
      <c r="EF261" s="69"/>
      <c r="EG261" s="69"/>
      <c r="EH261" s="69"/>
      <c r="EI261" s="84">
        <f>SUM(Tableau1[[#This Row],[Transports sur films]:[autres ]])</f>
        <v>0</v>
      </c>
      <c r="EJ261" s="132">
        <v>0</v>
      </c>
      <c r="EK261" s="132"/>
      <c r="EL261" s="68">
        <f t="shared" si="146"/>
        <v>0</v>
      </c>
      <c r="EM261" s="65"/>
      <c r="EN261" s="65">
        <v>0</v>
      </c>
      <c r="EO261" s="65"/>
      <c r="EP261" s="65"/>
      <c r="EQ261" s="65"/>
      <c r="ER261" s="65"/>
      <c r="ES261" s="65"/>
      <c r="ET261" s="68">
        <f t="shared" si="147"/>
        <v>0</v>
      </c>
      <c r="EU261" s="65"/>
      <c r="EV261" s="65"/>
      <c r="EW261" s="65"/>
      <c r="EX261" s="65"/>
      <c r="EY261" s="65"/>
      <c r="EZ261" s="68">
        <f t="shared" si="163"/>
        <v>0</v>
      </c>
      <c r="FA261" s="65"/>
      <c r="FB261" s="65"/>
      <c r="FC261" s="70">
        <f t="shared" si="162"/>
        <v>0</v>
      </c>
      <c r="FD261" s="65"/>
      <c r="FE261" s="71">
        <f t="shared" si="148"/>
        <v>0</v>
      </c>
      <c r="FF261" s="72">
        <f t="shared" si="149"/>
        <v>0</v>
      </c>
      <c r="FG261" s="65"/>
      <c r="FH261" s="65"/>
      <c r="FI261" s="65"/>
      <c r="FJ261" s="56">
        <f t="shared" si="150"/>
        <v>0</v>
      </c>
      <c r="FK261" s="65"/>
      <c r="FL261" s="65"/>
      <c r="FM261" s="65"/>
      <c r="FN261" s="65"/>
      <c r="FO261" s="67">
        <f t="shared" si="151"/>
        <v>0</v>
      </c>
      <c r="FP261" s="57"/>
      <c r="FQ261" s="73"/>
      <c r="FR261" s="73"/>
      <c r="FS261" s="71">
        <f t="shared" si="152"/>
        <v>0</v>
      </c>
      <c r="FT261" s="91"/>
      <c r="FU261" s="91"/>
      <c r="FV261" s="67">
        <f>SUM(Tableau1[[#This Row],[Droits d''auteurs SACEM + cotisations SACEM]:[Autres ou non préciés]])</f>
        <v>0</v>
      </c>
      <c r="FW261" s="75">
        <f t="shared" si="153"/>
        <v>0</v>
      </c>
      <c r="FX261" s="74">
        <v>0</v>
      </c>
      <c r="FY261" s="74"/>
      <c r="FZ261" s="74"/>
      <c r="GA261" s="74"/>
      <c r="GB261" s="71">
        <f t="shared" si="154"/>
        <v>0</v>
      </c>
      <c r="GC261" s="92"/>
      <c r="GD261" s="92"/>
      <c r="GE261" s="67">
        <f t="shared" si="155"/>
        <v>0</v>
      </c>
      <c r="GF261" s="66"/>
      <c r="GG261" s="66"/>
      <c r="GH261" s="66"/>
      <c r="GI261" s="66"/>
      <c r="GJ261" s="77"/>
    </row>
    <row r="262" spans="1:192" ht="18.600000000000001" customHeight="1" x14ac:dyDescent="0.25">
      <c r="A262" s="89"/>
      <c r="B262" s="17"/>
      <c r="C262" s="50"/>
      <c r="D262" s="140"/>
      <c r="E262" s="51"/>
      <c r="F262" s="139">
        <f t="shared" si="159"/>
        <v>1</v>
      </c>
      <c r="G262" s="49"/>
      <c r="H262" s="50"/>
      <c r="I262" s="122"/>
      <c r="J262" s="49"/>
      <c r="K262" s="50"/>
      <c r="L262" s="50"/>
      <c r="M262" s="90"/>
      <c r="N262" s="50"/>
      <c r="O262" s="50"/>
      <c r="P262" s="90"/>
      <c r="Q262" s="52">
        <f t="shared" ref="Q262:Q325" si="164">R262+BH262+BK262</f>
        <v>0</v>
      </c>
      <c r="R262" s="52">
        <f t="shared" ref="R262:R325" si="165">S262+AU262</f>
        <v>0</v>
      </c>
      <c r="S262" s="53">
        <f t="shared" ref="S262:S325" si="166">SUM(T262,AC262,AL262)</f>
        <v>0</v>
      </c>
      <c r="T262" s="54">
        <f t="shared" ref="T262:T325" si="167">SUM(V262:W262,Y262:AB262)</f>
        <v>0</v>
      </c>
      <c r="U262" s="115">
        <f>SUM(Tableau1[[#This Row],[Vente confiserie]:[Vente boisson]])</f>
        <v>0</v>
      </c>
      <c r="V262" s="55"/>
      <c r="W262" s="55"/>
      <c r="X262" s="135">
        <f>SUM(Tableau1[[#This Row],[Vente lunette]:[Location lunette]])</f>
        <v>0</v>
      </c>
      <c r="Y262" s="55"/>
      <c r="Z262" s="55"/>
      <c r="AA262" s="55"/>
      <c r="AB262" s="55"/>
      <c r="AC262" s="56">
        <f t="shared" si="157"/>
        <v>0</v>
      </c>
      <c r="AD262" s="57"/>
      <c r="AE262" s="57"/>
      <c r="AF262" s="57"/>
      <c r="AG262" s="57"/>
      <c r="AH262" s="57"/>
      <c r="AI262" s="57"/>
      <c r="AJ262" s="118">
        <f>(Tableau1[[#This Row],[Recette guichet ]]*1.1275177)-Tableau1[[#This Row],[Recette guichet ]]</f>
        <v>0</v>
      </c>
      <c r="AK262" s="57"/>
      <c r="AL262" s="56">
        <f t="shared" si="158"/>
        <v>0</v>
      </c>
      <c r="AM262" s="58"/>
      <c r="AN262" s="58"/>
      <c r="AO262" s="58"/>
      <c r="AP262" s="115">
        <f t="shared" ref="AP262:AP325" si="168">SUM(AQ262:AS262)</f>
        <v>0</v>
      </c>
      <c r="AQ262" s="69"/>
      <c r="AR262" s="69"/>
      <c r="AS262" s="69"/>
      <c r="AT262" s="69"/>
      <c r="AU262" s="59">
        <f t="shared" ref="AU262:AU325" si="169">SUM(AV262,AZ262,BD262)</f>
        <v>0</v>
      </c>
      <c r="AV262" s="60">
        <f t="shared" ref="AV262:AV325" si="170">SUM(AW262:AY262)</f>
        <v>0</v>
      </c>
      <c r="AW262" s="58"/>
      <c r="AX262" s="58"/>
      <c r="AY262" s="58"/>
      <c r="AZ262" s="60">
        <f t="shared" si="160"/>
        <v>0</v>
      </c>
      <c r="BA262" s="58"/>
      <c r="BB262" s="58"/>
      <c r="BC262" s="58"/>
      <c r="BD262" s="60">
        <f>SUM(Tableau1[[#This Row],[ticket/carte/abonnement périmé]:[Autres ou non précisé 5]])</f>
        <v>0</v>
      </c>
      <c r="BE262" s="58"/>
      <c r="BF262" s="58"/>
      <c r="BG262" s="58"/>
      <c r="BH262" s="61">
        <f t="shared" ref="BH262:BH325" si="171">SUM(BI262:BJ262)</f>
        <v>0</v>
      </c>
      <c r="BI262" s="120"/>
      <c r="BJ262" s="120"/>
      <c r="BK262" s="62">
        <f t="shared" ref="BK262:BK325" si="172">SUM(BL262:BQ262)</f>
        <v>0</v>
      </c>
      <c r="BL262" s="120"/>
      <c r="BM262" s="120"/>
      <c r="BN262" s="120"/>
      <c r="BO262" s="120"/>
      <c r="BP262" s="120"/>
      <c r="BQ262" s="63"/>
      <c r="BR262" s="52">
        <f t="shared" ref="BR262:BR325" si="173">BS262+GB262+GE262+GJ262</f>
        <v>0</v>
      </c>
      <c r="BS262" s="52">
        <f t="shared" ref="BS262:BS325" si="174">BT262+CH262+FE262+FO262+FS262+FV262</f>
        <v>0</v>
      </c>
      <c r="BT262" s="61">
        <f t="shared" ref="BT262:BT325" si="175">SUM(BU262,CC262,BZ262)</f>
        <v>0</v>
      </c>
      <c r="BU262" s="64">
        <f t="shared" ref="BU262:BU325" si="176">SUM(BW262:BY262)</f>
        <v>0</v>
      </c>
      <c r="BV262" s="119">
        <f>SUM(Tableau1[[#This Row],[Achats confiserie]:[Achats boisson]])</f>
        <v>0</v>
      </c>
      <c r="BW262" s="58"/>
      <c r="BX262" s="69"/>
      <c r="BY262" s="58"/>
      <c r="BZ262" s="56">
        <f t="shared" ref="BZ262:BZ325" si="177">SUM(CA262:CB262)</f>
        <v>0</v>
      </c>
      <c r="CA262" s="66"/>
      <c r="CB262" s="66"/>
      <c r="CC262" s="56">
        <f t="shared" ref="CC262:CC325" si="178">SUM(CD262:CG262)</f>
        <v>0</v>
      </c>
      <c r="CD262" s="55"/>
      <c r="CE262" s="65"/>
      <c r="CF262" s="55"/>
      <c r="CG262" s="55"/>
      <c r="CH262" s="67">
        <f t="shared" ref="CH262:CH325" si="179">SUM(CI262,CO262,CX262,DD262,DI262,DM262,DP262,DS262,DW262,EC262,EL262,ET262,EZ262,FC262,EI262)</f>
        <v>0</v>
      </c>
      <c r="CI262" s="68">
        <f t="shared" si="156"/>
        <v>0</v>
      </c>
      <c r="CJ262" s="55"/>
      <c r="CK262" s="55"/>
      <c r="CL262" s="55"/>
      <c r="CM262" s="55"/>
      <c r="CN262" s="55"/>
      <c r="CO262" s="68">
        <f t="shared" ref="CO262:CO325" si="180">SUM(CQ262:CW262)</f>
        <v>0</v>
      </c>
      <c r="CP262" s="75">
        <f>SUM(Tableau1[[#This Row],[Fourniture eau]:[Energie (non précisé)]])</f>
        <v>0</v>
      </c>
      <c r="CQ262" s="55"/>
      <c r="CR262" s="55"/>
      <c r="CS262" s="55"/>
      <c r="CT262" s="55"/>
      <c r="CU262" s="55"/>
      <c r="CV262" s="55">
        <v>0</v>
      </c>
      <c r="CW262" s="55"/>
      <c r="CX262" s="68">
        <f>SUM(Tableau1[[#This Row],[Sous-traitance]:[Autres ou non précisé 12]])</f>
        <v>0</v>
      </c>
      <c r="CY262" s="65"/>
      <c r="CZ262" s="65"/>
      <c r="DA262" s="65"/>
      <c r="DB262" s="65"/>
      <c r="DC262" s="55"/>
      <c r="DD262" s="68">
        <f t="shared" si="161"/>
        <v>0</v>
      </c>
      <c r="DE262" s="55"/>
      <c r="DF262" s="65"/>
      <c r="DG262" s="65"/>
      <c r="DH262" s="65"/>
      <c r="DI262" s="68">
        <f>SUM(Tableau1[[#This Row],[Entretien et réparation matériel de projection]:[Autres ou non précisé 14]])</f>
        <v>0</v>
      </c>
      <c r="DJ262" s="58"/>
      <c r="DK262" s="58"/>
      <c r="DL262" s="69"/>
      <c r="DM262" s="68">
        <f t="shared" ref="DM262:DM325" si="181">SUM(DN262:DO262)</f>
        <v>0</v>
      </c>
      <c r="DN262" s="58"/>
      <c r="DO262" s="58"/>
      <c r="DP262" s="68">
        <f t="shared" ref="DP262:DP325" si="182">SUM(DQ262:DR262)</f>
        <v>0</v>
      </c>
      <c r="DQ262" s="65"/>
      <c r="DR262" s="65"/>
      <c r="DS262" s="68">
        <f t="shared" ref="DS262:DS325" si="183">SUM(DT262:DV262)</f>
        <v>0</v>
      </c>
      <c r="DT262" s="65"/>
      <c r="DU262" s="65"/>
      <c r="DV262" s="65"/>
      <c r="DW262" s="68">
        <f>SUM(Tableau1[[#This Row],[Comission et courtage sur achats]:[Autres ou honoraires
 non précisé ]])</f>
        <v>0</v>
      </c>
      <c r="DX262" s="57"/>
      <c r="DY262" s="57"/>
      <c r="DZ262" s="65"/>
      <c r="EA262" s="65"/>
      <c r="EB262" s="65"/>
      <c r="EC262" s="68">
        <f t="shared" ref="EC262:EC325" si="184">SUM(ED262:EH262)</f>
        <v>0</v>
      </c>
      <c r="ED262" s="69"/>
      <c r="EE262" s="69"/>
      <c r="EF262" s="69"/>
      <c r="EG262" s="69"/>
      <c r="EH262" s="69"/>
      <c r="EI262" s="84">
        <f>SUM(Tableau1[[#This Row],[Transports sur films]:[autres ]])</f>
        <v>0</v>
      </c>
      <c r="EJ262" s="132">
        <v>0</v>
      </c>
      <c r="EK262" s="132"/>
      <c r="EL262" s="68">
        <f t="shared" ref="EL262:EL325" si="185">SUM(EM262:ES262)</f>
        <v>0</v>
      </c>
      <c r="EM262" s="65"/>
      <c r="EN262" s="65">
        <v>0</v>
      </c>
      <c r="EO262" s="65"/>
      <c r="EP262" s="65"/>
      <c r="EQ262" s="65"/>
      <c r="ER262" s="65"/>
      <c r="ES262" s="65"/>
      <c r="ET262" s="68">
        <f t="shared" ref="ET262:ET325" si="186">SUM(EU262:EY262)</f>
        <v>0</v>
      </c>
      <c r="EU262" s="65"/>
      <c r="EV262" s="65"/>
      <c r="EW262" s="65"/>
      <c r="EX262" s="65"/>
      <c r="EY262" s="65"/>
      <c r="EZ262" s="68">
        <f t="shared" si="163"/>
        <v>0</v>
      </c>
      <c r="FA262" s="65"/>
      <c r="FB262" s="65"/>
      <c r="FC262" s="70">
        <f t="shared" si="162"/>
        <v>0</v>
      </c>
      <c r="FD262" s="65"/>
      <c r="FE262" s="71">
        <f t="shared" ref="FE262:FE325" si="187">SUM(FF262,FJ262)</f>
        <v>0</v>
      </c>
      <c r="FF262" s="72">
        <f t="shared" ref="FF262:FF325" si="188">SUM(FG262:FI262)</f>
        <v>0</v>
      </c>
      <c r="FG262" s="65"/>
      <c r="FH262" s="65"/>
      <c r="FI262" s="65"/>
      <c r="FJ262" s="56">
        <f t="shared" ref="FJ262:FJ325" si="189">SUM(FK262:FN262)</f>
        <v>0</v>
      </c>
      <c r="FK262" s="65"/>
      <c r="FL262" s="65"/>
      <c r="FM262" s="65"/>
      <c r="FN262" s="65"/>
      <c r="FO262" s="67">
        <f t="shared" ref="FO262:FO325" si="190">SUM(FP262:FR262)</f>
        <v>0</v>
      </c>
      <c r="FP262" s="57"/>
      <c r="FQ262" s="73"/>
      <c r="FR262" s="73"/>
      <c r="FS262" s="71">
        <f t="shared" ref="FS262:FS325" si="191">SUM(FT262:FU262)</f>
        <v>0</v>
      </c>
      <c r="FT262" s="91"/>
      <c r="FU262" s="91"/>
      <c r="FV262" s="67">
        <f>SUM(Tableau1[[#This Row],[Droits d''auteurs SACEM + cotisations SACEM]:[Autres ou non préciés]])</f>
        <v>0</v>
      </c>
      <c r="FW262" s="75">
        <f t="shared" ref="FW262:FW325" si="192">SUM(FX262:FZ262)</f>
        <v>0</v>
      </c>
      <c r="FX262" s="74">
        <v>0</v>
      </c>
      <c r="FY262" s="74"/>
      <c r="FZ262" s="74"/>
      <c r="GA262" s="74"/>
      <c r="GB262" s="71">
        <f t="shared" ref="GB262:GB325" si="193">SUM(GC262:GD262)</f>
        <v>0</v>
      </c>
      <c r="GC262" s="92"/>
      <c r="GD262" s="92"/>
      <c r="GE262" s="67">
        <f t="shared" ref="GE262:GE325" si="194">SUM(GF262:GI262)</f>
        <v>0</v>
      </c>
      <c r="GF262" s="66"/>
      <c r="GG262" s="66"/>
      <c r="GH262" s="66"/>
      <c r="GI262" s="66"/>
      <c r="GJ262" s="77"/>
    </row>
    <row r="263" spans="1:192" ht="18.600000000000001" customHeight="1" x14ac:dyDescent="0.25">
      <c r="A263" s="89"/>
      <c r="B263" s="17"/>
      <c r="C263" s="50"/>
      <c r="D263" s="140"/>
      <c r="E263" s="51"/>
      <c r="F263" s="139">
        <f t="shared" si="159"/>
        <v>1</v>
      </c>
      <c r="G263" s="49"/>
      <c r="H263" s="50"/>
      <c r="I263" s="122"/>
      <c r="J263" s="49"/>
      <c r="K263" s="50"/>
      <c r="L263" s="50"/>
      <c r="M263" s="90"/>
      <c r="N263" s="50"/>
      <c r="O263" s="50"/>
      <c r="P263" s="90"/>
      <c r="Q263" s="52">
        <f t="shared" si="164"/>
        <v>0</v>
      </c>
      <c r="R263" s="52">
        <f t="shared" si="165"/>
        <v>0</v>
      </c>
      <c r="S263" s="53">
        <f t="shared" si="166"/>
        <v>0</v>
      </c>
      <c r="T263" s="54">
        <f t="shared" si="167"/>
        <v>0</v>
      </c>
      <c r="U263" s="115">
        <f>SUM(Tableau1[[#This Row],[Vente confiserie]:[Vente boisson]])</f>
        <v>0</v>
      </c>
      <c r="V263" s="55"/>
      <c r="W263" s="55"/>
      <c r="X263" s="135">
        <f>SUM(Tableau1[[#This Row],[Vente lunette]:[Location lunette]])</f>
        <v>0</v>
      </c>
      <c r="Y263" s="55"/>
      <c r="Z263" s="55"/>
      <c r="AA263" s="55"/>
      <c r="AB263" s="55"/>
      <c r="AC263" s="56">
        <f t="shared" si="157"/>
        <v>0</v>
      </c>
      <c r="AD263" s="57"/>
      <c r="AE263" s="57"/>
      <c r="AF263" s="57"/>
      <c r="AG263" s="57"/>
      <c r="AH263" s="57"/>
      <c r="AI263" s="57"/>
      <c r="AJ263" s="118">
        <f>(Tableau1[[#This Row],[Recette guichet ]]*1.1275177)-Tableau1[[#This Row],[Recette guichet ]]</f>
        <v>0</v>
      </c>
      <c r="AK263" s="57"/>
      <c r="AL263" s="56">
        <f t="shared" si="158"/>
        <v>0</v>
      </c>
      <c r="AM263" s="58"/>
      <c r="AN263" s="58"/>
      <c r="AO263" s="58"/>
      <c r="AP263" s="115">
        <f t="shared" si="168"/>
        <v>0</v>
      </c>
      <c r="AQ263" s="69"/>
      <c r="AR263" s="69"/>
      <c r="AS263" s="69"/>
      <c r="AT263" s="69"/>
      <c r="AU263" s="59">
        <f t="shared" si="169"/>
        <v>0</v>
      </c>
      <c r="AV263" s="60">
        <f t="shared" si="170"/>
        <v>0</v>
      </c>
      <c r="AW263" s="58"/>
      <c r="AX263" s="58"/>
      <c r="AY263" s="58"/>
      <c r="AZ263" s="60">
        <f t="shared" si="160"/>
        <v>0</v>
      </c>
      <c r="BA263" s="58"/>
      <c r="BB263" s="58"/>
      <c r="BC263" s="58"/>
      <c r="BD263" s="60">
        <f>SUM(Tableau1[[#This Row],[ticket/carte/abonnement périmé]:[Autres ou non précisé 5]])</f>
        <v>0</v>
      </c>
      <c r="BE263" s="58"/>
      <c r="BF263" s="58"/>
      <c r="BG263" s="58"/>
      <c r="BH263" s="61">
        <f t="shared" si="171"/>
        <v>0</v>
      </c>
      <c r="BI263" s="120"/>
      <c r="BJ263" s="120"/>
      <c r="BK263" s="62">
        <f t="shared" si="172"/>
        <v>0</v>
      </c>
      <c r="BL263" s="120"/>
      <c r="BM263" s="120"/>
      <c r="BN263" s="120"/>
      <c r="BO263" s="120"/>
      <c r="BP263" s="120"/>
      <c r="BQ263" s="63"/>
      <c r="BR263" s="52">
        <f t="shared" si="173"/>
        <v>0</v>
      </c>
      <c r="BS263" s="52">
        <f t="shared" si="174"/>
        <v>0</v>
      </c>
      <c r="BT263" s="61">
        <f t="shared" si="175"/>
        <v>0</v>
      </c>
      <c r="BU263" s="64">
        <f t="shared" si="176"/>
        <v>0</v>
      </c>
      <c r="BV263" s="119">
        <f>SUM(Tableau1[[#This Row],[Achats confiserie]:[Achats boisson]])</f>
        <v>0</v>
      </c>
      <c r="BW263" s="58"/>
      <c r="BX263" s="69"/>
      <c r="BY263" s="58"/>
      <c r="BZ263" s="56">
        <f t="shared" si="177"/>
        <v>0</v>
      </c>
      <c r="CA263" s="66"/>
      <c r="CB263" s="66"/>
      <c r="CC263" s="56">
        <f t="shared" si="178"/>
        <v>0</v>
      </c>
      <c r="CD263" s="55"/>
      <c r="CE263" s="65"/>
      <c r="CF263" s="55"/>
      <c r="CG263" s="55"/>
      <c r="CH263" s="67">
        <f t="shared" si="179"/>
        <v>0</v>
      </c>
      <c r="CI263" s="68">
        <f t="shared" si="156"/>
        <v>0</v>
      </c>
      <c r="CJ263" s="55"/>
      <c r="CK263" s="55"/>
      <c r="CL263" s="55"/>
      <c r="CM263" s="55"/>
      <c r="CN263" s="55"/>
      <c r="CO263" s="68">
        <f t="shared" si="180"/>
        <v>0</v>
      </c>
      <c r="CP263" s="75">
        <f>SUM(Tableau1[[#This Row],[Fourniture eau]:[Energie (non précisé)]])</f>
        <v>0</v>
      </c>
      <c r="CQ263" s="55"/>
      <c r="CR263" s="55"/>
      <c r="CS263" s="55"/>
      <c r="CT263" s="55"/>
      <c r="CU263" s="55"/>
      <c r="CV263" s="55">
        <v>0</v>
      </c>
      <c r="CW263" s="55"/>
      <c r="CX263" s="68">
        <f>SUM(Tableau1[[#This Row],[Sous-traitance]:[Autres ou non précisé 12]])</f>
        <v>0</v>
      </c>
      <c r="CY263" s="65"/>
      <c r="CZ263" s="65"/>
      <c r="DA263" s="65"/>
      <c r="DB263" s="65"/>
      <c r="DC263" s="55"/>
      <c r="DD263" s="68">
        <f t="shared" si="161"/>
        <v>0</v>
      </c>
      <c r="DE263" s="55"/>
      <c r="DF263" s="65"/>
      <c r="DG263" s="65"/>
      <c r="DH263" s="65"/>
      <c r="DI263" s="68">
        <f>SUM(Tableau1[[#This Row],[Entretien et réparation matériel de projection]:[Autres ou non précisé 14]])</f>
        <v>0</v>
      </c>
      <c r="DJ263" s="58"/>
      <c r="DK263" s="58"/>
      <c r="DL263" s="69"/>
      <c r="DM263" s="68">
        <f t="shared" si="181"/>
        <v>0</v>
      </c>
      <c r="DN263" s="58"/>
      <c r="DO263" s="58"/>
      <c r="DP263" s="68">
        <f t="shared" si="182"/>
        <v>0</v>
      </c>
      <c r="DQ263" s="65"/>
      <c r="DR263" s="65"/>
      <c r="DS263" s="68">
        <f t="shared" si="183"/>
        <v>0</v>
      </c>
      <c r="DT263" s="65"/>
      <c r="DU263" s="65"/>
      <c r="DV263" s="65"/>
      <c r="DW263" s="68">
        <f>SUM(Tableau1[[#This Row],[Comission et courtage sur achats]:[Autres ou honoraires
 non précisé ]])</f>
        <v>0</v>
      </c>
      <c r="DX263" s="57"/>
      <c r="DY263" s="57"/>
      <c r="DZ263" s="65"/>
      <c r="EA263" s="65"/>
      <c r="EB263" s="65"/>
      <c r="EC263" s="68">
        <f t="shared" si="184"/>
        <v>0</v>
      </c>
      <c r="ED263" s="69"/>
      <c r="EE263" s="69"/>
      <c r="EF263" s="69"/>
      <c r="EG263" s="69"/>
      <c r="EH263" s="69"/>
      <c r="EI263" s="84">
        <f>SUM(Tableau1[[#This Row],[Transports sur films]:[autres ]])</f>
        <v>0</v>
      </c>
      <c r="EJ263" s="132">
        <v>0</v>
      </c>
      <c r="EK263" s="132"/>
      <c r="EL263" s="68">
        <f t="shared" si="185"/>
        <v>0</v>
      </c>
      <c r="EM263" s="65"/>
      <c r="EN263" s="65">
        <v>0</v>
      </c>
      <c r="EO263" s="65"/>
      <c r="EP263" s="65"/>
      <c r="EQ263" s="65"/>
      <c r="ER263" s="65"/>
      <c r="ES263" s="65"/>
      <c r="ET263" s="68">
        <f t="shared" si="186"/>
        <v>0</v>
      </c>
      <c r="EU263" s="65"/>
      <c r="EV263" s="65"/>
      <c r="EW263" s="65"/>
      <c r="EX263" s="65"/>
      <c r="EY263" s="65"/>
      <c r="EZ263" s="68">
        <f t="shared" si="163"/>
        <v>0</v>
      </c>
      <c r="FA263" s="65"/>
      <c r="FB263" s="65"/>
      <c r="FC263" s="70">
        <f t="shared" si="162"/>
        <v>0</v>
      </c>
      <c r="FD263" s="65"/>
      <c r="FE263" s="71">
        <f t="shared" si="187"/>
        <v>0</v>
      </c>
      <c r="FF263" s="72">
        <f t="shared" si="188"/>
        <v>0</v>
      </c>
      <c r="FG263" s="65"/>
      <c r="FH263" s="65"/>
      <c r="FI263" s="65"/>
      <c r="FJ263" s="56">
        <f t="shared" si="189"/>
        <v>0</v>
      </c>
      <c r="FK263" s="65"/>
      <c r="FL263" s="65"/>
      <c r="FM263" s="65"/>
      <c r="FN263" s="65"/>
      <c r="FO263" s="67">
        <f t="shared" si="190"/>
        <v>0</v>
      </c>
      <c r="FP263" s="57"/>
      <c r="FQ263" s="73"/>
      <c r="FR263" s="73"/>
      <c r="FS263" s="71">
        <f t="shared" si="191"/>
        <v>0</v>
      </c>
      <c r="FT263" s="91"/>
      <c r="FU263" s="91"/>
      <c r="FV263" s="67">
        <f>SUM(Tableau1[[#This Row],[Droits d''auteurs SACEM + cotisations SACEM]:[Autres ou non préciés]])</f>
        <v>0</v>
      </c>
      <c r="FW263" s="75">
        <f t="shared" si="192"/>
        <v>0</v>
      </c>
      <c r="FX263" s="74">
        <v>0</v>
      </c>
      <c r="FY263" s="74"/>
      <c r="FZ263" s="74"/>
      <c r="GA263" s="74"/>
      <c r="GB263" s="71">
        <f t="shared" si="193"/>
        <v>0</v>
      </c>
      <c r="GC263" s="92"/>
      <c r="GD263" s="92"/>
      <c r="GE263" s="67">
        <f t="shared" si="194"/>
        <v>0</v>
      </c>
      <c r="GF263" s="66"/>
      <c r="GG263" s="66"/>
      <c r="GH263" s="66"/>
      <c r="GI263" s="66"/>
      <c r="GJ263" s="77"/>
    </row>
    <row r="264" spans="1:192" ht="18.600000000000001" customHeight="1" x14ac:dyDescent="0.25">
      <c r="A264" s="89"/>
      <c r="B264" s="17"/>
      <c r="C264" s="50"/>
      <c r="D264" s="140"/>
      <c r="E264" s="51"/>
      <c r="F264" s="139">
        <f t="shared" si="159"/>
        <v>1</v>
      </c>
      <c r="G264" s="49"/>
      <c r="H264" s="50"/>
      <c r="I264" s="122"/>
      <c r="J264" s="49"/>
      <c r="K264" s="50"/>
      <c r="L264" s="50"/>
      <c r="M264" s="90"/>
      <c r="N264" s="50"/>
      <c r="O264" s="50"/>
      <c r="P264" s="90"/>
      <c r="Q264" s="52">
        <f t="shared" si="164"/>
        <v>0</v>
      </c>
      <c r="R264" s="52">
        <f t="shared" si="165"/>
        <v>0</v>
      </c>
      <c r="S264" s="53">
        <f t="shared" si="166"/>
        <v>0</v>
      </c>
      <c r="T264" s="54">
        <f t="shared" si="167"/>
        <v>0</v>
      </c>
      <c r="U264" s="115">
        <f>SUM(Tableau1[[#This Row],[Vente confiserie]:[Vente boisson]])</f>
        <v>0</v>
      </c>
      <c r="V264" s="55"/>
      <c r="W264" s="55"/>
      <c r="X264" s="135">
        <f>SUM(Tableau1[[#This Row],[Vente lunette]:[Location lunette]])</f>
        <v>0</v>
      </c>
      <c r="Y264" s="55"/>
      <c r="Z264" s="55"/>
      <c r="AA264" s="55"/>
      <c r="AB264" s="55"/>
      <c r="AC264" s="56">
        <f t="shared" si="157"/>
        <v>0</v>
      </c>
      <c r="AD264" s="57"/>
      <c r="AE264" s="57"/>
      <c r="AF264" s="57"/>
      <c r="AG264" s="57"/>
      <c r="AH264" s="57"/>
      <c r="AI264" s="57"/>
      <c r="AJ264" s="118">
        <f>(Tableau1[[#This Row],[Recette guichet ]]*1.1275177)-Tableau1[[#This Row],[Recette guichet ]]</f>
        <v>0</v>
      </c>
      <c r="AK264" s="57"/>
      <c r="AL264" s="56">
        <f t="shared" si="158"/>
        <v>0</v>
      </c>
      <c r="AM264" s="58"/>
      <c r="AN264" s="58"/>
      <c r="AO264" s="58"/>
      <c r="AP264" s="115">
        <f t="shared" si="168"/>
        <v>0</v>
      </c>
      <c r="AQ264" s="69"/>
      <c r="AR264" s="69"/>
      <c r="AS264" s="69"/>
      <c r="AT264" s="69"/>
      <c r="AU264" s="59">
        <f t="shared" si="169"/>
        <v>0</v>
      </c>
      <c r="AV264" s="60">
        <f t="shared" si="170"/>
        <v>0</v>
      </c>
      <c r="AW264" s="58"/>
      <c r="AX264" s="58"/>
      <c r="AY264" s="58"/>
      <c r="AZ264" s="60">
        <f t="shared" si="160"/>
        <v>0</v>
      </c>
      <c r="BA264" s="58"/>
      <c r="BB264" s="58"/>
      <c r="BC264" s="58"/>
      <c r="BD264" s="60">
        <f>SUM(Tableau1[[#This Row],[ticket/carte/abonnement périmé]:[Autres ou non précisé 5]])</f>
        <v>0</v>
      </c>
      <c r="BE264" s="58"/>
      <c r="BF264" s="58"/>
      <c r="BG264" s="58"/>
      <c r="BH264" s="61">
        <f t="shared" si="171"/>
        <v>0</v>
      </c>
      <c r="BI264" s="120"/>
      <c r="BJ264" s="120"/>
      <c r="BK264" s="62">
        <f t="shared" si="172"/>
        <v>0</v>
      </c>
      <c r="BL264" s="120"/>
      <c r="BM264" s="120"/>
      <c r="BN264" s="120"/>
      <c r="BO264" s="120"/>
      <c r="BP264" s="120"/>
      <c r="BQ264" s="63"/>
      <c r="BR264" s="52">
        <f t="shared" si="173"/>
        <v>0</v>
      </c>
      <c r="BS264" s="52">
        <f t="shared" si="174"/>
        <v>0</v>
      </c>
      <c r="BT264" s="61">
        <f t="shared" si="175"/>
        <v>0</v>
      </c>
      <c r="BU264" s="64">
        <f t="shared" si="176"/>
        <v>0</v>
      </c>
      <c r="BV264" s="119">
        <f>SUM(Tableau1[[#This Row],[Achats confiserie]:[Achats boisson]])</f>
        <v>0</v>
      </c>
      <c r="BW264" s="58"/>
      <c r="BX264" s="69"/>
      <c r="BY264" s="58"/>
      <c r="BZ264" s="56">
        <f t="shared" si="177"/>
        <v>0</v>
      </c>
      <c r="CA264" s="66"/>
      <c r="CB264" s="66"/>
      <c r="CC264" s="56">
        <f t="shared" si="178"/>
        <v>0</v>
      </c>
      <c r="CD264" s="55"/>
      <c r="CE264" s="65"/>
      <c r="CF264" s="55"/>
      <c r="CG264" s="55"/>
      <c r="CH264" s="67">
        <f t="shared" si="179"/>
        <v>0</v>
      </c>
      <c r="CI264" s="68">
        <f t="shared" si="156"/>
        <v>0</v>
      </c>
      <c r="CJ264" s="55"/>
      <c r="CK264" s="55"/>
      <c r="CL264" s="55"/>
      <c r="CM264" s="55"/>
      <c r="CN264" s="55"/>
      <c r="CO264" s="68">
        <f t="shared" si="180"/>
        <v>0</v>
      </c>
      <c r="CP264" s="75">
        <f>SUM(Tableau1[[#This Row],[Fourniture eau]:[Energie (non précisé)]])</f>
        <v>0</v>
      </c>
      <c r="CQ264" s="55"/>
      <c r="CR264" s="55"/>
      <c r="CS264" s="55"/>
      <c r="CT264" s="55"/>
      <c r="CU264" s="55"/>
      <c r="CV264" s="55">
        <v>0</v>
      </c>
      <c r="CW264" s="55"/>
      <c r="CX264" s="68">
        <f>SUM(Tableau1[[#This Row],[Sous-traitance]:[Autres ou non précisé 12]])</f>
        <v>0</v>
      </c>
      <c r="CY264" s="65"/>
      <c r="CZ264" s="65"/>
      <c r="DA264" s="65"/>
      <c r="DB264" s="65"/>
      <c r="DC264" s="55"/>
      <c r="DD264" s="68">
        <f t="shared" si="161"/>
        <v>0</v>
      </c>
      <c r="DE264" s="55"/>
      <c r="DF264" s="65"/>
      <c r="DG264" s="65"/>
      <c r="DH264" s="65"/>
      <c r="DI264" s="68">
        <f>SUM(Tableau1[[#This Row],[Entretien et réparation matériel de projection]:[Autres ou non précisé 14]])</f>
        <v>0</v>
      </c>
      <c r="DJ264" s="58"/>
      <c r="DK264" s="58"/>
      <c r="DL264" s="69"/>
      <c r="DM264" s="68">
        <f t="shared" si="181"/>
        <v>0</v>
      </c>
      <c r="DN264" s="58"/>
      <c r="DO264" s="58"/>
      <c r="DP264" s="68">
        <f t="shared" si="182"/>
        <v>0</v>
      </c>
      <c r="DQ264" s="65"/>
      <c r="DR264" s="65"/>
      <c r="DS264" s="68">
        <f t="shared" si="183"/>
        <v>0</v>
      </c>
      <c r="DT264" s="65"/>
      <c r="DU264" s="65"/>
      <c r="DV264" s="65"/>
      <c r="DW264" s="68">
        <f>SUM(Tableau1[[#This Row],[Comission et courtage sur achats]:[Autres ou honoraires
 non précisé ]])</f>
        <v>0</v>
      </c>
      <c r="DX264" s="57"/>
      <c r="DY264" s="57"/>
      <c r="DZ264" s="65"/>
      <c r="EA264" s="65"/>
      <c r="EB264" s="65"/>
      <c r="EC264" s="68">
        <f t="shared" si="184"/>
        <v>0</v>
      </c>
      <c r="ED264" s="69"/>
      <c r="EE264" s="69"/>
      <c r="EF264" s="69"/>
      <c r="EG264" s="69"/>
      <c r="EH264" s="69"/>
      <c r="EI264" s="84">
        <f>SUM(Tableau1[[#This Row],[Transports sur films]:[autres ]])</f>
        <v>0</v>
      </c>
      <c r="EJ264" s="132">
        <v>0</v>
      </c>
      <c r="EK264" s="132"/>
      <c r="EL264" s="68">
        <f t="shared" si="185"/>
        <v>0</v>
      </c>
      <c r="EM264" s="65"/>
      <c r="EN264" s="65">
        <v>0</v>
      </c>
      <c r="EO264" s="65"/>
      <c r="EP264" s="65"/>
      <c r="EQ264" s="65"/>
      <c r="ER264" s="65"/>
      <c r="ES264" s="65"/>
      <c r="ET264" s="68">
        <f t="shared" si="186"/>
        <v>0</v>
      </c>
      <c r="EU264" s="65"/>
      <c r="EV264" s="65"/>
      <c r="EW264" s="65"/>
      <c r="EX264" s="65"/>
      <c r="EY264" s="65"/>
      <c r="EZ264" s="68">
        <f t="shared" si="163"/>
        <v>0</v>
      </c>
      <c r="FA264" s="65"/>
      <c r="FB264" s="65"/>
      <c r="FC264" s="70">
        <f t="shared" si="162"/>
        <v>0</v>
      </c>
      <c r="FD264" s="65"/>
      <c r="FE264" s="71">
        <f t="shared" si="187"/>
        <v>0</v>
      </c>
      <c r="FF264" s="72">
        <f t="shared" si="188"/>
        <v>0</v>
      </c>
      <c r="FG264" s="65"/>
      <c r="FH264" s="65"/>
      <c r="FI264" s="65"/>
      <c r="FJ264" s="56">
        <f t="shared" si="189"/>
        <v>0</v>
      </c>
      <c r="FK264" s="65"/>
      <c r="FL264" s="65"/>
      <c r="FM264" s="65"/>
      <c r="FN264" s="65"/>
      <c r="FO264" s="67">
        <f t="shared" si="190"/>
        <v>0</v>
      </c>
      <c r="FP264" s="57"/>
      <c r="FQ264" s="73"/>
      <c r="FR264" s="73"/>
      <c r="FS264" s="71">
        <f t="shared" si="191"/>
        <v>0</v>
      </c>
      <c r="FT264" s="91"/>
      <c r="FU264" s="91"/>
      <c r="FV264" s="67">
        <f>SUM(Tableau1[[#This Row],[Droits d''auteurs SACEM + cotisations SACEM]:[Autres ou non préciés]])</f>
        <v>0</v>
      </c>
      <c r="FW264" s="75">
        <f t="shared" si="192"/>
        <v>0</v>
      </c>
      <c r="FX264" s="74">
        <v>0</v>
      </c>
      <c r="FY264" s="74"/>
      <c r="FZ264" s="74"/>
      <c r="GA264" s="74"/>
      <c r="GB264" s="71">
        <f t="shared" si="193"/>
        <v>0</v>
      </c>
      <c r="GC264" s="92"/>
      <c r="GD264" s="92"/>
      <c r="GE264" s="67">
        <f t="shared" si="194"/>
        <v>0</v>
      </c>
      <c r="GF264" s="66"/>
      <c r="GG264" s="66"/>
      <c r="GH264" s="66"/>
      <c r="GI264" s="66"/>
      <c r="GJ264" s="77"/>
    </row>
    <row r="265" spans="1:192" ht="18.600000000000001" customHeight="1" x14ac:dyDescent="0.25">
      <c r="A265" s="89"/>
      <c r="B265" s="17"/>
      <c r="C265" s="50"/>
      <c r="D265" s="140"/>
      <c r="E265" s="51"/>
      <c r="F265" s="139">
        <f t="shared" si="159"/>
        <v>1</v>
      </c>
      <c r="G265" s="49"/>
      <c r="H265" s="50"/>
      <c r="I265" s="122"/>
      <c r="J265" s="49"/>
      <c r="K265" s="50"/>
      <c r="L265" s="50"/>
      <c r="M265" s="90"/>
      <c r="N265" s="50"/>
      <c r="O265" s="50"/>
      <c r="P265" s="90"/>
      <c r="Q265" s="52">
        <f t="shared" si="164"/>
        <v>0</v>
      </c>
      <c r="R265" s="52">
        <f t="shared" si="165"/>
        <v>0</v>
      </c>
      <c r="S265" s="53">
        <f t="shared" si="166"/>
        <v>0</v>
      </c>
      <c r="T265" s="54">
        <f t="shared" si="167"/>
        <v>0</v>
      </c>
      <c r="U265" s="115">
        <f>SUM(Tableau1[[#This Row],[Vente confiserie]:[Vente boisson]])</f>
        <v>0</v>
      </c>
      <c r="V265" s="55"/>
      <c r="W265" s="55"/>
      <c r="X265" s="135">
        <f>SUM(Tableau1[[#This Row],[Vente lunette]:[Location lunette]])</f>
        <v>0</v>
      </c>
      <c r="Y265" s="55"/>
      <c r="Z265" s="55"/>
      <c r="AA265" s="55"/>
      <c r="AB265" s="55"/>
      <c r="AC265" s="56">
        <f t="shared" si="157"/>
        <v>0</v>
      </c>
      <c r="AD265" s="57"/>
      <c r="AE265" s="57"/>
      <c r="AF265" s="57"/>
      <c r="AG265" s="57"/>
      <c r="AH265" s="57"/>
      <c r="AI265" s="57"/>
      <c r="AJ265" s="118">
        <f>(Tableau1[[#This Row],[Recette guichet ]]*1.1275177)-Tableau1[[#This Row],[Recette guichet ]]</f>
        <v>0</v>
      </c>
      <c r="AK265" s="57"/>
      <c r="AL265" s="56">
        <f t="shared" si="158"/>
        <v>0</v>
      </c>
      <c r="AM265" s="58"/>
      <c r="AN265" s="58"/>
      <c r="AO265" s="58"/>
      <c r="AP265" s="115">
        <f t="shared" si="168"/>
        <v>0</v>
      </c>
      <c r="AQ265" s="69"/>
      <c r="AR265" s="69"/>
      <c r="AS265" s="69"/>
      <c r="AT265" s="69"/>
      <c r="AU265" s="59">
        <f t="shared" si="169"/>
        <v>0</v>
      </c>
      <c r="AV265" s="60">
        <f t="shared" si="170"/>
        <v>0</v>
      </c>
      <c r="AW265" s="58"/>
      <c r="AX265" s="58"/>
      <c r="AY265" s="58"/>
      <c r="AZ265" s="60">
        <f t="shared" si="160"/>
        <v>0</v>
      </c>
      <c r="BA265" s="58"/>
      <c r="BB265" s="58"/>
      <c r="BC265" s="58"/>
      <c r="BD265" s="60">
        <f>SUM(Tableau1[[#This Row],[ticket/carte/abonnement périmé]:[Autres ou non précisé 5]])</f>
        <v>0</v>
      </c>
      <c r="BE265" s="58"/>
      <c r="BF265" s="58"/>
      <c r="BG265" s="58"/>
      <c r="BH265" s="61">
        <f t="shared" si="171"/>
        <v>0</v>
      </c>
      <c r="BI265" s="120"/>
      <c r="BJ265" s="120"/>
      <c r="BK265" s="62">
        <f t="shared" si="172"/>
        <v>0</v>
      </c>
      <c r="BL265" s="120"/>
      <c r="BM265" s="120"/>
      <c r="BN265" s="120"/>
      <c r="BO265" s="120"/>
      <c r="BP265" s="120"/>
      <c r="BQ265" s="63"/>
      <c r="BR265" s="52">
        <f t="shared" si="173"/>
        <v>0</v>
      </c>
      <c r="BS265" s="52">
        <f t="shared" si="174"/>
        <v>0</v>
      </c>
      <c r="BT265" s="61">
        <f t="shared" si="175"/>
        <v>0</v>
      </c>
      <c r="BU265" s="64">
        <f t="shared" si="176"/>
        <v>0</v>
      </c>
      <c r="BV265" s="119">
        <f>SUM(Tableau1[[#This Row],[Achats confiserie]:[Achats boisson]])</f>
        <v>0</v>
      </c>
      <c r="BW265" s="58"/>
      <c r="BX265" s="69"/>
      <c r="BY265" s="58"/>
      <c r="BZ265" s="56">
        <f t="shared" si="177"/>
        <v>0</v>
      </c>
      <c r="CA265" s="66"/>
      <c r="CB265" s="66"/>
      <c r="CC265" s="56">
        <f t="shared" si="178"/>
        <v>0</v>
      </c>
      <c r="CD265" s="55"/>
      <c r="CE265" s="65"/>
      <c r="CF265" s="55"/>
      <c r="CG265" s="55"/>
      <c r="CH265" s="67">
        <f t="shared" si="179"/>
        <v>0</v>
      </c>
      <c r="CI265" s="68">
        <f t="shared" si="156"/>
        <v>0</v>
      </c>
      <c r="CJ265" s="55"/>
      <c r="CK265" s="55"/>
      <c r="CL265" s="55"/>
      <c r="CM265" s="55"/>
      <c r="CN265" s="55"/>
      <c r="CO265" s="68">
        <f t="shared" si="180"/>
        <v>0</v>
      </c>
      <c r="CP265" s="75">
        <f>SUM(Tableau1[[#This Row],[Fourniture eau]:[Energie (non précisé)]])</f>
        <v>0</v>
      </c>
      <c r="CQ265" s="55"/>
      <c r="CR265" s="55"/>
      <c r="CS265" s="55"/>
      <c r="CT265" s="55"/>
      <c r="CU265" s="55"/>
      <c r="CV265" s="55">
        <v>0</v>
      </c>
      <c r="CW265" s="55"/>
      <c r="CX265" s="68">
        <f>SUM(Tableau1[[#This Row],[Sous-traitance]:[Autres ou non précisé 12]])</f>
        <v>0</v>
      </c>
      <c r="CY265" s="65"/>
      <c r="CZ265" s="65"/>
      <c r="DA265" s="65"/>
      <c r="DB265" s="65"/>
      <c r="DC265" s="55"/>
      <c r="DD265" s="68">
        <f t="shared" si="161"/>
        <v>0</v>
      </c>
      <c r="DE265" s="55"/>
      <c r="DF265" s="65"/>
      <c r="DG265" s="65"/>
      <c r="DH265" s="65"/>
      <c r="DI265" s="68">
        <f>SUM(Tableau1[[#This Row],[Entretien et réparation matériel de projection]:[Autres ou non précisé 14]])</f>
        <v>0</v>
      </c>
      <c r="DJ265" s="58"/>
      <c r="DK265" s="58"/>
      <c r="DL265" s="69"/>
      <c r="DM265" s="68">
        <f t="shared" si="181"/>
        <v>0</v>
      </c>
      <c r="DN265" s="58"/>
      <c r="DO265" s="58"/>
      <c r="DP265" s="68">
        <f t="shared" si="182"/>
        <v>0</v>
      </c>
      <c r="DQ265" s="65"/>
      <c r="DR265" s="65"/>
      <c r="DS265" s="68">
        <f t="shared" si="183"/>
        <v>0</v>
      </c>
      <c r="DT265" s="65"/>
      <c r="DU265" s="65"/>
      <c r="DV265" s="65"/>
      <c r="DW265" s="68">
        <f>SUM(Tableau1[[#This Row],[Comission et courtage sur achats]:[Autres ou honoraires
 non précisé ]])</f>
        <v>0</v>
      </c>
      <c r="DX265" s="57"/>
      <c r="DY265" s="57"/>
      <c r="DZ265" s="65"/>
      <c r="EA265" s="65"/>
      <c r="EB265" s="65"/>
      <c r="EC265" s="68">
        <f t="shared" si="184"/>
        <v>0</v>
      </c>
      <c r="ED265" s="69"/>
      <c r="EE265" s="69"/>
      <c r="EF265" s="69"/>
      <c r="EG265" s="69"/>
      <c r="EH265" s="69"/>
      <c r="EI265" s="84">
        <f>SUM(Tableau1[[#This Row],[Transports sur films]:[autres ]])</f>
        <v>0</v>
      </c>
      <c r="EJ265" s="132">
        <v>0</v>
      </c>
      <c r="EK265" s="132"/>
      <c r="EL265" s="68">
        <f t="shared" si="185"/>
        <v>0</v>
      </c>
      <c r="EM265" s="65"/>
      <c r="EN265" s="65">
        <v>0</v>
      </c>
      <c r="EO265" s="65"/>
      <c r="EP265" s="65"/>
      <c r="EQ265" s="65"/>
      <c r="ER265" s="65"/>
      <c r="ES265" s="65"/>
      <c r="ET265" s="68">
        <f t="shared" si="186"/>
        <v>0</v>
      </c>
      <c r="EU265" s="65"/>
      <c r="EV265" s="65"/>
      <c r="EW265" s="65"/>
      <c r="EX265" s="65"/>
      <c r="EY265" s="65"/>
      <c r="EZ265" s="68">
        <f t="shared" si="163"/>
        <v>0</v>
      </c>
      <c r="FA265" s="65"/>
      <c r="FB265" s="65"/>
      <c r="FC265" s="70">
        <f t="shared" si="162"/>
        <v>0</v>
      </c>
      <c r="FD265" s="65"/>
      <c r="FE265" s="71">
        <f t="shared" si="187"/>
        <v>0</v>
      </c>
      <c r="FF265" s="72">
        <f t="shared" si="188"/>
        <v>0</v>
      </c>
      <c r="FG265" s="65"/>
      <c r="FH265" s="65"/>
      <c r="FI265" s="65"/>
      <c r="FJ265" s="56">
        <f t="shared" si="189"/>
        <v>0</v>
      </c>
      <c r="FK265" s="65"/>
      <c r="FL265" s="65"/>
      <c r="FM265" s="65"/>
      <c r="FN265" s="65"/>
      <c r="FO265" s="67">
        <f t="shared" si="190"/>
        <v>0</v>
      </c>
      <c r="FP265" s="57"/>
      <c r="FQ265" s="73"/>
      <c r="FR265" s="73"/>
      <c r="FS265" s="71">
        <f t="shared" si="191"/>
        <v>0</v>
      </c>
      <c r="FT265" s="91"/>
      <c r="FU265" s="91"/>
      <c r="FV265" s="67">
        <f>SUM(Tableau1[[#This Row],[Droits d''auteurs SACEM + cotisations SACEM]:[Autres ou non préciés]])</f>
        <v>0</v>
      </c>
      <c r="FW265" s="75">
        <f t="shared" si="192"/>
        <v>0</v>
      </c>
      <c r="FX265" s="74">
        <v>0</v>
      </c>
      <c r="FY265" s="74"/>
      <c r="FZ265" s="74"/>
      <c r="GA265" s="74"/>
      <c r="GB265" s="71">
        <f t="shared" si="193"/>
        <v>0</v>
      </c>
      <c r="GC265" s="92"/>
      <c r="GD265" s="92"/>
      <c r="GE265" s="67">
        <f t="shared" si="194"/>
        <v>0</v>
      </c>
      <c r="GF265" s="66"/>
      <c r="GG265" s="66"/>
      <c r="GH265" s="66"/>
      <c r="GI265" s="66"/>
      <c r="GJ265" s="77"/>
    </row>
    <row r="266" spans="1:192" ht="18.600000000000001" customHeight="1" x14ac:dyDescent="0.25">
      <c r="A266" s="89"/>
      <c r="B266" s="17"/>
      <c r="C266" s="50"/>
      <c r="D266" s="140"/>
      <c r="E266" s="51"/>
      <c r="F266" s="139">
        <f t="shared" si="159"/>
        <v>1</v>
      </c>
      <c r="G266" s="49"/>
      <c r="H266" s="50"/>
      <c r="I266" s="122"/>
      <c r="J266" s="49"/>
      <c r="K266" s="50"/>
      <c r="L266" s="50"/>
      <c r="M266" s="90"/>
      <c r="N266" s="50"/>
      <c r="O266" s="50"/>
      <c r="P266" s="90"/>
      <c r="Q266" s="52">
        <f t="shared" si="164"/>
        <v>0</v>
      </c>
      <c r="R266" s="52">
        <f t="shared" si="165"/>
        <v>0</v>
      </c>
      <c r="S266" s="53">
        <f t="shared" si="166"/>
        <v>0</v>
      </c>
      <c r="T266" s="54">
        <f t="shared" si="167"/>
        <v>0</v>
      </c>
      <c r="U266" s="115">
        <f>SUM(Tableau1[[#This Row],[Vente confiserie]:[Vente boisson]])</f>
        <v>0</v>
      </c>
      <c r="V266" s="55"/>
      <c r="W266" s="55"/>
      <c r="X266" s="135">
        <f>SUM(Tableau1[[#This Row],[Vente lunette]:[Location lunette]])</f>
        <v>0</v>
      </c>
      <c r="Y266" s="55"/>
      <c r="Z266" s="55"/>
      <c r="AA266" s="55"/>
      <c r="AB266" s="55"/>
      <c r="AC266" s="56">
        <f t="shared" si="157"/>
        <v>0</v>
      </c>
      <c r="AD266" s="57"/>
      <c r="AE266" s="57"/>
      <c r="AF266" s="57"/>
      <c r="AG266" s="57"/>
      <c r="AH266" s="57"/>
      <c r="AI266" s="57"/>
      <c r="AJ266" s="118">
        <f>(Tableau1[[#This Row],[Recette guichet ]]*1.1275177)-Tableau1[[#This Row],[Recette guichet ]]</f>
        <v>0</v>
      </c>
      <c r="AK266" s="57"/>
      <c r="AL266" s="56">
        <f t="shared" si="158"/>
        <v>0</v>
      </c>
      <c r="AM266" s="58"/>
      <c r="AN266" s="58"/>
      <c r="AO266" s="58"/>
      <c r="AP266" s="115">
        <f t="shared" si="168"/>
        <v>0</v>
      </c>
      <c r="AQ266" s="69"/>
      <c r="AR266" s="69"/>
      <c r="AS266" s="69"/>
      <c r="AT266" s="69"/>
      <c r="AU266" s="59">
        <f t="shared" si="169"/>
        <v>0</v>
      </c>
      <c r="AV266" s="60">
        <f t="shared" si="170"/>
        <v>0</v>
      </c>
      <c r="AW266" s="58"/>
      <c r="AX266" s="58"/>
      <c r="AY266" s="58"/>
      <c r="AZ266" s="60">
        <f t="shared" si="160"/>
        <v>0</v>
      </c>
      <c r="BA266" s="58"/>
      <c r="BB266" s="58"/>
      <c r="BC266" s="58"/>
      <c r="BD266" s="60">
        <f>SUM(Tableau1[[#This Row],[ticket/carte/abonnement périmé]:[Autres ou non précisé 5]])</f>
        <v>0</v>
      </c>
      <c r="BE266" s="58"/>
      <c r="BF266" s="58"/>
      <c r="BG266" s="58"/>
      <c r="BH266" s="61">
        <f t="shared" si="171"/>
        <v>0</v>
      </c>
      <c r="BI266" s="120"/>
      <c r="BJ266" s="120"/>
      <c r="BK266" s="62">
        <f t="shared" si="172"/>
        <v>0</v>
      </c>
      <c r="BL266" s="120"/>
      <c r="BM266" s="120"/>
      <c r="BN266" s="120"/>
      <c r="BO266" s="120"/>
      <c r="BP266" s="120"/>
      <c r="BQ266" s="63"/>
      <c r="BR266" s="52">
        <f t="shared" si="173"/>
        <v>0</v>
      </c>
      <c r="BS266" s="52">
        <f t="shared" si="174"/>
        <v>0</v>
      </c>
      <c r="BT266" s="61">
        <f t="shared" si="175"/>
        <v>0</v>
      </c>
      <c r="BU266" s="64">
        <f t="shared" si="176"/>
        <v>0</v>
      </c>
      <c r="BV266" s="119">
        <f>SUM(Tableau1[[#This Row],[Achats confiserie]:[Achats boisson]])</f>
        <v>0</v>
      </c>
      <c r="BW266" s="58"/>
      <c r="BX266" s="69"/>
      <c r="BY266" s="58"/>
      <c r="BZ266" s="56">
        <f t="shared" si="177"/>
        <v>0</v>
      </c>
      <c r="CA266" s="66"/>
      <c r="CB266" s="66"/>
      <c r="CC266" s="56">
        <f t="shared" si="178"/>
        <v>0</v>
      </c>
      <c r="CD266" s="55"/>
      <c r="CE266" s="65"/>
      <c r="CF266" s="55"/>
      <c r="CG266" s="55"/>
      <c r="CH266" s="67">
        <f t="shared" si="179"/>
        <v>0</v>
      </c>
      <c r="CI266" s="68">
        <f t="shared" si="156"/>
        <v>0</v>
      </c>
      <c r="CJ266" s="55"/>
      <c r="CK266" s="55"/>
      <c r="CL266" s="55"/>
      <c r="CM266" s="55"/>
      <c r="CN266" s="55"/>
      <c r="CO266" s="68">
        <f t="shared" si="180"/>
        <v>0</v>
      </c>
      <c r="CP266" s="75">
        <f>SUM(Tableau1[[#This Row],[Fourniture eau]:[Energie (non précisé)]])</f>
        <v>0</v>
      </c>
      <c r="CQ266" s="55"/>
      <c r="CR266" s="55"/>
      <c r="CS266" s="55"/>
      <c r="CT266" s="55"/>
      <c r="CU266" s="55"/>
      <c r="CV266" s="55">
        <v>0</v>
      </c>
      <c r="CW266" s="55"/>
      <c r="CX266" s="68">
        <f>SUM(Tableau1[[#This Row],[Sous-traitance]:[Autres ou non précisé 12]])</f>
        <v>0</v>
      </c>
      <c r="CY266" s="65"/>
      <c r="CZ266" s="65"/>
      <c r="DA266" s="65"/>
      <c r="DB266" s="65"/>
      <c r="DC266" s="55"/>
      <c r="DD266" s="68">
        <f t="shared" si="161"/>
        <v>0</v>
      </c>
      <c r="DE266" s="55"/>
      <c r="DF266" s="65"/>
      <c r="DG266" s="65"/>
      <c r="DH266" s="65"/>
      <c r="DI266" s="68">
        <f>SUM(Tableau1[[#This Row],[Entretien et réparation matériel de projection]:[Autres ou non précisé 14]])</f>
        <v>0</v>
      </c>
      <c r="DJ266" s="58"/>
      <c r="DK266" s="58"/>
      <c r="DL266" s="69"/>
      <c r="DM266" s="68">
        <f t="shared" si="181"/>
        <v>0</v>
      </c>
      <c r="DN266" s="58"/>
      <c r="DO266" s="58"/>
      <c r="DP266" s="68">
        <f t="shared" si="182"/>
        <v>0</v>
      </c>
      <c r="DQ266" s="65"/>
      <c r="DR266" s="65"/>
      <c r="DS266" s="68">
        <f t="shared" si="183"/>
        <v>0</v>
      </c>
      <c r="DT266" s="65"/>
      <c r="DU266" s="65"/>
      <c r="DV266" s="65"/>
      <c r="DW266" s="68">
        <f>SUM(Tableau1[[#This Row],[Comission et courtage sur achats]:[Autres ou honoraires
 non précisé ]])</f>
        <v>0</v>
      </c>
      <c r="DX266" s="57"/>
      <c r="DY266" s="57"/>
      <c r="DZ266" s="65"/>
      <c r="EA266" s="65"/>
      <c r="EB266" s="65"/>
      <c r="EC266" s="68">
        <f t="shared" si="184"/>
        <v>0</v>
      </c>
      <c r="ED266" s="69"/>
      <c r="EE266" s="69"/>
      <c r="EF266" s="69"/>
      <c r="EG266" s="69"/>
      <c r="EH266" s="69"/>
      <c r="EI266" s="84">
        <f>SUM(Tableau1[[#This Row],[Transports sur films]:[autres ]])</f>
        <v>0</v>
      </c>
      <c r="EJ266" s="132">
        <v>0</v>
      </c>
      <c r="EK266" s="132"/>
      <c r="EL266" s="68">
        <f t="shared" si="185"/>
        <v>0</v>
      </c>
      <c r="EM266" s="65"/>
      <c r="EN266" s="65">
        <v>0</v>
      </c>
      <c r="EO266" s="65"/>
      <c r="EP266" s="65"/>
      <c r="EQ266" s="65"/>
      <c r="ER266" s="65"/>
      <c r="ES266" s="65"/>
      <c r="ET266" s="68">
        <f t="shared" si="186"/>
        <v>0</v>
      </c>
      <c r="EU266" s="65"/>
      <c r="EV266" s="65"/>
      <c r="EW266" s="65"/>
      <c r="EX266" s="65"/>
      <c r="EY266" s="65"/>
      <c r="EZ266" s="68">
        <f t="shared" si="163"/>
        <v>0</v>
      </c>
      <c r="FA266" s="65"/>
      <c r="FB266" s="65"/>
      <c r="FC266" s="70">
        <f t="shared" si="162"/>
        <v>0</v>
      </c>
      <c r="FD266" s="65"/>
      <c r="FE266" s="71">
        <f t="shared" si="187"/>
        <v>0</v>
      </c>
      <c r="FF266" s="72">
        <f t="shared" si="188"/>
        <v>0</v>
      </c>
      <c r="FG266" s="65"/>
      <c r="FH266" s="65"/>
      <c r="FI266" s="65"/>
      <c r="FJ266" s="56">
        <f t="shared" si="189"/>
        <v>0</v>
      </c>
      <c r="FK266" s="65"/>
      <c r="FL266" s="65"/>
      <c r="FM266" s="65"/>
      <c r="FN266" s="65"/>
      <c r="FO266" s="67">
        <f t="shared" si="190"/>
        <v>0</v>
      </c>
      <c r="FP266" s="57"/>
      <c r="FQ266" s="73"/>
      <c r="FR266" s="73"/>
      <c r="FS266" s="71">
        <f t="shared" si="191"/>
        <v>0</v>
      </c>
      <c r="FT266" s="91"/>
      <c r="FU266" s="91"/>
      <c r="FV266" s="67">
        <f>SUM(Tableau1[[#This Row],[Droits d''auteurs SACEM + cotisations SACEM]:[Autres ou non préciés]])</f>
        <v>0</v>
      </c>
      <c r="FW266" s="75">
        <f t="shared" si="192"/>
        <v>0</v>
      </c>
      <c r="FX266" s="74">
        <v>0</v>
      </c>
      <c r="FY266" s="74"/>
      <c r="FZ266" s="74"/>
      <c r="GA266" s="74"/>
      <c r="GB266" s="71">
        <f t="shared" si="193"/>
        <v>0</v>
      </c>
      <c r="GC266" s="92"/>
      <c r="GD266" s="92"/>
      <c r="GE266" s="67">
        <f t="shared" si="194"/>
        <v>0</v>
      </c>
      <c r="GF266" s="66"/>
      <c r="GG266" s="66"/>
      <c r="GH266" s="66"/>
      <c r="GI266" s="66"/>
      <c r="GJ266" s="77"/>
    </row>
    <row r="267" spans="1:192" ht="18.600000000000001" customHeight="1" x14ac:dyDescent="0.25">
      <c r="A267" s="89"/>
      <c r="B267" s="17"/>
      <c r="C267" s="50"/>
      <c r="D267" s="140"/>
      <c r="E267" s="51"/>
      <c r="F267" s="139">
        <f t="shared" si="159"/>
        <v>1</v>
      </c>
      <c r="G267" s="49"/>
      <c r="H267" s="50"/>
      <c r="I267" s="122"/>
      <c r="J267" s="49"/>
      <c r="K267" s="50"/>
      <c r="L267" s="50"/>
      <c r="M267" s="90"/>
      <c r="N267" s="50"/>
      <c r="O267" s="50"/>
      <c r="P267" s="90"/>
      <c r="Q267" s="52">
        <f t="shared" si="164"/>
        <v>0</v>
      </c>
      <c r="R267" s="52">
        <f t="shared" si="165"/>
        <v>0</v>
      </c>
      <c r="S267" s="53">
        <f t="shared" si="166"/>
        <v>0</v>
      </c>
      <c r="T267" s="54">
        <f t="shared" si="167"/>
        <v>0</v>
      </c>
      <c r="U267" s="115">
        <f>SUM(Tableau1[[#This Row],[Vente confiserie]:[Vente boisson]])</f>
        <v>0</v>
      </c>
      <c r="V267" s="55"/>
      <c r="W267" s="55"/>
      <c r="X267" s="135">
        <f>SUM(Tableau1[[#This Row],[Vente lunette]:[Location lunette]])</f>
        <v>0</v>
      </c>
      <c r="Y267" s="55"/>
      <c r="Z267" s="55"/>
      <c r="AA267" s="55"/>
      <c r="AB267" s="55"/>
      <c r="AC267" s="56">
        <f t="shared" si="157"/>
        <v>0</v>
      </c>
      <c r="AD267" s="57"/>
      <c r="AE267" s="57"/>
      <c r="AF267" s="57"/>
      <c r="AG267" s="57"/>
      <c r="AH267" s="57"/>
      <c r="AI267" s="57"/>
      <c r="AJ267" s="118">
        <f>(Tableau1[[#This Row],[Recette guichet ]]*1.1275177)-Tableau1[[#This Row],[Recette guichet ]]</f>
        <v>0</v>
      </c>
      <c r="AK267" s="57"/>
      <c r="AL267" s="56">
        <f t="shared" si="158"/>
        <v>0</v>
      </c>
      <c r="AM267" s="58"/>
      <c r="AN267" s="58"/>
      <c r="AO267" s="58"/>
      <c r="AP267" s="115">
        <f t="shared" si="168"/>
        <v>0</v>
      </c>
      <c r="AQ267" s="69"/>
      <c r="AR267" s="69"/>
      <c r="AS267" s="69"/>
      <c r="AT267" s="69"/>
      <c r="AU267" s="59">
        <f t="shared" si="169"/>
        <v>0</v>
      </c>
      <c r="AV267" s="60">
        <f t="shared" si="170"/>
        <v>0</v>
      </c>
      <c r="AW267" s="58"/>
      <c r="AX267" s="58"/>
      <c r="AY267" s="58"/>
      <c r="AZ267" s="60">
        <f t="shared" si="160"/>
        <v>0</v>
      </c>
      <c r="BA267" s="58"/>
      <c r="BB267" s="58"/>
      <c r="BC267" s="58"/>
      <c r="BD267" s="60">
        <f>SUM(Tableau1[[#This Row],[ticket/carte/abonnement périmé]:[Autres ou non précisé 5]])</f>
        <v>0</v>
      </c>
      <c r="BE267" s="58"/>
      <c r="BF267" s="58"/>
      <c r="BG267" s="58"/>
      <c r="BH267" s="61">
        <f t="shared" si="171"/>
        <v>0</v>
      </c>
      <c r="BI267" s="120"/>
      <c r="BJ267" s="120"/>
      <c r="BK267" s="62">
        <f t="shared" si="172"/>
        <v>0</v>
      </c>
      <c r="BL267" s="120"/>
      <c r="BM267" s="120"/>
      <c r="BN267" s="120"/>
      <c r="BO267" s="120"/>
      <c r="BP267" s="120"/>
      <c r="BQ267" s="63"/>
      <c r="BR267" s="52">
        <f t="shared" si="173"/>
        <v>0</v>
      </c>
      <c r="BS267" s="52">
        <f t="shared" si="174"/>
        <v>0</v>
      </c>
      <c r="BT267" s="61">
        <f t="shared" si="175"/>
        <v>0</v>
      </c>
      <c r="BU267" s="64">
        <f t="shared" si="176"/>
        <v>0</v>
      </c>
      <c r="BV267" s="119">
        <f>SUM(Tableau1[[#This Row],[Achats confiserie]:[Achats boisson]])</f>
        <v>0</v>
      </c>
      <c r="BW267" s="58"/>
      <c r="BX267" s="69"/>
      <c r="BY267" s="58"/>
      <c r="BZ267" s="56">
        <f t="shared" si="177"/>
        <v>0</v>
      </c>
      <c r="CA267" s="66"/>
      <c r="CB267" s="66"/>
      <c r="CC267" s="56">
        <f t="shared" si="178"/>
        <v>0</v>
      </c>
      <c r="CD267" s="55"/>
      <c r="CE267" s="65"/>
      <c r="CF267" s="55"/>
      <c r="CG267" s="55"/>
      <c r="CH267" s="67">
        <f t="shared" si="179"/>
        <v>0</v>
      </c>
      <c r="CI267" s="68">
        <f t="shared" si="156"/>
        <v>0</v>
      </c>
      <c r="CJ267" s="55"/>
      <c r="CK267" s="55"/>
      <c r="CL267" s="55"/>
      <c r="CM267" s="55"/>
      <c r="CN267" s="55"/>
      <c r="CO267" s="68">
        <f t="shared" si="180"/>
        <v>0</v>
      </c>
      <c r="CP267" s="75">
        <f>SUM(Tableau1[[#This Row],[Fourniture eau]:[Energie (non précisé)]])</f>
        <v>0</v>
      </c>
      <c r="CQ267" s="55"/>
      <c r="CR267" s="55"/>
      <c r="CS267" s="55"/>
      <c r="CT267" s="55"/>
      <c r="CU267" s="55"/>
      <c r="CV267" s="55">
        <v>0</v>
      </c>
      <c r="CW267" s="55"/>
      <c r="CX267" s="68">
        <f>SUM(Tableau1[[#This Row],[Sous-traitance]:[Autres ou non précisé 12]])</f>
        <v>0</v>
      </c>
      <c r="CY267" s="65"/>
      <c r="CZ267" s="65"/>
      <c r="DA267" s="65"/>
      <c r="DB267" s="65"/>
      <c r="DC267" s="55"/>
      <c r="DD267" s="68">
        <f t="shared" si="161"/>
        <v>0</v>
      </c>
      <c r="DE267" s="55"/>
      <c r="DF267" s="65"/>
      <c r="DG267" s="65"/>
      <c r="DH267" s="65"/>
      <c r="DI267" s="68">
        <f>SUM(Tableau1[[#This Row],[Entretien et réparation matériel de projection]:[Autres ou non précisé 14]])</f>
        <v>0</v>
      </c>
      <c r="DJ267" s="58"/>
      <c r="DK267" s="58"/>
      <c r="DL267" s="69"/>
      <c r="DM267" s="68">
        <f t="shared" si="181"/>
        <v>0</v>
      </c>
      <c r="DN267" s="58"/>
      <c r="DO267" s="58"/>
      <c r="DP267" s="68">
        <f t="shared" si="182"/>
        <v>0</v>
      </c>
      <c r="DQ267" s="65"/>
      <c r="DR267" s="65"/>
      <c r="DS267" s="68">
        <f t="shared" si="183"/>
        <v>0</v>
      </c>
      <c r="DT267" s="65"/>
      <c r="DU267" s="65"/>
      <c r="DV267" s="65"/>
      <c r="DW267" s="68">
        <f>SUM(Tableau1[[#This Row],[Comission et courtage sur achats]:[Autres ou honoraires
 non précisé ]])</f>
        <v>0</v>
      </c>
      <c r="DX267" s="57"/>
      <c r="DY267" s="57"/>
      <c r="DZ267" s="65"/>
      <c r="EA267" s="65"/>
      <c r="EB267" s="65"/>
      <c r="EC267" s="68">
        <f t="shared" si="184"/>
        <v>0</v>
      </c>
      <c r="ED267" s="69"/>
      <c r="EE267" s="69"/>
      <c r="EF267" s="69"/>
      <c r="EG267" s="69"/>
      <c r="EH267" s="69"/>
      <c r="EI267" s="84">
        <f>SUM(Tableau1[[#This Row],[Transports sur films]:[autres ]])</f>
        <v>0</v>
      </c>
      <c r="EJ267" s="132">
        <v>0</v>
      </c>
      <c r="EK267" s="132"/>
      <c r="EL267" s="68">
        <f t="shared" si="185"/>
        <v>0</v>
      </c>
      <c r="EM267" s="65"/>
      <c r="EN267" s="65">
        <v>0</v>
      </c>
      <c r="EO267" s="65"/>
      <c r="EP267" s="65"/>
      <c r="EQ267" s="65"/>
      <c r="ER267" s="65"/>
      <c r="ES267" s="65"/>
      <c r="ET267" s="68">
        <f t="shared" si="186"/>
        <v>0</v>
      </c>
      <c r="EU267" s="65"/>
      <c r="EV267" s="65"/>
      <c r="EW267" s="65"/>
      <c r="EX267" s="65"/>
      <c r="EY267" s="65"/>
      <c r="EZ267" s="68">
        <f t="shared" si="163"/>
        <v>0</v>
      </c>
      <c r="FA267" s="65"/>
      <c r="FB267" s="65"/>
      <c r="FC267" s="70">
        <f t="shared" si="162"/>
        <v>0</v>
      </c>
      <c r="FD267" s="65"/>
      <c r="FE267" s="71">
        <f t="shared" si="187"/>
        <v>0</v>
      </c>
      <c r="FF267" s="72">
        <f t="shared" si="188"/>
        <v>0</v>
      </c>
      <c r="FG267" s="65"/>
      <c r="FH267" s="65"/>
      <c r="FI267" s="65"/>
      <c r="FJ267" s="56">
        <f t="shared" si="189"/>
        <v>0</v>
      </c>
      <c r="FK267" s="65"/>
      <c r="FL267" s="65"/>
      <c r="FM267" s="65"/>
      <c r="FN267" s="65"/>
      <c r="FO267" s="67">
        <f t="shared" si="190"/>
        <v>0</v>
      </c>
      <c r="FP267" s="57"/>
      <c r="FQ267" s="73"/>
      <c r="FR267" s="73"/>
      <c r="FS267" s="71">
        <f t="shared" si="191"/>
        <v>0</v>
      </c>
      <c r="FT267" s="91"/>
      <c r="FU267" s="91"/>
      <c r="FV267" s="67">
        <f>SUM(Tableau1[[#This Row],[Droits d''auteurs SACEM + cotisations SACEM]:[Autres ou non préciés]])</f>
        <v>0</v>
      </c>
      <c r="FW267" s="75">
        <f t="shared" si="192"/>
        <v>0</v>
      </c>
      <c r="FX267" s="74">
        <v>0</v>
      </c>
      <c r="FY267" s="74"/>
      <c r="FZ267" s="74"/>
      <c r="GA267" s="74"/>
      <c r="GB267" s="71">
        <f t="shared" si="193"/>
        <v>0</v>
      </c>
      <c r="GC267" s="92"/>
      <c r="GD267" s="92"/>
      <c r="GE267" s="67">
        <f t="shared" si="194"/>
        <v>0</v>
      </c>
      <c r="GF267" s="66"/>
      <c r="GG267" s="66"/>
      <c r="GH267" s="66"/>
      <c r="GI267" s="66"/>
      <c r="GJ267" s="77"/>
    </row>
    <row r="268" spans="1:192" ht="18.600000000000001" customHeight="1" x14ac:dyDescent="0.25">
      <c r="A268" s="89"/>
      <c r="B268" s="17"/>
      <c r="C268" s="50"/>
      <c r="D268" s="140"/>
      <c r="E268" s="51"/>
      <c r="F268" s="139">
        <f t="shared" si="159"/>
        <v>1</v>
      </c>
      <c r="G268" s="49"/>
      <c r="H268" s="50"/>
      <c r="I268" s="122"/>
      <c r="J268" s="49"/>
      <c r="K268" s="50"/>
      <c r="L268" s="50"/>
      <c r="M268" s="90"/>
      <c r="N268" s="50"/>
      <c r="O268" s="50"/>
      <c r="P268" s="90"/>
      <c r="Q268" s="52">
        <f t="shared" si="164"/>
        <v>0</v>
      </c>
      <c r="R268" s="52">
        <f t="shared" si="165"/>
        <v>0</v>
      </c>
      <c r="S268" s="53">
        <f t="shared" si="166"/>
        <v>0</v>
      </c>
      <c r="T268" s="54">
        <f t="shared" si="167"/>
        <v>0</v>
      </c>
      <c r="U268" s="115">
        <f>SUM(Tableau1[[#This Row],[Vente confiserie]:[Vente boisson]])</f>
        <v>0</v>
      </c>
      <c r="V268" s="55"/>
      <c r="W268" s="55"/>
      <c r="X268" s="135">
        <f>SUM(Tableau1[[#This Row],[Vente lunette]:[Location lunette]])</f>
        <v>0</v>
      </c>
      <c r="Y268" s="55"/>
      <c r="Z268" s="55"/>
      <c r="AA268" s="55"/>
      <c r="AB268" s="55"/>
      <c r="AC268" s="56">
        <f t="shared" si="157"/>
        <v>0</v>
      </c>
      <c r="AD268" s="57"/>
      <c r="AE268" s="57"/>
      <c r="AF268" s="57"/>
      <c r="AG268" s="57"/>
      <c r="AH268" s="57"/>
      <c r="AI268" s="57"/>
      <c r="AJ268" s="118">
        <f>(Tableau1[[#This Row],[Recette guichet ]]*1.1275177)-Tableau1[[#This Row],[Recette guichet ]]</f>
        <v>0</v>
      </c>
      <c r="AK268" s="57"/>
      <c r="AL268" s="56">
        <f t="shared" si="158"/>
        <v>0</v>
      </c>
      <c r="AM268" s="58"/>
      <c r="AN268" s="58"/>
      <c r="AO268" s="58"/>
      <c r="AP268" s="115">
        <f t="shared" si="168"/>
        <v>0</v>
      </c>
      <c r="AQ268" s="69"/>
      <c r="AR268" s="69"/>
      <c r="AS268" s="69"/>
      <c r="AT268" s="69"/>
      <c r="AU268" s="59">
        <f t="shared" si="169"/>
        <v>0</v>
      </c>
      <c r="AV268" s="60">
        <f t="shared" si="170"/>
        <v>0</v>
      </c>
      <c r="AW268" s="58"/>
      <c r="AX268" s="58"/>
      <c r="AY268" s="58"/>
      <c r="AZ268" s="60">
        <f t="shared" si="160"/>
        <v>0</v>
      </c>
      <c r="BA268" s="58"/>
      <c r="BB268" s="58"/>
      <c r="BC268" s="58"/>
      <c r="BD268" s="60">
        <f>SUM(Tableau1[[#This Row],[ticket/carte/abonnement périmé]:[Autres ou non précisé 5]])</f>
        <v>0</v>
      </c>
      <c r="BE268" s="58"/>
      <c r="BF268" s="58"/>
      <c r="BG268" s="58"/>
      <c r="BH268" s="61">
        <f t="shared" si="171"/>
        <v>0</v>
      </c>
      <c r="BI268" s="120"/>
      <c r="BJ268" s="120"/>
      <c r="BK268" s="62">
        <f t="shared" si="172"/>
        <v>0</v>
      </c>
      <c r="BL268" s="120"/>
      <c r="BM268" s="120"/>
      <c r="BN268" s="120"/>
      <c r="BO268" s="120"/>
      <c r="BP268" s="120"/>
      <c r="BQ268" s="63"/>
      <c r="BR268" s="52">
        <f t="shared" si="173"/>
        <v>0</v>
      </c>
      <c r="BS268" s="52">
        <f t="shared" si="174"/>
        <v>0</v>
      </c>
      <c r="BT268" s="61">
        <f t="shared" si="175"/>
        <v>0</v>
      </c>
      <c r="BU268" s="64">
        <f t="shared" si="176"/>
        <v>0</v>
      </c>
      <c r="BV268" s="119">
        <f>SUM(Tableau1[[#This Row],[Achats confiserie]:[Achats boisson]])</f>
        <v>0</v>
      </c>
      <c r="BW268" s="58"/>
      <c r="BX268" s="69"/>
      <c r="BY268" s="58"/>
      <c r="BZ268" s="56">
        <f t="shared" si="177"/>
        <v>0</v>
      </c>
      <c r="CA268" s="66"/>
      <c r="CB268" s="66"/>
      <c r="CC268" s="56">
        <f t="shared" si="178"/>
        <v>0</v>
      </c>
      <c r="CD268" s="55"/>
      <c r="CE268" s="65"/>
      <c r="CF268" s="55"/>
      <c r="CG268" s="55"/>
      <c r="CH268" s="67">
        <f t="shared" si="179"/>
        <v>0</v>
      </c>
      <c r="CI268" s="68">
        <f t="shared" si="156"/>
        <v>0</v>
      </c>
      <c r="CJ268" s="55"/>
      <c r="CK268" s="55"/>
      <c r="CL268" s="55"/>
      <c r="CM268" s="55"/>
      <c r="CN268" s="55"/>
      <c r="CO268" s="68">
        <f t="shared" si="180"/>
        <v>0</v>
      </c>
      <c r="CP268" s="75">
        <f>SUM(Tableau1[[#This Row],[Fourniture eau]:[Energie (non précisé)]])</f>
        <v>0</v>
      </c>
      <c r="CQ268" s="55"/>
      <c r="CR268" s="55"/>
      <c r="CS268" s="55"/>
      <c r="CT268" s="55"/>
      <c r="CU268" s="55"/>
      <c r="CV268" s="55">
        <v>0</v>
      </c>
      <c r="CW268" s="55"/>
      <c r="CX268" s="68">
        <f>SUM(Tableau1[[#This Row],[Sous-traitance]:[Autres ou non précisé 12]])</f>
        <v>0</v>
      </c>
      <c r="CY268" s="65"/>
      <c r="CZ268" s="65"/>
      <c r="DA268" s="65"/>
      <c r="DB268" s="65"/>
      <c r="DC268" s="55"/>
      <c r="DD268" s="68">
        <f t="shared" si="161"/>
        <v>0</v>
      </c>
      <c r="DE268" s="55"/>
      <c r="DF268" s="65"/>
      <c r="DG268" s="65"/>
      <c r="DH268" s="65"/>
      <c r="DI268" s="68">
        <f>SUM(Tableau1[[#This Row],[Entretien et réparation matériel de projection]:[Autres ou non précisé 14]])</f>
        <v>0</v>
      </c>
      <c r="DJ268" s="58"/>
      <c r="DK268" s="58"/>
      <c r="DL268" s="69"/>
      <c r="DM268" s="68">
        <f t="shared" si="181"/>
        <v>0</v>
      </c>
      <c r="DN268" s="58"/>
      <c r="DO268" s="58"/>
      <c r="DP268" s="68">
        <f t="shared" si="182"/>
        <v>0</v>
      </c>
      <c r="DQ268" s="65"/>
      <c r="DR268" s="65"/>
      <c r="DS268" s="68">
        <f t="shared" si="183"/>
        <v>0</v>
      </c>
      <c r="DT268" s="65"/>
      <c r="DU268" s="65"/>
      <c r="DV268" s="65"/>
      <c r="DW268" s="68">
        <f>SUM(Tableau1[[#This Row],[Comission et courtage sur achats]:[Autres ou honoraires
 non précisé ]])</f>
        <v>0</v>
      </c>
      <c r="DX268" s="57"/>
      <c r="DY268" s="57"/>
      <c r="DZ268" s="65"/>
      <c r="EA268" s="65"/>
      <c r="EB268" s="65"/>
      <c r="EC268" s="68">
        <f t="shared" si="184"/>
        <v>0</v>
      </c>
      <c r="ED268" s="69"/>
      <c r="EE268" s="69"/>
      <c r="EF268" s="69"/>
      <c r="EG268" s="69"/>
      <c r="EH268" s="69"/>
      <c r="EI268" s="84">
        <f>SUM(Tableau1[[#This Row],[Transports sur films]:[autres ]])</f>
        <v>0</v>
      </c>
      <c r="EJ268" s="132">
        <v>0</v>
      </c>
      <c r="EK268" s="132"/>
      <c r="EL268" s="68">
        <f t="shared" si="185"/>
        <v>0</v>
      </c>
      <c r="EM268" s="65"/>
      <c r="EN268" s="65">
        <v>0</v>
      </c>
      <c r="EO268" s="65"/>
      <c r="EP268" s="65"/>
      <c r="EQ268" s="65"/>
      <c r="ER268" s="65"/>
      <c r="ES268" s="65"/>
      <c r="ET268" s="68">
        <f t="shared" si="186"/>
        <v>0</v>
      </c>
      <c r="EU268" s="65"/>
      <c r="EV268" s="65"/>
      <c r="EW268" s="65"/>
      <c r="EX268" s="65"/>
      <c r="EY268" s="65"/>
      <c r="EZ268" s="68">
        <f t="shared" si="163"/>
        <v>0</v>
      </c>
      <c r="FA268" s="65"/>
      <c r="FB268" s="65"/>
      <c r="FC268" s="70">
        <f t="shared" si="162"/>
        <v>0</v>
      </c>
      <c r="FD268" s="65"/>
      <c r="FE268" s="71">
        <f t="shared" si="187"/>
        <v>0</v>
      </c>
      <c r="FF268" s="72">
        <f t="shared" si="188"/>
        <v>0</v>
      </c>
      <c r="FG268" s="65"/>
      <c r="FH268" s="65"/>
      <c r="FI268" s="65"/>
      <c r="FJ268" s="56">
        <f t="shared" si="189"/>
        <v>0</v>
      </c>
      <c r="FK268" s="65"/>
      <c r="FL268" s="65"/>
      <c r="FM268" s="65"/>
      <c r="FN268" s="65"/>
      <c r="FO268" s="67">
        <f t="shared" si="190"/>
        <v>0</v>
      </c>
      <c r="FP268" s="57"/>
      <c r="FQ268" s="73"/>
      <c r="FR268" s="73"/>
      <c r="FS268" s="71">
        <f t="shared" si="191"/>
        <v>0</v>
      </c>
      <c r="FT268" s="91"/>
      <c r="FU268" s="91"/>
      <c r="FV268" s="67">
        <f>SUM(Tableau1[[#This Row],[Droits d''auteurs SACEM + cotisations SACEM]:[Autres ou non préciés]])</f>
        <v>0</v>
      </c>
      <c r="FW268" s="75">
        <f t="shared" si="192"/>
        <v>0</v>
      </c>
      <c r="FX268" s="74">
        <v>0</v>
      </c>
      <c r="FY268" s="74"/>
      <c r="FZ268" s="74"/>
      <c r="GA268" s="74"/>
      <c r="GB268" s="71">
        <f t="shared" si="193"/>
        <v>0</v>
      </c>
      <c r="GC268" s="92"/>
      <c r="GD268" s="92"/>
      <c r="GE268" s="67">
        <f t="shared" si="194"/>
        <v>0</v>
      </c>
      <c r="GF268" s="66"/>
      <c r="GG268" s="66"/>
      <c r="GH268" s="66"/>
      <c r="GI268" s="66"/>
      <c r="GJ268" s="77"/>
    </row>
    <row r="269" spans="1:192" ht="18.600000000000001" customHeight="1" x14ac:dyDescent="0.25">
      <c r="A269" s="89"/>
      <c r="B269" s="17"/>
      <c r="C269" s="50"/>
      <c r="D269" s="140"/>
      <c r="E269" s="51"/>
      <c r="F269" s="139">
        <f t="shared" si="159"/>
        <v>1</v>
      </c>
      <c r="G269" s="49"/>
      <c r="H269" s="50"/>
      <c r="I269" s="122"/>
      <c r="J269" s="49"/>
      <c r="K269" s="50"/>
      <c r="L269" s="50"/>
      <c r="M269" s="90"/>
      <c r="N269" s="50"/>
      <c r="O269" s="50"/>
      <c r="P269" s="90"/>
      <c r="Q269" s="52">
        <f t="shared" si="164"/>
        <v>0</v>
      </c>
      <c r="R269" s="52">
        <f t="shared" si="165"/>
        <v>0</v>
      </c>
      <c r="S269" s="53">
        <f t="shared" si="166"/>
        <v>0</v>
      </c>
      <c r="T269" s="54">
        <f t="shared" si="167"/>
        <v>0</v>
      </c>
      <c r="U269" s="115">
        <f>SUM(Tableau1[[#This Row],[Vente confiserie]:[Vente boisson]])</f>
        <v>0</v>
      </c>
      <c r="V269" s="55"/>
      <c r="W269" s="55"/>
      <c r="X269" s="135">
        <f>SUM(Tableau1[[#This Row],[Vente lunette]:[Location lunette]])</f>
        <v>0</v>
      </c>
      <c r="Y269" s="55"/>
      <c r="Z269" s="55"/>
      <c r="AA269" s="55"/>
      <c r="AB269" s="55"/>
      <c r="AC269" s="56">
        <f t="shared" si="157"/>
        <v>0</v>
      </c>
      <c r="AD269" s="57"/>
      <c r="AE269" s="57"/>
      <c r="AF269" s="57"/>
      <c r="AG269" s="57"/>
      <c r="AH269" s="57"/>
      <c r="AI269" s="57"/>
      <c r="AJ269" s="118">
        <f>(Tableau1[[#This Row],[Recette guichet ]]*1.1275177)-Tableau1[[#This Row],[Recette guichet ]]</f>
        <v>0</v>
      </c>
      <c r="AK269" s="57"/>
      <c r="AL269" s="56">
        <f t="shared" si="158"/>
        <v>0</v>
      </c>
      <c r="AM269" s="58"/>
      <c r="AN269" s="58"/>
      <c r="AO269" s="58"/>
      <c r="AP269" s="115">
        <f t="shared" si="168"/>
        <v>0</v>
      </c>
      <c r="AQ269" s="69"/>
      <c r="AR269" s="69"/>
      <c r="AS269" s="69"/>
      <c r="AT269" s="69"/>
      <c r="AU269" s="59">
        <f t="shared" si="169"/>
        <v>0</v>
      </c>
      <c r="AV269" s="60">
        <f t="shared" si="170"/>
        <v>0</v>
      </c>
      <c r="AW269" s="58"/>
      <c r="AX269" s="58"/>
      <c r="AY269" s="58"/>
      <c r="AZ269" s="60">
        <f t="shared" si="160"/>
        <v>0</v>
      </c>
      <c r="BA269" s="58"/>
      <c r="BB269" s="58"/>
      <c r="BC269" s="58"/>
      <c r="BD269" s="60">
        <f>SUM(Tableau1[[#This Row],[ticket/carte/abonnement périmé]:[Autres ou non précisé 5]])</f>
        <v>0</v>
      </c>
      <c r="BE269" s="58"/>
      <c r="BF269" s="58"/>
      <c r="BG269" s="58"/>
      <c r="BH269" s="61">
        <f t="shared" si="171"/>
        <v>0</v>
      </c>
      <c r="BI269" s="120"/>
      <c r="BJ269" s="120"/>
      <c r="BK269" s="62">
        <f t="shared" si="172"/>
        <v>0</v>
      </c>
      <c r="BL269" s="120"/>
      <c r="BM269" s="120"/>
      <c r="BN269" s="120"/>
      <c r="BO269" s="120"/>
      <c r="BP269" s="120"/>
      <c r="BQ269" s="63"/>
      <c r="BR269" s="52">
        <f t="shared" si="173"/>
        <v>0</v>
      </c>
      <c r="BS269" s="52">
        <f t="shared" si="174"/>
        <v>0</v>
      </c>
      <c r="BT269" s="61">
        <f t="shared" si="175"/>
        <v>0</v>
      </c>
      <c r="BU269" s="64">
        <f t="shared" si="176"/>
        <v>0</v>
      </c>
      <c r="BV269" s="119">
        <f>SUM(Tableau1[[#This Row],[Achats confiserie]:[Achats boisson]])</f>
        <v>0</v>
      </c>
      <c r="BW269" s="58"/>
      <c r="BX269" s="69"/>
      <c r="BY269" s="58"/>
      <c r="BZ269" s="56">
        <f t="shared" si="177"/>
        <v>0</v>
      </c>
      <c r="CA269" s="66"/>
      <c r="CB269" s="66"/>
      <c r="CC269" s="56">
        <f t="shared" si="178"/>
        <v>0</v>
      </c>
      <c r="CD269" s="55"/>
      <c r="CE269" s="65"/>
      <c r="CF269" s="55"/>
      <c r="CG269" s="55"/>
      <c r="CH269" s="67">
        <f t="shared" si="179"/>
        <v>0</v>
      </c>
      <c r="CI269" s="68">
        <f t="shared" si="156"/>
        <v>0</v>
      </c>
      <c r="CJ269" s="55"/>
      <c r="CK269" s="55"/>
      <c r="CL269" s="55"/>
      <c r="CM269" s="55"/>
      <c r="CN269" s="55"/>
      <c r="CO269" s="68">
        <f t="shared" si="180"/>
        <v>0</v>
      </c>
      <c r="CP269" s="75">
        <f>SUM(Tableau1[[#This Row],[Fourniture eau]:[Energie (non précisé)]])</f>
        <v>0</v>
      </c>
      <c r="CQ269" s="55"/>
      <c r="CR269" s="55"/>
      <c r="CS269" s="55"/>
      <c r="CT269" s="55"/>
      <c r="CU269" s="55"/>
      <c r="CV269" s="55">
        <v>0</v>
      </c>
      <c r="CW269" s="55"/>
      <c r="CX269" s="68">
        <f>SUM(Tableau1[[#This Row],[Sous-traitance]:[Autres ou non précisé 12]])</f>
        <v>0</v>
      </c>
      <c r="CY269" s="65"/>
      <c r="CZ269" s="65"/>
      <c r="DA269" s="65"/>
      <c r="DB269" s="65"/>
      <c r="DC269" s="55"/>
      <c r="DD269" s="68">
        <f t="shared" si="161"/>
        <v>0</v>
      </c>
      <c r="DE269" s="55"/>
      <c r="DF269" s="65"/>
      <c r="DG269" s="65"/>
      <c r="DH269" s="65"/>
      <c r="DI269" s="68">
        <f>SUM(Tableau1[[#This Row],[Entretien et réparation matériel de projection]:[Autres ou non précisé 14]])</f>
        <v>0</v>
      </c>
      <c r="DJ269" s="58"/>
      <c r="DK269" s="58"/>
      <c r="DL269" s="69"/>
      <c r="DM269" s="68">
        <f t="shared" si="181"/>
        <v>0</v>
      </c>
      <c r="DN269" s="58"/>
      <c r="DO269" s="58"/>
      <c r="DP269" s="68">
        <f t="shared" si="182"/>
        <v>0</v>
      </c>
      <c r="DQ269" s="65"/>
      <c r="DR269" s="65"/>
      <c r="DS269" s="68">
        <f t="shared" si="183"/>
        <v>0</v>
      </c>
      <c r="DT269" s="65"/>
      <c r="DU269" s="65"/>
      <c r="DV269" s="65"/>
      <c r="DW269" s="68">
        <f>SUM(Tableau1[[#This Row],[Comission et courtage sur achats]:[Autres ou honoraires
 non précisé ]])</f>
        <v>0</v>
      </c>
      <c r="DX269" s="57"/>
      <c r="DY269" s="57"/>
      <c r="DZ269" s="65"/>
      <c r="EA269" s="65"/>
      <c r="EB269" s="65"/>
      <c r="EC269" s="68">
        <f t="shared" si="184"/>
        <v>0</v>
      </c>
      <c r="ED269" s="69"/>
      <c r="EE269" s="69"/>
      <c r="EF269" s="69"/>
      <c r="EG269" s="69"/>
      <c r="EH269" s="69"/>
      <c r="EI269" s="84">
        <f>SUM(Tableau1[[#This Row],[Transports sur films]:[autres ]])</f>
        <v>0</v>
      </c>
      <c r="EJ269" s="132">
        <v>0</v>
      </c>
      <c r="EK269" s="132"/>
      <c r="EL269" s="68">
        <f t="shared" si="185"/>
        <v>0</v>
      </c>
      <c r="EM269" s="65"/>
      <c r="EN269" s="65">
        <v>0</v>
      </c>
      <c r="EO269" s="65"/>
      <c r="EP269" s="65"/>
      <c r="EQ269" s="65"/>
      <c r="ER269" s="65"/>
      <c r="ES269" s="65"/>
      <c r="ET269" s="68">
        <f t="shared" si="186"/>
        <v>0</v>
      </c>
      <c r="EU269" s="65"/>
      <c r="EV269" s="65"/>
      <c r="EW269" s="65"/>
      <c r="EX269" s="65"/>
      <c r="EY269" s="65"/>
      <c r="EZ269" s="68">
        <f t="shared" si="163"/>
        <v>0</v>
      </c>
      <c r="FA269" s="65"/>
      <c r="FB269" s="65"/>
      <c r="FC269" s="70">
        <f t="shared" si="162"/>
        <v>0</v>
      </c>
      <c r="FD269" s="65"/>
      <c r="FE269" s="71">
        <f t="shared" si="187"/>
        <v>0</v>
      </c>
      <c r="FF269" s="72">
        <f t="shared" si="188"/>
        <v>0</v>
      </c>
      <c r="FG269" s="65"/>
      <c r="FH269" s="65"/>
      <c r="FI269" s="65"/>
      <c r="FJ269" s="56">
        <f t="shared" si="189"/>
        <v>0</v>
      </c>
      <c r="FK269" s="65"/>
      <c r="FL269" s="65"/>
      <c r="FM269" s="65"/>
      <c r="FN269" s="65"/>
      <c r="FO269" s="67">
        <f t="shared" si="190"/>
        <v>0</v>
      </c>
      <c r="FP269" s="57"/>
      <c r="FQ269" s="73"/>
      <c r="FR269" s="73"/>
      <c r="FS269" s="71">
        <f t="shared" si="191"/>
        <v>0</v>
      </c>
      <c r="FT269" s="91"/>
      <c r="FU269" s="91"/>
      <c r="FV269" s="67">
        <f>SUM(Tableau1[[#This Row],[Droits d''auteurs SACEM + cotisations SACEM]:[Autres ou non préciés]])</f>
        <v>0</v>
      </c>
      <c r="FW269" s="75">
        <f t="shared" si="192"/>
        <v>0</v>
      </c>
      <c r="FX269" s="74">
        <v>0</v>
      </c>
      <c r="FY269" s="74"/>
      <c r="FZ269" s="74"/>
      <c r="GA269" s="74"/>
      <c r="GB269" s="71">
        <f t="shared" si="193"/>
        <v>0</v>
      </c>
      <c r="GC269" s="92"/>
      <c r="GD269" s="92"/>
      <c r="GE269" s="67">
        <f t="shared" si="194"/>
        <v>0</v>
      </c>
      <c r="GF269" s="66"/>
      <c r="GG269" s="66"/>
      <c r="GH269" s="66"/>
      <c r="GI269" s="66"/>
      <c r="GJ269" s="77"/>
    </row>
    <row r="270" spans="1:192" ht="18.600000000000001" customHeight="1" x14ac:dyDescent="0.25">
      <c r="A270" s="89"/>
      <c r="B270" s="17"/>
      <c r="C270" s="50"/>
      <c r="D270" s="140"/>
      <c r="E270" s="51"/>
      <c r="F270" s="139">
        <f t="shared" si="159"/>
        <v>1</v>
      </c>
      <c r="G270" s="49"/>
      <c r="H270" s="50"/>
      <c r="I270" s="122"/>
      <c r="J270" s="49"/>
      <c r="K270" s="50"/>
      <c r="L270" s="50"/>
      <c r="M270" s="90"/>
      <c r="N270" s="50"/>
      <c r="O270" s="50"/>
      <c r="P270" s="90"/>
      <c r="Q270" s="52">
        <f t="shared" si="164"/>
        <v>0</v>
      </c>
      <c r="R270" s="52">
        <f t="shared" si="165"/>
        <v>0</v>
      </c>
      <c r="S270" s="53">
        <f t="shared" si="166"/>
        <v>0</v>
      </c>
      <c r="T270" s="54">
        <f t="shared" si="167"/>
        <v>0</v>
      </c>
      <c r="U270" s="115">
        <f>SUM(Tableau1[[#This Row],[Vente confiserie]:[Vente boisson]])</f>
        <v>0</v>
      </c>
      <c r="V270" s="55"/>
      <c r="W270" s="55"/>
      <c r="X270" s="135">
        <f>SUM(Tableau1[[#This Row],[Vente lunette]:[Location lunette]])</f>
        <v>0</v>
      </c>
      <c r="Y270" s="55"/>
      <c r="Z270" s="55"/>
      <c r="AA270" s="55"/>
      <c r="AB270" s="55"/>
      <c r="AC270" s="56">
        <f t="shared" si="157"/>
        <v>0</v>
      </c>
      <c r="AD270" s="57"/>
      <c r="AE270" s="57"/>
      <c r="AF270" s="57"/>
      <c r="AG270" s="57"/>
      <c r="AH270" s="57"/>
      <c r="AI270" s="57"/>
      <c r="AJ270" s="118">
        <f>(Tableau1[[#This Row],[Recette guichet ]]*1.1275177)-Tableau1[[#This Row],[Recette guichet ]]</f>
        <v>0</v>
      </c>
      <c r="AK270" s="57"/>
      <c r="AL270" s="56">
        <f t="shared" si="158"/>
        <v>0</v>
      </c>
      <c r="AM270" s="58"/>
      <c r="AN270" s="58"/>
      <c r="AO270" s="58"/>
      <c r="AP270" s="115">
        <f t="shared" si="168"/>
        <v>0</v>
      </c>
      <c r="AQ270" s="69"/>
      <c r="AR270" s="69"/>
      <c r="AS270" s="69"/>
      <c r="AT270" s="69"/>
      <c r="AU270" s="59">
        <f t="shared" si="169"/>
        <v>0</v>
      </c>
      <c r="AV270" s="60">
        <f t="shared" si="170"/>
        <v>0</v>
      </c>
      <c r="AW270" s="58"/>
      <c r="AX270" s="58"/>
      <c r="AY270" s="58"/>
      <c r="AZ270" s="60">
        <f t="shared" si="160"/>
        <v>0</v>
      </c>
      <c r="BA270" s="58"/>
      <c r="BB270" s="58"/>
      <c r="BC270" s="58"/>
      <c r="BD270" s="60">
        <f>SUM(Tableau1[[#This Row],[ticket/carte/abonnement périmé]:[Autres ou non précisé 5]])</f>
        <v>0</v>
      </c>
      <c r="BE270" s="58"/>
      <c r="BF270" s="58"/>
      <c r="BG270" s="58"/>
      <c r="BH270" s="61">
        <f t="shared" si="171"/>
        <v>0</v>
      </c>
      <c r="BI270" s="120"/>
      <c r="BJ270" s="120"/>
      <c r="BK270" s="62">
        <f t="shared" si="172"/>
        <v>0</v>
      </c>
      <c r="BL270" s="120"/>
      <c r="BM270" s="120"/>
      <c r="BN270" s="120"/>
      <c r="BO270" s="120"/>
      <c r="BP270" s="120"/>
      <c r="BQ270" s="63"/>
      <c r="BR270" s="52">
        <f t="shared" si="173"/>
        <v>0</v>
      </c>
      <c r="BS270" s="52">
        <f t="shared" si="174"/>
        <v>0</v>
      </c>
      <c r="BT270" s="61">
        <f t="shared" si="175"/>
        <v>0</v>
      </c>
      <c r="BU270" s="64">
        <f t="shared" si="176"/>
        <v>0</v>
      </c>
      <c r="BV270" s="119">
        <f>SUM(Tableau1[[#This Row],[Achats confiserie]:[Achats boisson]])</f>
        <v>0</v>
      </c>
      <c r="BW270" s="58"/>
      <c r="BX270" s="69"/>
      <c r="BY270" s="58"/>
      <c r="BZ270" s="56">
        <f t="shared" si="177"/>
        <v>0</v>
      </c>
      <c r="CA270" s="66"/>
      <c r="CB270" s="66"/>
      <c r="CC270" s="56">
        <f t="shared" si="178"/>
        <v>0</v>
      </c>
      <c r="CD270" s="55"/>
      <c r="CE270" s="65"/>
      <c r="CF270" s="55"/>
      <c r="CG270" s="55"/>
      <c r="CH270" s="67">
        <f t="shared" si="179"/>
        <v>0</v>
      </c>
      <c r="CI270" s="68">
        <f t="shared" si="156"/>
        <v>0</v>
      </c>
      <c r="CJ270" s="55"/>
      <c r="CK270" s="55"/>
      <c r="CL270" s="55"/>
      <c r="CM270" s="55"/>
      <c r="CN270" s="55"/>
      <c r="CO270" s="68">
        <f t="shared" si="180"/>
        <v>0</v>
      </c>
      <c r="CP270" s="75">
        <f>SUM(Tableau1[[#This Row],[Fourniture eau]:[Energie (non précisé)]])</f>
        <v>0</v>
      </c>
      <c r="CQ270" s="55"/>
      <c r="CR270" s="55"/>
      <c r="CS270" s="55"/>
      <c r="CT270" s="55"/>
      <c r="CU270" s="55"/>
      <c r="CV270" s="55">
        <v>0</v>
      </c>
      <c r="CW270" s="55"/>
      <c r="CX270" s="68">
        <f>SUM(Tableau1[[#This Row],[Sous-traitance]:[Autres ou non précisé 12]])</f>
        <v>0</v>
      </c>
      <c r="CY270" s="65"/>
      <c r="CZ270" s="65"/>
      <c r="DA270" s="65"/>
      <c r="DB270" s="65"/>
      <c r="DC270" s="55"/>
      <c r="DD270" s="68">
        <f t="shared" si="161"/>
        <v>0</v>
      </c>
      <c r="DE270" s="55"/>
      <c r="DF270" s="65"/>
      <c r="DG270" s="65"/>
      <c r="DH270" s="65"/>
      <c r="DI270" s="68">
        <f>SUM(Tableau1[[#This Row],[Entretien et réparation matériel de projection]:[Autres ou non précisé 14]])</f>
        <v>0</v>
      </c>
      <c r="DJ270" s="58"/>
      <c r="DK270" s="58"/>
      <c r="DL270" s="69"/>
      <c r="DM270" s="68">
        <f t="shared" si="181"/>
        <v>0</v>
      </c>
      <c r="DN270" s="58"/>
      <c r="DO270" s="58"/>
      <c r="DP270" s="68">
        <f t="shared" si="182"/>
        <v>0</v>
      </c>
      <c r="DQ270" s="65"/>
      <c r="DR270" s="65"/>
      <c r="DS270" s="68">
        <f t="shared" si="183"/>
        <v>0</v>
      </c>
      <c r="DT270" s="65"/>
      <c r="DU270" s="65"/>
      <c r="DV270" s="65"/>
      <c r="DW270" s="68">
        <f>SUM(Tableau1[[#This Row],[Comission et courtage sur achats]:[Autres ou honoraires
 non précisé ]])</f>
        <v>0</v>
      </c>
      <c r="DX270" s="57"/>
      <c r="DY270" s="57"/>
      <c r="DZ270" s="65"/>
      <c r="EA270" s="65"/>
      <c r="EB270" s="65"/>
      <c r="EC270" s="68">
        <f t="shared" si="184"/>
        <v>0</v>
      </c>
      <c r="ED270" s="69"/>
      <c r="EE270" s="69"/>
      <c r="EF270" s="69"/>
      <c r="EG270" s="69"/>
      <c r="EH270" s="69"/>
      <c r="EI270" s="84">
        <f>SUM(Tableau1[[#This Row],[Transports sur films]:[autres ]])</f>
        <v>0</v>
      </c>
      <c r="EJ270" s="132">
        <v>0</v>
      </c>
      <c r="EK270" s="132"/>
      <c r="EL270" s="68">
        <f t="shared" si="185"/>
        <v>0</v>
      </c>
      <c r="EM270" s="65"/>
      <c r="EN270" s="65">
        <v>0</v>
      </c>
      <c r="EO270" s="65"/>
      <c r="EP270" s="65"/>
      <c r="EQ270" s="65"/>
      <c r="ER270" s="65"/>
      <c r="ES270" s="65"/>
      <c r="ET270" s="68">
        <f t="shared" si="186"/>
        <v>0</v>
      </c>
      <c r="EU270" s="65"/>
      <c r="EV270" s="65"/>
      <c r="EW270" s="65"/>
      <c r="EX270" s="65"/>
      <c r="EY270" s="65"/>
      <c r="EZ270" s="68">
        <f t="shared" si="163"/>
        <v>0</v>
      </c>
      <c r="FA270" s="65"/>
      <c r="FB270" s="65"/>
      <c r="FC270" s="70">
        <f t="shared" si="162"/>
        <v>0</v>
      </c>
      <c r="FD270" s="65"/>
      <c r="FE270" s="71">
        <f t="shared" si="187"/>
        <v>0</v>
      </c>
      <c r="FF270" s="72">
        <f t="shared" si="188"/>
        <v>0</v>
      </c>
      <c r="FG270" s="65"/>
      <c r="FH270" s="65"/>
      <c r="FI270" s="65"/>
      <c r="FJ270" s="56">
        <f t="shared" si="189"/>
        <v>0</v>
      </c>
      <c r="FK270" s="65"/>
      <c r="FL270" s="65"/>
      <c r="FM270" s="65"/>
      <c r="FN270" s="65"/>
      <c r="FO270" s="67">
        <f t="shared" si="190"/>
        <v>0</v>
      </c>
      <c r="FP270" s="57"/>
      <c r="FQ270" s="73"/>
      <c r="FR270" s="73"/>
      <c r="FS270" s="71">
        <f t="shared" si="191"/>
        <v>0</v>
      </c>
      <c r="FT270" s="91"/>
      <c r="FU270" s="91"/>
      <c r="FV270" s="67">
        <f>SUM(Tableau1[[#This Row],[Droits d''auteurs SACEM + cotisations SACEM]:[Autres ou non préciés]])</f>
        <v>0</v>
      </c>
      <c r="FW270" s="75">
        <f t="shared" si="192"/>
        <v>0</v>
      </c>
      <c r="FX270" s="74">
        <v>0</v>
      </c>
      <c r="FY270" s="74"/>
      <c r="FZ270" s="74"/>
      <c r="GA270" s="74"/>
      <c r="GB270" s="71">
        <f t="shared" si="193"/>
        <v>0</v>
      </c>
      <c r="GC270" s="92"/>
      <c r="GD270" s="92"/>
      <c r="GE270" s="67">
        <f t="shared" si="194"/>
        <v>0</v>
      </c>
      <c r="GF270" s="66"/>
      <c r="GG270" s="66"/>
      <c r="GH270" s="66"/>
      <c r="GI270" s="66"/>
      <c r="GJ270" s="77"/>
    </row>
    <row r="271" spans="1:192" ht="18.600000000000001" customHeight="1" x14ac:dyDescent="0.25">
      <c r="A271" s="89"/>
      <c r="B271" s="17"/>
      <c r="C271" s="50"/>
      <c r="D271" s="140"/>
      <c r="E271" s="51"/>
      <c r="F271" s="139">
        <f t="shared" si="159"/>
        <v>1</v>
      </c>
      <c r="G271" s="49"/>
      <c r="H271" s="50"/>
      <c r="I271" s="122"/>
      <c r="J271" s="49"/>
      <c r="K271" s="50"/>
      <c r="L271" s="50"/>
      <c r="M271" s="90"/>
      <c r="N271" s="50"/>
      <c r="O271" s="50"/>
      <c r="P271" s="90"/>
      <c r="Q271" s="52">
        <f t="shared" si="164"/>
        <v>0</v>
      </c>
      <c r="R271" s="52">
        <f t="shared" si="165"/>
        <v>0</v>
      </c>
      <c r="S271" s="53">
        <f t="shared" si="166"/>
        <v>0</v>
      </c>
      <c r="T271" s="54">
        <f t="shared" si="167"/>
        <v>0</v>
      </c>
      <c r="U271" s="115">
        <f>SUM(Tableau1[[#This Row],[Vente confiserie]:[Vente boisson]])</f>
        <v>0</v>
      </c>
      <c r="V271" s="55"/>
      <c r="W271" s="55"/>
      <c r="X271" s="135">
        <f>SUM(Tableau1[[#This Row],[Vente lunette]:[Location lunette]])</f>
        <v>0</v>
      </c>
      <c r="Y271" s="55"/>
      <c r="Z271" s="55"/>
      <c r="AA271" s="55"/>
      <c r="AB271" s="55"/>
      <c r="AC271" s="56">
        <f t="shared" si="157"/>
        <v>0</v>
      </c>
      <c r="AD271" s="57"/>
      <c r="AE271" s="57"/>
      <c r="AF271" s="57"/>
      <c r="AG271" s="57"/>
      <c r="AH271" s="57"/>
      <c r="AI271" s="57"/>
      <c r="AJ271" s="118">
        <f>(Tableau1[[#This Row],[Recette guichet ]]*1.1275177)-Tableau1[[#This Row],[Recette guichet ]]</f>
        <v>0</v>
      </c>
      <c r="AK271" s="57"/>
      <c r="AL271" s="56">
        <f t="shared" si="158"/>
        <v>0</v>
      </c>
      <c r="AM271" s="58"/>
      <c r="AN271" s="58"/>
      <c r="AO271" s="58"/>
      <c r="AP271" s="115">
        <f t="shared" si="168"/>
        <v>0</v>
      </c>
      <c r="AQ271" s="69"/>
      <c r="AR271" s="69"/>
      <c r="AS271" s="69"/>
      <c r="AT271" s="69"/>
      <c r="AU271" s="59">
        <f t="shared" si="169"/>
        <v>0</v>
      </c>
      <c r="AV271" s="60">
        <f t="shared" si="170"/>
        <v>0</v>
      </c>
      <c r="AW271" s="58"/>
      <c r="AX271" s="58"/>
      <c r="AY271" s="58"/>
      <c r="AZ271" s="60">
        <f t="shared" si="160"/>
        <v>0</v>
      </c>
      <c r="BA271" s="58"/>
      <c r="BB271" s="58"/>
      <c r="BC271" s="58"/>
      <c r="BD271" s="60">
        <f>SUM(Tableau1[[#This Row],[ticket/carte/abonnement périmé]:[Autres ou non précisé 5]])</f>
        <v>0</v>
      </c>
      <c r="BE271" s="58"/>
      <c r="BF271" s="58"/>
      <c r="BG271" s="58"/>
      <c r="BH271" s="61">
        <f t="shared" si="171"/>
        <v>0</v>
      </c>
      <c r="BI271" s="120"/>
      <c r="BJ271" s="120"/>
      <c r="BK271" s="62">
        <f t="shared" si="172"/>
        <v>0</v>
      </c>
      <c r="BL271" s="120"/>
      <c r="BM271" s="120"/>
      <c r="BN271" s="120"/>
      <c r="BO271" s="120"/>
      <c r="BP271" s="120"/>
      <c r="BQ271" s="63"/>
      <c r="BR271" s="52">
        <f t="shared" si="173"/>
        <v>0</v>
      </c>
      <c r="BS271" s="52">
        <f t="shared" si="174"/>
        <v>0</v>
      </c>
      <c r="BT271" s="61">
        <f t="shared" si="175"/>
        <v>0</v>
      </c>
      <c r="BU271" s="64">
        <f t="shared" si="176"/>
        <v>0</v>
      </c>
      <c r="BV271" s="119">
        <f>SUM(Tableau1[[#This Row],[Achats confiserie]:[Achats boisson]])</f>
        <v>0</v>
      </c>
      <c r="BW271" s="58"/>
      <c r="BX271" s="69"/>
      <c r="BY271" s="58"/>
      <c r="BZ271" s="56">
        <f t="shared" si="177"/>
        <v>0</v>
      </c>
      <c r="CA271" s="66"/>
      <c r="CB271" s="66"/>
      <c r="CC271" s="56">
        <f t="shared" si="178"/>
        <v>0</v>
      </c>
      <c r="CD271" s="55"/>
      <c r="CE271" s="65"/>
      <c r="CF271" s="55"/>
      <c r="CG271" s="55"/>
      <c r="CH271" s="67">
        <f t="shared" si="179"/>
        <v>0</v>
      </c>
      <c r="CI271" s="68">
        <f t="shared" si="156"/>
        <v>0</v>
      </c>
      <c r="CJ271" s="55"/>
      <c r="CK271" s="55"/>
      <c r="CL271" s="55"/>
      <c r="CM271" s="55"/>
      <c r="CN271" s="55"/>
      <c r="CO271" s="68">
        <f t="shared" si="180"/>
        <v>0</v>
      </c>
      <c r="CP271" s="75">
        <f>SUM(Tableau1[[#This Row],[Fourniture eau]:[Energie (non précisé)]])</f>
        <v>0</v>
      </c>
      <c r="CQ271" s="55"/>
      <c r="CR271" s="55"/>
      <c r="CS271" s="55"/>
      <c r="CT271" s="55"/>
      <c r="CU271" s="55"/>
      <c r="CV271" s="55">
        <v>0</v>
      </c>
      <c r="CW271" s="55"/>
      <c r="CX271" s="68">
        <f>SUM(Tableau1[[#This Row],[Sous-traitance]:[Autres ou non précisé 12]])</f>
        <v>0</v>
      </c>
      <c r="CY271" s="65"/>
      <c r="CZ271" s="65"/>
      <c r="DA271" s="65"/>
      <c r="DB271" s="65"/>
      <c r="DC271" s="55"/>
      <c r="DD271" s="68">
        <f t="shared" si="161"/>
        <v>0</v>
      </c>
      <c r="DE271" s="55"/>
      <c r="DF271" s="65"/>
      <c r="DG271" s="65"/>
      <c r="DH271" s="65"/>
      <c r="DI271" s="68">
        <f>SUM(Tableau1[[#This Row],[Entretien et réparation matériel de projection]:[Autres ou non précisé 14]])</f>
        <v>0</v>
      </c>
      <c r="DJ271" s="58"/>
      <c r="DK271" s="58"/>
      <c r="DL271" s="69"/>
      <c r="DM271" s="68">
        <f t="shared" si="181"/>
        <v>0</v>
      </c>
      <c r="DN271" s="58"/>
      <c r="DO271" s="58"/>
      <c r="DP271" s="68">
        <f t="shared" si="182"/>
        <v>0</v>
      </c>
      <c r="DQ271" s="65"/>
      <c r="DR271" s="65"/>
      <c r="DS271" s="68">
        <f t="shared" si="183"/>
        <v>0</v>
      </c>
      <c r="DT271" s="65"/>
      <c r="DU271" s="65"/>
      <c r="DV271" s="65"/>
      <c r="DW271" s="68">
        <f>SUM(Tableau1[[#This Row],[Comission et courtage sur achats]:[Autres ou honoraires
 non précisé ]])</f>
        <v>0</v>
      </c>
      <c r="DX271" s="57"/>
      <c r="DY271" s="57"/>
      <c r="DZ271" s="65"/>
      <c r="EA271" s="65"/>
      <c r="EB271" s="65"/>
      <c r="EC271" s="68">
        <f t="shared" si="184"/>
        <v>0</v>
      </c>
      <c r="ED271" s="69"/>
      <c r="EE271" s="69"/>
      <c r="EF271" s="69"/>
      <c r="EG271" s="69"/>
      <c r="EH271" s="69"/>
      <c r="EI271" s="84">
        <f>SUM(Tableau1[[#This Row],[Transports sur films]:[autres ]])</f>
        <v>0</v>
      </c>
      <c r="EJ271" s="132">
        <v>0</v>
      </c>
      <c r="EK271" s="132"/>
      <c r="EL271" s="68">
        <f t="shared" si="185"/>
        <v>0</v>
      </c>
      <c r="EM271" s="65"/>
      <c r="EN271" s="65">
        <v>0</v>
      </c>
      <c r="EO271" s="65"/>
      <c r="EP271" s="65"/>
      <c r="EQ271" s="65"/>
      <c r="ER271" s="65"/>
      <c r="ES271" s="65"/>
      <c r="ET271" s="68">
        <f t="shared" si="186"/>
        <v>0</v>
      </c>
      <c r="EU271" s="65"/>
      <c r="EV271" s="65"/>
      <c r="EW271" s="65"/>
      <c r="EX271" s="65"/>
      <c r="EY271" s="65"/>
      <c r="EZ271" s="68">
        <f t="shared" si="163"/>
        <v>0</v>
      </c>
      <c r="FA271" s="65"/>
      <c r="FB271" s="65"/>
      <c r="FC271" s="70">
        <f t="shared" si="162"/>
        <v>0</v>
      </c>
      <c r="FD271" s="65"/>
      <c r="FE271" s="71">
        <f t="shared" si="187"/>
        <v>0</v>
      </c>
      <c r="FF271" s="72">
        <f t="shared" si="188"/>
        <v>0</v>
      </c>
      <c r="FG271" s="65"/>
      <c r="FH271" s="65"/>
      <c r="FI271" s="65"/>
      <c r="FJ271" s="56">
        <f t="shared" si="189"/>
        <v>0</v>
      </c>
      <c r="FK271" s="65"/>
      <c r="FL271" s="65"/>
      <c r="FM271" s="65"/>
      <c r="FN271" s="65"/>
      <c r="FO271" s="67">
        <f t="shared" si="190"/>
        <v>0</v>
      </c>
      <c r="FP271" s="57"/>
      <c r="FQ271" s="73"/>
      <c r="FR271" s="73"/>
      <c r="FS271" s="71">
        <f t="shared" si="191"/>
        <v>0</v>
      </c>
      <c r="FT271" s="91"/>
      <c r="FU271" s="91"/>
      <c r="FV271" s="67">
        <f>SUM(Tableau1[[#This Row],[Droits d''auteurs SACEM + cotisations SACEM]:[Autres ou non préciés]])</f>
        <v>0</v>
      </c>
      <c r="FW271" s="75">
        <f t="shared" si="192"/>
        <v>0</v>
      </c>
      <c r="FX271" s="74">
        <v>0</v>
      </c>
      <c r="FY271" s="74"/>
      <c r="FZ271" s="74"/>
      <c r="GA271" s="74"/>
      <c r="GB271" s="71">
        <f t="shared" si="193"/>
        <v>0</v>
      </c>
      <c r="GC271" s="92"/>
      <c r="GD271" s="92"/>
      <c r="GE271" s="67">
        <f t="shared" si="194"/>
        <v>0</v>
      </c>
      <c r="GF271" s="66"/>
      <c r="GG271" s="66"/>
      <c r="GH271" s="66"/>
      <c r="GI271" s="66"/>
      <c r="GJ271" s="77"/>
    </row>
    <row r="272" spans="1:192" ht="18.600000000000001" customHeight="1" x14ac:dyDescent="0.25">
      <c r="A272" s="89"/>
      <c r="B272" s="17"/>
      <c r="C272" s="50"/>
      <c r="D272" s="140"/>
      <c r="E272" s="51"/>
      <c r="F272" s="139">
        <f t="shared" si="159"/>
        <v>1</v>
      </c>
      <c r="G272" s="49"/>
      <c r="H272" s="50"/>
      <c r="I272" s="122"/>
      <c r="J272" s="49"/>
      <c r="K272" s="50"/>
      <c r="L272" s="50"/>
      <c r="M272" s="90"/>
      <c r="N272" s="50"/>
      <c r="O272" s="50"/>
      <c r="P272" s="90"/>
      <c r="Q272" s="52">
        <f t="shared" si="164"/>
        <v>0</v>
      </c>
      <c r="R272" s="52">
        <f t="shared" si="165"/>
        <v>0</v>
      </c>
      <c r="S272" s="53">
        <f t="shared" si="166"/>
        <v>0</v>
      </c>
      <c r="T272" s="54">
        <f t="shared" si="167"/>
        <v>0</v>
      </c>
      <c r="U272" s="115">
        <f>SUM(Tableau1[[#This Row],[Vente confiserie]:[Vente boisson]])</f>
        <v>0</v>
      </c>
      <c r="V272" s="55"/>
      <c r="W272" s="55"/>
      <c r="X272" s="135">
        <f>SUM(Tableau1[[#This Row],[Vente lunette]:[Location lunette]])</f>
        <v>0</v>
      </c>
      <c r="Y272" s="55"/>
      <c r="Z272" s="55"/>
      <c r="AA272" s="55"/>
      <c r="AB272" s="55"/>
      <c r="AC272" s="56">
        <f t="shared" si="157"/>
        <v>0</v>
      </c>
      <c r="AD272" s="57"/>
      <c r="AE272" s="57"/>
      <c r="AF272" s="57"/>
      <c r="AG272" s="57"/>
      <c r="AH272" s="57"/>
      <c r="AI272" s="57"/>
      <c r="AJ272" s="118">
        <f>(Tableau1[[#This Row],[Recette guichet ]]*1.1275177)-Tableau1[[#This Row],[Recette guichet ]]</f>
        <v>0</v>
      </c>
      <c r="AK272" s="57"/>
      <c r="AL272" s="56">
        <f t="shared" si="158"/>
        <v>0</v>
      </c>
      <c r="AM272" s="58"/>
      <c r="AN272" s="58"/>
      <c r="AO272" s="58"/>
      <c r="AP272" s="115">
        <f t="shared" si="168"/>
        <v>0</v>
      </c>
      <c r="AQ272" s="69"/>
      <c r="AR272" s="69"/>
      <c r="AS272" s="69"/>
      <c r="AT272" s="69"/>
      <c r="AU272" s="59">
        <f t="shared" si="169"/>
        <v>0</v>
      </c>
      <c r="AV272" s="60">
        <f t="shared" si="170"/>
        <v>0</v>
      </c>
      <c r="AW272" s="58"/>
      <c r="AX272" s="58"/>
      <c r="AY272" s="58"/>
      <c r="AZ272" s="60">
        <f t="shared" si="160"/>
        <v>0</v>
      </c>
      <c r="BA272" s="58"/>
      <c r="BB272" s="58"/>
      <c r="BC272" s="58"/>
      <c r="BD272" s="60">
        <f>SUM(Tableau1[[#This Row],[ticket/carte/abonnement périmé]:[Autres ou non précisé 5]])</f>
        <v>0</v>
      </c>
      <c r="BE272" s="58"/>
      <c r="BF272" s="58"/>
      <c r="BG272" s="58"/>
      <c r="BH272" s="61">
        <f t="shared" si="171"/>
        <v>0</v>
      </c>
      <c r="BI272" s="120"/>
      <c r="BJ272" s="120"/>
      <c r="BK272" s="62">
        <f t="shared" si="172"/>
        <v>0</v>
      </c>
      <c r="BL272" s="120"/>
      <c r="BM272" s="120"/>
      <c r="BN272" s="120"/>
      <c r="BO272" s="120"/>
      <c r="BP272" s="120"/>
      <c r="BQ272" s="63"/>
      <c r="BR272" s="52">
        <f t="shared" si="173"/>
        <v>0</v>
      </c>
      <c r="BS272" s="52">
        <f t="shared" si="174"/>
        <v>0</v>
      </c>
      <c r="BT272" s="61">
        <f t="shared" si="175"/>
        <v>0</v>
      </c>
      <c r="BU272" s="64">
        <f t="shared" si="176"/>
        <v>0</v>
      </c>
      <c r="BV272" s="119">
        <f>SUM(Tableau1[[#This Row],[Achats confiserie]:[Achats boisson]])</f>
        <v>0</v>
      </c>
      <c r="BW272" s="58"/>
      <c r="BX272" s="69"/>
      <c r="BY272" s="58"/>
      <c r="BZ272" s="56">
        <f t="shared" si="177"/>
        <v>0</v>
      </c>
      <c r="CA272" s="66"/>
      <c r="CB272" s="66"/>
      <c r="CC272" s="56">
        <f t="shared" si="178"/>
        <v>0</v>
      </c>
      <c r="CD272" s="55"/>
      <c r="CE272" s="65"/>
      <c r="CF272" s="55"/>
      <c r="CG272" s="55"/>
      <c r="CH272" s="67">
        <f t="shared" si="179"/>
        <v>0</v>
      </c>
      <c r="CI272" s="68">
        <f t="shared" si="156"/>
        <v>0</v>
      </c>
      <c r="CJ272" s="55"/>
      <c r="CK272" s="55"/>
      <c r="CL272" s="55"/>
      <c r="CM272" s="55"/>
      <c r="CN272" s="55"/>
      <c r="CO272" s="68">
        <f t="shared" si="180"/>
        <v>0</v>
      </c>
      <c r="CP272" s="75">
        <f>SUM(Tableau1[[#This Row],[Fourniture eau]:[Energie (non précisé)]])</f>
        <v>0</v>
      </c>
      <c r="CQ272" s="55"/>
      <c r="CR272" s="55"/>
      <c r="CS272" s="55"/>
      <c r="CT272" s="55"/>
      <c r="CU272" s="55"/>
      <c r="CV272" s="55">
        <v>0</v>
      </c>
      <c r="CW272" s="55"/>
      <c r="CX272" s="68">
        <f>SUM(Tableau1[[#This Row],[Sous-traitance]:[Autres ou non précisé 12]])</f>
        <v>0</v>
      </c>
      <c r="CY272" s="65"/>
      <c r="CZ272" s="65"/>
      <c r="DA272" s="65"/>
      <c r="DB272" s="65"/>
      <c r="DC272" s="55"/>
      <c r="DD272" s="68">
        <f t="shared" si="161"/>
        <v>0</v>
      </c>
      <c r="DE272" s="55"/>
      <c r="DF272" s="65"/>
      <c r="DG272" s="65"/>
      <c r="DH272" s="65"/>
      <c r="DI272" s="68">
        <f>SUM(Tableau1[[#This Row],[Entretien et réparation matériel de projection]:[Autres ou non précisé 14]])</f>
        <v>0</v>
      </c>
      <c r="DJ272" s="58"/>
      <c r="DK272" s="58"/>
      <c r="DL272" s="69"/>
      <c r="DM272" s="68">
        <f t="shared" si="181"/>
        <v>0</v>
      </c>
      <c r="DN272" s="58"/>
      <c r="DO272" s="58"/>
      <c r="DP272" s="68">
        <f t="shared" si="182"/>
        <v>0</v>
      </c>
      <c r="DQ272" s="65"/>
      <c r="DR272" s="65"/>
      <c r="DS272" s="68">
        <f t="shared" si="183"/>
        <v>0</v>
      </c>
      <c r="DT272" s="65"/>
      <c r="DU272" s="65"/>
      <c r="DV272" s="65"/>
      <c r="DW272" s="68">
        <f>SUM(Tableau1[[#This Row],[Comission et courtage sur achats]:[Autres ou honoraires
 non précisé ]])</f>
        <v>0</v>
      </c>
      <c r="DX272" s="57"/>
      <c r="DY272" s="57"/>
      <c r="DZ272" s="65"/>
      <c r="EA272" s="65"/>
      <c r="EB272" s="65"/>
      <c r="EC272" s="68">
        <f t="shared" si="184"/>
        <v>0</v>
      </c>
      <c r="ED272" s="69"/>
      <c r="EE272" s="69"/>
      <c r="EF272" s="69"/>
      <c r="EG272" s="69"/>
      <c r="EH272" s="69"/>
      <c r="EI272" s="84">
        <f>SUM(Tableau1[[#This Row],[Transports sur films]:[autres ]])</f>
        <v>0</v>
      </c>
      <c r="EJ272" s="132">
        <v>0</v>
      </c>
      <c r="EK272" s="132"/>
      <c r="EL272" s="68">
        <f t="shared" si="185"/>
        <v>0</v>
      </c>
      <c r="EM272" s="65"/>
      <c r="EN272" s="65">
        <v>0</v>
      </c>
      <c r="EO272" s="65"/>
      <c r="EP272" s="65"/>
      <c r="EQ272" s="65"/>
      <c r="ER272" s="65"/>
      <c r="ES272" s="65"/>
      <c r="ET272" s="68">
        <f t="shared" si="186"/>
        <v>0</v>
      </c>
      <c r="EU272" s="65"/>
      <c r="EV272" s="65"/>
      <c r="EW272" s="65"/>
      <c r="EX272" s="65"/>
      <c r="EY272" s="65"/>
      <c r="EZ272" s="68">
        <f t="shared" si="163"/>
        <v>0</v>
      </c>
      <c r="FA272" s="65"/>
      <c r="FB272" s="65"/>
      <c r="FC272" s="70">
        <f t="shared" si="162"/>
        <v>0</v>
      </c>
      <c r="FD272" s="65"/>
      <c r="FE272" s="71">
        <f t="shared" si="187"/>
        <v>0</v>
      </c>
      <c r="FF272" s="72">
        <f t="shared" si="188"/>
        <v>0</v>
      </c>
      <c r="FG272" s="65"/>
      <c r="FH272" s="65"/>
      <c r="FI272" s="65"/>
      <c r="FJ272" s="56">
        <f t="shared" si="189"/>
        <v>0</v>
      </c>
      <c r="FK272" s="65"/>
      <c r="FL272" s="65"/>
      <c r="FM272" s="65"/>
      <c r="FN272" s="65"/>
      <c r="FO272" s="67">
        <f t="shared" si="190"/>
        <v>0</v>
      </c>
      <c r="FP272" s="57"/>
      <c r="FQ272" s="73"/>
      <c r="FR272" s="73"/>
      <c r="FS272" s="71">
        <f t="shared" si="191"/>
        <v>0</v>
      </c>
      <c r="FT272" s="91"/>
      <c r="FU272" s="91"/>
      <c r="FV272" s="67">
        <f>SUM(Tableau1[[#This Row],[Droits d''auteurs SACEM + cotisations SACEM]:[Autres ou non préciés]])</f>
        <v>0</v>
      </c>
      <c r="FW272" s="75">
        <f t="shared" si="192"/>
        <v>0</v>
      </c>
      <c r="FX272" s="74">
        <v>0</v>
      </c>
      <c r="FY272" s="74"/>
      <c r="FZ272" s="74"/>
      <c r="GA272" s="74"/>
      <c r="GB272" s="71">
        <f t="shared" si="193"/>
        <v>0</v>
      </c>
      <c r="GC272" s="92"/>
      <c r="GD272" s="92"/>
      <c r="GE272" s="67">
        <f t="shared" si="194"/>
        <v>0</v>
      </c>
      <c r="GF272" s="66"/>
      <c r="GG272" s="66"/>
      <c r="GH272" s="66"/>
      <c r="GI272" s="66"/>
      <c r="GJ272" s="77"/>
    </row>
    <row r="273" spans="1:192" ht="18.600000000000001" customHeight="1" x14ac:dyDescent="0.25">
      <c r="A273" s="89"/>
      <c r="B273" s="17"/>
      <c r="C273" s="50"/>
      <c r="D273" s="140"/>
      <c r="E273" s="51"/>
      <c r="F273" s="139">
        <f t="shared" si="159"/>
        <v>1</v>
      </c>
      <c r="G273" s="49"/>
      <c r="H273" s="50"/>
      <c r="I273" s="122"/>
      <c r="J273" s="49"/>
      <c r="K273" s="50"/>
      <c r="L273" s="50"/>
      <c r="M273" s="90"/>
      <c r="N273" s="50"/>
      <c r="O273" s="50"/>
      <c r="P273" s="90"/>
      <c r="Q273" s="52">
        <f t="shared" si="164"/>
        <v>0</v>
      </c>
      <c r="R273" s="52">
        <f t="shared" si="165"/>
        <v>0</v>
      </c>
      <c r="S273" s="53">
        <f t="shared" si="166"/>
        <v>0</v>
      </c>
      <c r="T273" s="54">
        <f t="shared" si="167"/>
        <v>0</v>
      </c>
      <c r="U273" s="115">
        <f>SUM(Tableau1[[#This Row],[Vente confiserie]:[Vente boisson]])</f>
        <v>0</v>
      </c>
      <c r="V273" s="55"/>
      <c r="W273" s="55"/>
      <c r="X273" s="135">
        <f>SUM(Tableau1[[#This Row],[Vente lunette]:[Location lunette]])</f>
        <v>0</v>
      </c>
      <c r="Y273" s="55"/>
      <c r="Z273" s="55"/>
      <c r="AA273" s="55"/>
      <c r="AB273" s="55"/>
      <c r="AC273" s="56">
        <f t="shared" si="157"/>
        <v>0</v>
      </c>
      <c r="AD273" s="57"/>
      <c r="AE273" s="57"/>
      <c r="AF273" s="57"/>
      <c r="AG273" s="57"/>
      <c r="AH273" s="57"/>
      <c r="AI273" s="57"/>
      <c r="AJ273" s="118">
        <f>(Tableau1[[#This Row],[Recette guichet ]]*1.1275177)-Tableau1[[#This Row],[Recette guichet ]]</f>
        <v>0</v>
      </c>
      <c r="AK273" s="57"/>
      <c r="AL273" s="56">
        <f t="shared" si="158"/>
        <v>0</v>
      </c>
      <c r="AM273" s="58"/>
      <c r="AN273" s="58"/>
      <c r="AO273" s="58"/>
      <c r="AP273" s="115">
        <f t="shared" si="168"/>
        <v>0</v>
      </c>
      <c r="AQ273" s="69"/>
      <c r="AR273" s="69"/>
      <c r="AS273" s="69"/>
      <c r="AT273" s="69"/>
      <c r="AU273" s="59">
        <f t="shared" si="169"/>
        <v>0</v>
      </c>
      <c r="AV273" s="60">
        <f t="shared" si="170"/>
        <v>0</v>
      </c>
      <c r="AW273" s="58"/>
      <c r="AX273" s="58"/>
      <c r="AY273" s="58"/>
      <c r="AZ273" s="60">
        <f t="shared" si="160"/>
        <v>0</v>
      </c>
      <c r="BA273" s="58"/>
      <c r="BB273" s="58"/>
      <c r="BC273" s="58"/>
      <c r="BD273" s="60">
        <f>SUM(Tableau1[[#This Row],[ticket/carte/abonnement périmé]:[Autres ou non précisé 5]])</f>
        <v>0</v>
      </c>
      <c r="BE273" s="58"/>
      <c r="BF273" s="58"/>
      <c r="BG273" s="58"/>
      <c r="BH273" s="61">
        <f t="shared" si="171"/>
        <v>0</v>
      </c>
      <c r="BI273" s="120"/>
      <c r="BJ273" s="120"/>
      <c r="BK273" s="62">
        <f t="shared" si="172"/>
        <v>0</v>
      </c>
      <c r="BL273" s="120"/>
      <c r="BM273" s="120"/>
      <c r="BN273" s="120"/>
      <c r="BO273" s="120"/>
      <c r="BP273" s="120"/>
      <c r="BQ273" s="63"/>
      <c r="BR273" s="52">
        <f t="shared" si="173"/>
        <v>0</v>
      </c>
      <c r="BS273" s="52">
        <f t="shared" si="174"/>
        <v>0</v>
      </c>
      <c r="BT273" s="61">
        <f t="shared" si="175"/>
        <v>0</v>
      </c>
      <c r="BU273" s="64">
        <f t="shared" si="176"/>
        <v>0</v>
      </c>
      <c r="BV273" s="119">
        <f>SUM(Tableau1[[#This Row],[Achats confiserie]:[Achats boisson]])</f>
        <v>0</v>
      </c>
      <c r="BW273" s="58"/>
      <c r="BX273" s="69"/>
      <c r="BY273" s="58"/>
      <c r="BZ273" s="56">
        <f t="shared" si="177"/>
        <v>0</v>
      </c>
      <c r="CA273" s="66"/>
      <c r="CB273" s="66"/>
      <c r="CC273" s="56">
        <f t="shared" si="178"/>
        <v>0</v>
      </c>
      <c r="CD273" s="55"/>
      <c r="CE273" s="65"/>
      <c r="CF273" s="55"/>
      <c r="CG273" s="55"/>
      <c r="CH273" s="67">
        <f t="shared" si="179"/>
        <v>0</v>
      </c>
      <c r="CI273" s="68">
        <f t="shared" si="156"/>
        <v>0</v>
      </c>
      <c r="CJ273" s="55"/>
      <c r="CK273" s="55"/>
      <c r="CL273" s="55"/>
      <c r="CM273" s="55"/>
      <c r="CN273" s="55"/>
      <c r="CO273" s="68">
        <f t="shared" si="180"/>
        <v>0</v>
      </c>
      <c r="CP273" s="75">
        <f>SUM(Tableau1[[#This Row],[Fourniture eau]:[Energie (non précisé)]])</f>
        <v>0</v>
      </c>
      <c r="CQ273" s="55"/>
      <c r="CR273" s="55"/>
      <c r="CS273" s="55"/>
      <c r="CT273" s="55"/>
      <c r="CU273" s="55"/>
      <c r="CV273" s="55">
        <v>0</v>
      </c>
      <c r="CW273" s="55"/>
      <c r="CX273" s="68">
        <f>SUM(Tableau1[[#This Row],[Sous-traitance]:[Autres ou non précisé 12]])</f>
        <v>0</v>
      </c>
      <c r="CY273" s="65"/>
      <c r="CZ273" s="65"/>
      <c r="DA273" s="65"/>
      <c r="DB273" s="65"/>
      <c r="DC273" s="55"/>
      <c r="DD273" s="68">
        <f t="shared" si="161"/>
        <v>0</v>
      </c>
      <c r="DE273" s="55"/>
      <c r="DF273" s="65"/>
      <c r="DG273" s="65"/>
      <c r="DH273" s="65"/>
      <c r="DI273" s="68">
        <f>SUM(Tableau1[[#This Row],[Entretien et réparation matériel de projection]:[Autres ou non précisé 14]])</f>
        <v>0</v>
      </c>
      <c r="DJ273" s="58"/>
      <c r="DK273" s="58"/>
      <c r="DL273" s="69"/>
      <c r="DM273" s="68">
        <f t="shared" si="181"/>
        <v>0</v>
      </c>
      <c r="DN273" s="58"/>
      <c r="DO273" s="58"/>
      <c r="DP273" s="68">
        <f t="shared" si="182"/>
        <v>0</v>
      </c>
      <c r="DQ273" s="65"/>
      <c r="DR273" s="65"/>
      <c r="DS273" s="68">
        <f t="shared" si="183"/>
        <v>0</v>
      </c>
      <c r="DT273" s="65"/>
      <c r="DU273" s="65"/>
      <c r="DV273" s="65"/>
      <c r="DW273" s="68">
        <f>SUM(Tableau1[[#This Row],[Comission et courtage sur achats]:[Autres ou honoraires
 non précisé ]])</f>
        <v>0</v>
      </c>
      <c r="DX273" s="57"/>
      <c r="DY273" s="57"/>
      <c r="DZ273" s="65"/>
      <c r="EA273" s="65"/>
      <c r="EB273" s="65"/>
      <c r="EC273" s="68">
        <f t="shared" si="184"/>
        <v>0</v>
      </c>
      <c r="ED273" s="69"/>
      <c r="EE273" s="69"/>
      <c r="EF273" s="69"/>
      <c r="EG273" s="69"/>
      <c r="EH273" s="69"/>
      <c r="EI273" s="84">
        <f>SUM(Tableau1[[#This Row],[Transports sur films]:[autres ]])</f>
        <v>0</v>
      </c>
      <c r="EJ273" s="132">
        <v>0</v>
      </c>
      <c r="EK273" s="132"/>
      <c r="EL273" s="68">
        <f t="shared" si="185"/>
        <v>0</v>
      </c>
      <c r="EM273" s="65"/>
      <c r="EN273" s="65">
        <v>0</v>
      </c>
      <c r="EO273" s="65"/>
      <c r="EP273" s="65"/>
      <c r="EQ273" s="65"/>
      <c r="ER273" s="65"/>
      <c r="ES273" s="65"/>
      <c r="ET273" s="68">
        <f t="shared" si="186"/>
        <v>0</v>
      </c>
      <c r="EU273" s="65"/>
      <c r="EV273" s="65"/>
      <c r="EW273" s="65"/>
      <c r="EX273" s="65"/>
      <c r="EY273" s="65"/>
      <c r="EZ273" s="68">
        <f t="shared" si="163"/>
        <v>0</v>
      </c>
      <c r="FA273" s="65"/>
      <c r="FB273" s="65"/>
      <c r="FC273" s="70">
        <f t="shared" si="162"/>
        <v>0</v>
      </c>
      <c r="FD273" s="65"/>
      <c r="FE273" s="71">
        <f t="shared" si="187"/>
        <v>0</v>
      </c>
      <c r="FF273" s="72">
        <f t="shared" si="188"/>
        <v>0</v>
      </c>
      <c r="FG273" s="65"/>
      <c r="FH273" s="65"/>
      <c r="FI273" s="65"/>
      <c r="FJ273" s="56">
        <f t="shared" si="189"/>
        <v>0</v>
      </c>
      <c r="FK273" s="65"/>
      <c r="FL273" s="65"/>
      <c r="FM273" s="65"/>
      <c r="FN273" s="65"/>
      <c r="FO273" s="67">
        <f t="shared" si="190"/>
        <v>0</v>
      </c>
      <c r="FP273" s="57"/>
      <c r="FQ273" s="73"/>
      <c r="FR273" s="73"/>
      <c r="FS273" s="71">
        <f t="shared" si="191"/>
        <v>0</v>
      </c>
      <c r="FT273" s="91"/>
      <c r="FU273" s="91"/>
      <c r="FV273" s="67">
        <f>SUM(Tableau1[[#This Row],[Droits d''auteurs SACEM + cotisations SACEM]:[Autres ou non préciés]])</f>
        <v>0</v>
      </c>
      <c r="FW273" s="75">
        <f t="shared" si="192"/>
        <v>0</v>
      </c>
      <c r="FX273" s="74">
        <v>0</v>
      </c>
      <c r="FY273" s="74"/>
      <c r="FZ273" s="74"/>
      <c r="GA273" s="74"/>
      <c r="GB273" s="71">
        <f t="shared" si="193"/>
        <v>0</v>
      </c>
      <c r="GC273" s="92"/>
      <c r="GD273" s="92"/>
      <c r="GE273" s="67">
        <f t="shared" si="194"/>
        <v>0</v>
      </c>
      <c r="GF273" s="66"/>
      <c r="GG273" s="66"/>
      <c r="GH273" s="66"/>
      <c r="GI273" s="66"/>
      <c r="GJ273" s="77"/>
    </row>
    <row r="274" spans="1:192" ht="18.600000000000001" customHeight="1" x14ac:dyDescent="0.25">
      <c r="A274" s="89"/>
      <c r="B274" s="17"/>
      <c r="C274" s="50"/>
      <c r="D274" s="140"/>
      <c r="E274" s="51"/>
      <c r="F274" s="139">
        <f t="shared" si="159"/>
        <v>1</v>
      </c>
      <c r="G274" s="49"/>
      <c r="H274" s="50"/>
      <c r="I274" s="122"/>
      <c r="J274" s="49"/>
      <c r="K274" s="50"/>
      <c r="L274" s="50"/>
      <c r="M274" s="90"/>
      <c r="N274" s="50"/>
      <c r="O274" s="50"/>
      <c r="P274" s="90"/>
      <c r="Q274" s="52">
        <f t="shared" si="164"/>
        <v>0</v>
      </c>
      <c r="R274" s="52">
        <f t="shared" si="165"/>
        <v>0</v>
      </c>
      <c r="S274" s="53">
        <f t="shared" si="166"/>
        <v>0</v>
      </c>
      <c r="T274" s="54">
        <f t="shared" si="167"/>
        <v>0</v>
      </c>
      <c r="U274" s="115">
        <f>SUM(Tableau1[[#This Row],[Vente confiserie]:[Vente boisson]])</f>
        <v>0</v>
      </c>
      <c r="V274" s="55"/>
      <c r="W274" s="55"/>
      <c r="X274" s="135">
        <f>SUM(Tableau1[[#This Row],[Vente lunette]:[Location lunette]])</f>
        <v>0</v>
      </c>
      <c r="Y274" s="55"/>
      <c r="Z274" s="55"/>
      <c r="AA274" s="55"/>
      <c r="AB274" s="55"/>
      <c r="AC274" s="56">
        <f t="shared" si="157"/>
        <v>0</v>
      </c>
      <c r="AD274" s="57"/>
      <c r="AE274" s="57"/>
      <c r="AF274" s="57"/>
      <c r="AG274" s="57"/>
      <c r="AH274" s="57"/>
      <c r="AI274" s="57"/>
      <c r="AJ274" s="118">
        <f>(Tableau1[[#This Row],[Recette guichet ]]*1.1275177)-Tableau1[[#This Row],[Recette guichet ]]</f>
        <v>0</v>
      </c>
      <c r="AK274" s="57"/>
      <c r="AL274" s="56">
        <f t="shared" si="158"/>
        <v>0</v>
      </c>
      <c r="AM274" s="58"/>
      <c r="AN274" s="58"/>
      <c r="AO274" s="58"/>
      <c r="AP274" s="115">
        <f t="shared" si="168"/>
        <v>0</v>
      </c>
      <c r="AQ274" s="69"/>
      <c r="AR274" s="69"/>
      <c r="AS274" s="69"/>
      <c r="AT274" s="69"/>
      <c r="AU274" s="59">
        <f t="shared" si="169"/>
        <v>0</v>
      </c>
      <c r="AV274" s="60">
        <f t="shared" si="170"/>
        <v>0</v>
      </c>
      <c r="AW274" s="58"/>
      <c r="AX274" s="58"/>
      <c r="AY274" s="58"/>
      <c r="AZ274" s="60">
        <f t="shared" si="160"/>
        <v>0</v>
      </c>
      <c r="BA274" s="58"/>
      <c r="BB274" s="58"/>
      <c r="BC274" s="58"/>
      <c r="BD274" s="60">
        <f>SUM(Tableau1[[#This Row],[ticket/carte/abonnement périmé]:[Autres ou non précisé 5]])</f>
        <v>0</v>
      </c>
      <c r="BE274" s="58"/>
      <c r="BF274" s="58"/>
      <c r="BG274" s="58"/>
      <c r="BH274" s="61">
        <f t="shared" si="171"/>
        <v>0</v>
      </c>
      <c r="BI274" s="120"/>
      <c r="BJ274" s="120"/>
      <c r="BK274" s="62">
        <f t="shared" si="172"/>
        <v>0</v>
      </c>
      <c r="BL274" s="120"/>
      <c r="BM274" s="120"/>
      <c r="BN274" s="120"/>
      <c r="BO274" s="120"/>
      <c r="BP274" s="120"/>
      <c r="BQ274" s="63"/>
      <c r="BR274" s="52">
        <f t="shared" si="173"/>
        <v>0</v>
      </c>
      <c r="BS274" s="52">
        <f t="shared" si="174"/>
        <v>0</v>
      </c>
      <c r="BT274" s="61">
        <f t="shared" si="175"/>
        <v>0</v>
      </c>
      <c r="BU274" s="64">
        <f t="shared" si="176"/>
        <v>0</v>
      </c>
      <c r="BV274" s="119">
        <f>SUM(Tableau1[[#This Row],[Achats confiserie]:[Achats boisson]])</f>
        <v>0</v>
      </c>
      <c r="BW274" s="58"/>
      <c r="BX274" s="69"/>
      <c r="BY274" s="58"/>
      <c r="BZ274" s="56">
        <f t="shared" si="177"/>
        <v>0</v>
      </c>
      <c r="CA274" s="66"/>
      <c r="CB274" s="66"/>
      <c r="CC274" s="56">
        <f t="shared" si="178"/>
        <v>0</v>
      </c>
      <c r="CD274" s="55"/>
      <c r="CE274" s="65"/>
      <c r="CF274" s="55"/>
      <c r="CG274" s="55"/>
      <c r="CH274" s="67">
        <f t="shared" si="179"/>
        <v>0</v>
      </c>
      <c r="CI274" s="68">
        <f t="shared" si="156"/>
        <v>0</v>
      </c>
      <c r="CJ274" s="55"/>
      <c r="CK274" s="55"/>
      <c r="CL274" s="55"/>
      <c r="CM274" s="55"/>
      <c r="CN274" s="55"/>
      <c r="CO274" s="68">
        <f t="shared" si="180"/>
        <v>0</v>
      </c>
      <c r="CP274" s="75">
        <f>SUM(Tableau1[[#This Row],[Fourniture eau]:[Energie (non précisé)]])</f>
        <v>0</v>
      </c>
      <c r="CQ274" s="55"/>
      <c r="CR274" s="55"/>
      <c r="CS274" s="55"/>
      <c r="CT274" s="55"/>
      <c r="CU274" s="55"/>
      <c r="CV274" s="55">
        <v>0</v>
      </c>
      <c r="CW274" s="55"/>
      <c r="CX274" s="68">
        <f>SUM(Tableau1[[#This Row],[Sous-traitance]:[Autres ou non précisé 12]])</f>
        <v>0</v>
      </c>
      <c r="CY274" s="65"/>
      <c r="CZ274" s="65"/>
      <c r="DA274" s="65"/>
      <c r="DB274" s="65"/>
      <c r="DC274" s="55"/>
      <c r="DD274" s="68">
        <f t="shared" si="161"/>
        <v>0</v>
      </c>
      <c r="DE274" s="55"/>
      <c r="DF274" s="65"/>
      <c r="DG274" s="65"/>
      <c r="DH274" s="65"/>
      <c r="DI274" s="68">
        <f>SUM(Tableau1[[#This Row],[Entretien et réparation matériel de projection]:[Autres ou non précisé 14]])</f>
        <v>0</v>
      </c>
      <c r="DJ274" s="58"/>
      <c r="DK274" s="58"/>
      <c r="DL274" s="69"/>
      <c r="DM274" s="68">
        <f t="shared" si="181"/>
        <v>0</v>
      </c>
      <c r="DN274" s="58"/>
      <c r="DO274" s="58"/>
      <c r="DP274" s="68">
        <f t="shared" si="182"/>
        <v>0</v>
      </c>
      <c r="DQ274" s="65"/>
      <c r="DR274" s="65"/>
      <c r="DS274" s="68">
        <f t="shared" si="183"/>
        <v>0</v>
      </c>
      <c r="DT274" s="65"/>
      <c r="DU274" s="65"/>
      <c r="DV274" s="65"/>
      <c r="DW274" s="68">
        <f>SUM(Tableau1[[#This Row],[Comission et courtage sur achats]:[Autres ou honoraires
 non précisé ]])</f>
        <v>0</v>
      </c>
      <c r="DX274" s="57"/>
      <c r="DY274" s="57"/>
      <c r="DZ274" s="65"/>
      <c r="EA274" s="65"/>
      <c r="EB274" s="65"/>
      <c r="EC274" s="68">
        <f t="shared" si="184"/>
        <v>0</v>
      </c>
      <c r="ED274" s="69"/>
      <c r="EE274" s="69"/>
      <c r="EF274" s="69"/>
      <c r="EG274" s="69"/>
      <c r="EH274" s="69"/>
      <c r="EI274" s="84">
        <f>SUM(Tableau1[[#This Row],[Transports sur films]:[autres ]])</f>
        <v>0</v>
      </c>
      <c r="EJ274" s="132">
        <v>0</v>
      </c>
      <c r="EK274" s="132"/>
      <c r="EL274" s="68">
        <f t="shared" si="185"/>
        <v>0</v>
      </c>
      <c r="EM274" s="65"/>
      <c r="EN274" s="65">
        <v>0</v>
      </c>
      <c r="EO274" s="65"/>
      <c r="EP274" s="65"/>
      <c r="EQ274" s="65"/>
      <c r="ER274" s="65"/>
      <c r="ES274" s="65"/>
      <c r="ET274" s="68">
        <f t="shared" si="186"/>
        <v>0</v>
      </c>
      <c r="EU274" s="65"/>
      <c r="EV274" s="65"/>
      <c r="EW274" s="65"/>
      <c r="EX274" s="65"/>
      <c r="EY274" s="65"/>
      <c r="EZ274" s="68">
        <f t="shared" si="163"/>
        <v>0</v>
      </c>
      <c r="FA274" s="65"/>
      <c r="FB274" s="65"/>
      <c r="FC274" s="70">
        <f t="shared" si="162"/>
        <v>0</v>
      </c>
      <c r="FD274" s="65"/>
      <c r="FE274" s="71">
        <f t="shared" si="187"/>
        <v>0</v>
      </c>
      <c r="FF274" s="72">
        <f t="shared" si="188"/>
        <v>0</v>
      </c>
      <c r="FG274" s="65"/>
      <c r="FH274" s="65"/>
      <c r="FI274" s="65"/>
      <c r="FJ274" s="56">
        <f t="shared" si="189"/>
        <v>0</v>
      </c>
      <c r="FK274" s="65"/>
      <c r="FL274" s="65"/>
      <c r="FM274" s="65"/>
      <c r="FN274" s="65"/>
      <c r="FO274" s="67">
        <f t="shared" si="190"/>
        <v>0</v>
      </c>
      <c r="FP274" s="57"/>
      <c r="FQ274" s="73"/>
      <c r="FR274" s="73"/>
      <c r="FS274" s="71">
        <f t="shared" si="191"/>
        <v>0</v>
      </c>
      <c r="FT274" s="91"/>
      <c r="FU274" s="91"/>
      <c r="FV274" s="67">
        <f>SUM(Tableau1[[#This Row],[Droits d''auteurs SACEM + cotisations SACEM]:[Autres ou non préciés]])</f>
        <v>0</v>
      </c>
      <c r="FW274" s="75">
        <f t="shared" si="192"/>
        <v>0</v>
      </c>
      <c r="FX274" s="74">
        <v>0</v>
      </c>
      <c r="FY274" s="74"/>
      <c r="FZ274" s="74"/>
      <c r="GA274" s="74"/>
      <c r="GB274" s="71">
        <f t="shared" si="193"/>
        <v>0</v>
      </c>
      <c r="GC274" s="92"/>
      <c r="GD274" s="92"/>
      <c r="GE274" s="67">
        <f t="shared" si="194"/>
        <v>0</v>
      </c>
      <c r="GF274" s="66"/>
      <c r="GG274" s="66"/>
      <c r="GH274" s="66"/>
      <c r="GI274" s="66"/>
      <c r="GJ274" s="77"/>
    </row>
    <row r="275" spans="1:192" ht="18.600000000000001" customHeight="1" x14ac:dyDescent="0.25">
      <c r="A275" s="89"/>
      <c r="B275" s="17"/>
      <c r="C275" s="50"/>
      <c r="D275" s="140"/>
      <c r="E275" s="51"/>
      <c r="F275" s="139">
        <f t="shared" si="159"/>
        <v>1</v>
      </c>
      <c r="G275" s="49"/>
      <c r="H275" s="50"/>
      <c r="I275" s="122"/>
      <c r="J275" s="49"/>
      <c r="K275" s="50"/>
      <c r="L275" s="50"/>
      <c r="M275" s="90"/>
      <c r="N275" s="50"/>
      <c r="O275" s="50"/>
      <c r="P275" s="90"/>
      <c r="Q275" s="52">
        <f t="shared" si="164"/>
        <v>0</v>
      </c>
      <c r="R275" s="52">
        <f t="shared" si="165"/>
        <v>0</v>
      </c>
      <c r="S275" s="53">
        <f t="shared" si="166"/>
        <v>0</v>
      </c>
      <c r="T275" s="54">
        <f t="shared" si="167"/>
        <v>0</v>
      </c>
      <c r="U275" s="115">
        <f>SUM(Tableau1[[#This Row],[Vente confiserie]:[Vente boisson]])</f>
        <v>0</v>
      </c>
      <c r="V275" s="55"/>
      <c r="W275" s="55"/>
      <c r="X275" s="135">
        <f>SUM(Tableau1[[#This Row],[Vente lunette]:[Location lunette]])</f>
        <v>0</v>
      </c>
      <c r="Y275" s="55"/>
      <c r="Z275" s="55"/>
      <c r="AA275" s="55"/>
      <c r="AB275" s="55"/>
      <c r="AC275" s="56">
        <f t="shared" si="157"/>
        <v>0</v>
      </c>
      <c r="AD275" s="57"/>
      <c r="AE275" s="57"/>
      <c r="AF275" s="57"/>
      <c r="AG275" s="57"/>
      <c r="AH275" s="57"/>
      <c r="AI275" s="57"/>
      <c r="AJ275" s="118">
        <f>(Tableau1[[#This Row],[Recette guichet ]]*1.1275177)-Tableau1[[#This Row],[Recette guichet ]]</f>
        <v>0</v>
      </c>
      <c r="AK275" s="57"/>
      <c r="AL275" s="56">
        <f t="shared" si="158"/>
        <v>0</v>
      </c>
      <c r="AM275" s="58"/>
      <c r="AN275" s="58"/>
      <c r="AO275" s="58"/>
      <c r="AP275" s="115">
        <f t="shared" si="168"/>
        <v>0</v>
      </c>
      <c r="AQ275" s="69"/>
      <c r="AR275" s="69"/>
      <c r="AS275" s="69"/>
      <c r="AT275" s="69"/>
      <c r="AU275" s="59">
        <f t="shared" si="169"/>
        <v>0</v>
      </c>
      <c r="AV275" s="60">
        <f t="shared" si="170"/>
        <v>0</v>
      </c>
      <c r="AW275" s="58"/>
      <c r="AX275" s="58"/>
      <c r="AY275" s="58"/>
      <c r="AZ275" s="60">
        <f t="shared" si="160"/>
        <v>0</v>
      </c>
      <c r="BA275" s="58"/>
      <c r="BB275" s="58"/>
      <c r="BC275" s="58"/>
      <c r="BD275" s="60">
        <f>SUM(Tableau1[[#This Row],[ticket/carte/abonnement périmé]:[Autres ou non précisé 5]])</f>
        <v>0</v>
      </c>
      <c r="BE275" s="58"/>
      <c r="BF275" s="58"/>
      <c r="BG275" s="58"/>
      <c r="BH275" s="61">
        <f t="shared" si="171"/>
        <v>0</v>
      </c>
      <c r="BI275" s="120"/>
      <c r="BJ275" s="120"/>
      <c r="BK275" s="62">
        <f t="shared" si="172"/>
        <v>0</v>
      </c>
      <c r="BL275" s="120"/>
      <c r="BM275" s="120"/>
      <c r="BN275" s="120"/>
      <c r="BO275" s="120"/>
      <c r="BP275" s="120"/>
      <c r="BQ275" s="63"/>
      <c r="BR275" s="52">
        <f t="shared" si="173"/>
        <v>0</v>
      </c>
      <c r="BS275" s="52">
        <f t="shared" si="174"/>
        <v>0</v>
      </c>
      <c r="BT275" s="61">
        <f t="shared" si="175"/>
        <v>0</v>
      </c>
      <c r="BU275" s="64">
        <f t="shared" si="176"/>
        <v>0</v>
      </c>
      <c r="BV275" s="119">
        <f>SUM(Tableau1[[#This Row],[Achats confiserie]:[Achats boisson]])</f>
        <v>0</v>
      </c>
      <c r="BW275" s="58"/>
      <c r="BX275" s="69"/>
      <c r="BY275" s="58"/>
      <c r="BZ275" s="56">
        <f t="shared" si="177"/>
        <v>0</v>
      </c>
      <c r="CA275" s="66"/>
      <c r="CB275" s="66"/>
      <c r="CC275" s="56">
        <f t="shared" si="178"/>
        <v>0</v>
      </c>
      <c r="CD275" s="55"/>
      <c r="CE275" s="65"/>
      <c r="CF275" s="55"/>
      <c r="CG275" s="55"/>
      <c r="CH275" s="67">
        <f t="shared" si="179"/>
        <v>0</v>
      </c>
      <c r="CI275" s="68">
        <f t="shared" ref="CI275:CI338" si="195">SUM(CJ275:CN275)</f>
        <v>0</v>
      </c>
      <c r="CJ275" s="55"/>
      <c r="CK275" s="55"/>
      <c r="CL275" s="55"/>
      <c r="CM275" s="55"/>
      <c r="CN275" s="55"/>
      <c r="CO275" s="68">
        <f t="shared" si="180"/>
        <v>0</v>
      </c>
      <c r="CP275" s="75">
        <f>SUM(Tableau1[[#This Row],[Fourniture eau]:[Energie (non précisé)]])</f>
        <v>0</v>
      </c>
      <c r="CQ275" s="55"/>
      <c r="CR275" s="55"/>
      <c r="CS275" s="55"/>
      <c r="CT275" s="55"/>
      <c r="CU275" s="55"/>
      <c r="CV275" s="55">
        <v>0</v>
      </c>
      <c r="CW275" s="55"/>
      <c r="CX275" s="68">
        <f>SUM(Tableau1[[#This Row],[Sous-traitance]:[Autres ou non précisé 12]])</f>
        <v>0</v>
      </c>
      <c r="CY275" s="65"/>
      <c r="CZ275" s="65"/>
      <c r="DA275" s="65"/>
      <c r="DB275" s="65"/>
      <c r="DC275" s="55"/>
      <c r="DD275" s="68">
        <f t="shared" si="161"/>
        <v>0</v>
      </c>
      <c r="DE275" s="55"/>
      <c r="DF275" s="65"/>
      <c r="DG275" s="65"/>
      <c r="DH275" s="65"/>
      <c r="DI275" s="68">
        <f>SUM(Tableau1[[#This Row],[Entretien et réparation matériel de projection]:[Autres ou non précisé 14]])</f>
        <v>0</v>
      </c>
      <c r="DJ275" s="58"/>
      <c r="DK275" s="58"/>
      <c r="DL275" s="69"/>
      <c r="DM275" s="68">
        <f t="shared" si="181"/>
        <v>0</v>
      </c>
      <c r="DN275" s="58"/>
      <c r="DO275" s="58"/>
      <c r="DP275" s="68">
        <f t="shared" si="182"/>
        <v>0</v>
      </c>
      <c r="DQ275" s="65"/>
      <c r="DR275" s="65"/>
      <c r="DS275" s="68">
        <f t="shared" si="183"/>
        <v>0</v>
      </c>
      <c r="DT275" s="65"/>
      <c r="DU275" s="65"/>
      <c r="DV275" s="65"/>
      <c r="DW275" s="68">
        <f>SUM(Tableau1[[#This Row],[Comission et courtage sur achats]:[Autres ou honoraires
 non précisé ]])</f>
        <v>0</v>
      </c>
      <c r="DX275" s="57"/>
      <c r="DY275" s="57"/>
      <c r="DZ275" s="65"/>
      <c r="EA275" s="65"/>
      <c r="EB275" s="65"/>
      <c r="EC275" s="68">
        <f t="shared" si="184"/>
        <v>0</v>
      </c>
      <c r="ED275" s="69"/>
      <c r="EE275" s="69"/>
      <c r="EF275" s="69"/>
      <c r="EG275" s="69"/>
      <c r="EH275" s="69"/>
      <c r="EI275" s="84">
        <f>SUM(Tableau1[[#This Row],[Transports sur films]:[autres ]])</f>
        <v>0</v>
      </c>
      <c r="EJ275" s="132">
        <v>0</v>
      </c>
      <c r="EK275" s="132"/>
      <c r="EL275" s="68">
        <f t="shared" si="185"/>
        <v>0</v>
      </c>
      <c r="EM275" s="65"/>
      <c r="EN275" s="65">
        <v>0</v>
      </c>
      <c r="EO275" s="65"/>
      <c r="EP275" s="65"/>
      <c r="EQ275" s="65"/>
      <c r="ER275" s="65"/>
      <c r="ES275" s="65"/>
      <c r="ET275" s="68">
        <f t="shared" si="186"/>
        <v>0</v>
      </c>
      <c r="EU275" s="65"/>
      <c r="EV275" s="65"/>
      <c r="EW275" s="65"/>
      <c r="EX275" s="65"/>
      <c r="EY275" s="65"/>
      <c r="EZ275" s="68">
        <f t="shared" si="163"/>
        <v>0</v>
      </c>
      <c r="FA275" s="65"/>
      <c r="FB275" s="65"/>
      <c r="FC275" s="70">
        <f t="shared" si="162"/>
        <v>0</v>
      </c>
      <c r="FD275" s="65"/>
      <c r="FE275" s="71">
        <f t="shared" si="187"/>
        <v>0</v>
      </c>
      <c r="FF275" s="72">
        <f t="shared" si="188"/>
        <v>0</v>
      </c>
      <c r="FG275" s="65"/>
      <c r="FH275" s="65"/>
      <c r="FI275" s="65"/>
      <c r="FJ275" s="56">
        <f t="shared" si="189"/>
        <v>0</v>
      </c>
      <c r="FK275" s="65"/>
      <c r="FL275" s="65"/>
      <c r="FM275" s="65"/>
      <c r="FN275" s="65"/>
      <c r="FO275" s="67">
        <f t="shared" si="190"/>
        <v>0</v>
      </c>
      <c r="FP275" s="57"/>
      <c r="FQ275" s="73"/>
      <c r="FR275" s="73"/>
      <c r="FS275" s="71">
        <f t="shared" si="191"/>
        <v>0</v>
      </c>
      <c r="FT275" s="91"/>
      <c r="FU275" s="91"/>
      <c r="FV275" s="67">
        <f>SUM(Tableau1[[#This Row],[Droits d''auteurs SACEM + cotisations SACEM]:[Autres ou non préciés]])</f>
        <v>0</v>
      </c>
      <c r="FW275" s="75">
        <f t="shared" si="192"/>
        <v>0</v>
      </c>
      <c r="FX275" s="74">
        <v>0</v>
      </c>
      <c r="FY275" s="74"/>
      <c r="FZ275" s="74"/>
      <c r="GA275" s="74"/>
      <c r="GB275" s="71">
        <f t="shared" si="193"/>
        <v>0</v>
      </c>
      <c r="GC275" s="92"/>
      <c r="GD275" s="92"/>
      <c r="GE275" s="67">
        <f t="shared" si="194"/>
        <v>0</v>
      </c>
      <c r="GF275" s="66"/>
      <c r="GG275" s="66"/>
      <c r="GH275" s="66"/>
      <c r="GI275" s="66"/>
      <c r="GJ275" s="77"/>
    </row>
    <row r="276" spans="1:192" ht="18.600000000000001" customHeight="1" x14ac:dyDescent="0.25">
      <c r="A276" s="89"/>
      <c r="B276" s="17"/>
      <c r="C276" s="50"/>
      <c r="D276" s="140"/>
      <c r="E276" s="51"/>
      <c r="F276" s="139">
        <f t="shared" si="159"/>
        <v>1</v>
      </c>
      <c r="G276" s="49"/>
      <c r="H276" s="50"/>
      <c r="I276" s="122"/>
      <c r="J276" s="49"/>
      <c r="K276" s="50"/>
      <c r="L276" s="50"/>
      <c r="M276" s="90"/>
      <c r="N276" s="50"/>
      <c r="O276" s="50"/>
      <c r="P276" s="90"/>
      <c r="Q276" s="52">
        <f t="shared" si="164"/>
        <v>0</v>
      </c>
      <c r="R276" s="52">
        <f t="shared" si="165"/>
        <v>0</v>
      </c>
      <c r="S276" s="53">
        <f t="shared" si="166"/>
        <v>0</v>
      </c>
      <c r="T276" s="54">
        <f t="shared" si="167"/>
        <v>0</v>
      </c>
      <c r="U276" s="115">
        <f>SUM(Tableau1[[#This Row],[Vente confiserie]:[Vente boisson]])</f>
        <v>0</v>
      </c>
      <c r="V276" s="55"/>
      <c r="W276" s="55"/>
      <c r="X276" s="135">
        <f>SUM(Tableau1[[#This Row],[Vente lunette]:[Location lunette]])</f>
        <v>0</v>
      </c>
      <c r="Y276" s="55"/>
      <c r="Z276" s="55"/>
      <c r="AA276" s="55"/>
      <c r="AB276" s="55"/>
      <c r="AC276" s="56">
        <f t="shared" si="157"/>
        <v>0</v>
      </c>
      <c r="AD276" s="57"/>
      <c r="AE276" s="57"/>
      <c r="AF276" s="57"/>
      <c r="AG276" s="57"/>
      <c r="AH276" s="57"/>
      <c r="AI276" s="57"/>
      <c r="AJ276" s="118">
        <f>(Tableau1[[#This Row],[Recette guichet ]]*1.1275177)-Tableau1[[#This Row],[Recette guichet ]]</f>
        <v>0</v>
      </c>
      <c r="AK276" s="57"/>
      <c r="AL276" s="56">
        <f t="shared" si="158"/>
        <v>0</v>
      </c>
      <c r="AM276" s="58"/>
      <c r="AN276" s="58"/>
      <c r="AO276" s="58"/>
      <c r="AP276" s="115">
        <f t="shared" si="168"/>
        <v>0</v>
      </c>
      <c r="AQ276" s="69"/>
      <c r="AR276" s="69"/>
      <c r="AS276" s="69"/>
      <c r="AT276" s="69"/>
      <c r="AU276" s="59">
        <f t="shared" si="169"/>
        <v>0</v>
      </c>
      <c r="AV276" s="60">
        <f t="shared" si="170"/>
        <v>0</v>
      </c>
      <c r="AW276" s="58"/>
      <c r="AX276" s="58"/>
      <c r="AY276" s="58"/>
      <c r="AZ276" s="60">
        <f t="shared" si="160"/>
        <v>0</v>
      </c>
      <c r="BA276" s="58"/>
      <c r="BB276" s="58"/>
      <c r="BC276" s="58"/>
      <c r="BD276" s="60">
        <f>SUM(Tableau1[[#This Row],[ticket/carte/abonnement périmé]:[Autres ou non précisé 5]])</f>
        <v>0</v>
      </c>
      <c r="BE276" s="58"/>
      <c r="BF276" s="58"/>
      <c r="BG276" s="58"/>
      <c r="BH276" s="61">
        <f t="shared" si="171"/>
        <v>0</v>
      </c>
      <c r="BI276" s="120"/>
      <c r="BJ276" s="120"/>
      <c r="BK276" s="62">
        <f t="shared" si="172"/>
        <v>0</v>
      </c>
      <c r="BL276" s="120"/>
      <c r="BM276" s="120"/>
      <c r="BN276" s="120"/>
      <c r="BO276" s="120"/>
      <c r="BP276" s="120"/>
      <c r="BQ276" s="63"/>
      <c r="BR276" s="52">
        <f t="shared" si="173"/>
        <v>0</v>
      </c>
      <c r="BS276" s="52">
        <f t="shared" si="174"/>
        <v>0</v>
      </c>
      <c r="BT276" s="61">
        <f t="shared" si="175"/>
        <v>0</v>
      </c>
      <c r="BU276" s="64">
        <f t="shared" si="176"/>
        <v>0</v>
      </c>
      <c r="BV276" s="119">
        <f>SUM(Tableau1[[#This Row],[Achats confiserie]:[Achats boisson]])</f>
        <v>0</v>
      </c>
      <c r="BW276" s="58"/>
      <c r="BX276" s="69"/>
      <c r="BY276" s="58"/>
      <c r="BZ276" s="56">
        <f t="shared" si="177"/>
        <v>0</v>
      </c>
      <c r="CA276" s="66"/>
      <c r="CB276" s="66"/>
      <c r="CC276" s="56">
        <f t="shared" si="178"/>
        <v>0</v>
      </c>
      <c r="CD276" s="55"/>
      <c r="CE276" s="65"/>
      <c r="CF276" s="55"/>
      <c r="CG276" s="55"/>
      <c r="CH276" s="67">
        <f t="shared" si="179"/>
        <v>0</v>
      </c>
      <c r="CI276" s="68">
        <f t="shared" si="195"/>
        <v>0</v>
      </c>
      <c r="CJ276" s="55"/>
      <c r="CK276" s="55"/>
      <c r="CL276" s="55"/>
      <c r="CM276" s="55"/>
      <c r="CN276" s="55"/>
      <c r="CO276" s="68">
        <f t="shared" si="180"/>
        <v>0</v>
      </c>
      <c r="CP276" s="75">
        <f>SUM(Tableau1[[#This Row],[Fourniture eau]:[Energie (non précisé)]])</f>
        <v>0</v>
      </c>
      <c r="CQ276" s="55"/>
      <c r="CR276" s="55"/>
      <c r="CS276" s="55"/>
      <c r="CT276" s="55"/>
      <c r="CU276" s="55"/>
      <c r="CV276" s="55">
        <v>0</v>
      </c>
      <c r="CW276" s="55"/>
      <c r="CX276" s="68">
        <f>SUM(Tableau1[[#This Row],[Sous-traitance]:[Autres ou non précisé 12]])</f>
        <v>0</v>
      </c>
      <c r="CY276" s="65"/>
      <c r="CZ276" s="65"/>
      <c r="DA276" s="65"/>
      <c r="DB276" s="65"/>
      <c r="DC276" s="55"/>
      <c r="DD276" s="68">
        <f t="shared" si="161"/>
        <v>0</v>
      </c>
      <c r="DE276" s="55"/>
      <c r="DF276" s="65"/>
      <c r="DG276" s="65"/>
      <c r="DH276" s="65"/>
      <c r="DI276" s="68">
        <f>SUM(Tableau1[[#This Row],[Entretien et réparation matériel de projection]:[Autres ou non précisé 14]])</f>
        <v>0</v>
      </c>
      <c r="DJ276" s="58"/>
      <c r="DK276" s="58"/>
      <c r="DL276" s="69"/>
      <c r="DM276" s="68">
        <f t="shared" si="181"/>
        <v>0</v>
      </c>
      <c r="DN276" s="58"/>
      <c r="DO276" s="58"/>
      <c r="DP276" s="68">
        <f t="shared" si="182"/>
        <v>0</v>
      </c>
      <c r="DQ276" s="65"/>
      <c r="DR276" s="65"/>
      <c r="DS276" s="68">
        <f t="shared" si="183"/>
        <v>0</v>
      </c>
      <c r="DT276" s="65"/>
      <c r="DU276" s="65"/>
      <c r="DV276" s="65"/>
      <c r="DW276" s="68">
        <f>SUM(Tableau1[[#This Row],[Comission et courtage sur achats]:[Autres ou honoraires
 non précisé ]])</f>
        <v>0</v>
      </c>
      <c r="DX276" s="57"/>
      <c r="DY276" s="57"/>
      <c r="DZ276" s="65"/>
      <c r="EA276" s="65"/>
      <c r="EB276" s="65"/>
      <c r="EC276" s="68">
        <f t="shared" si="184"/>
        <v>0</v>
      </c>
      <c r="ED276" s="69"/>
      <c r="EE276" s="69"/>
      <c r="EF276" s="69"/>
      <c r="EG276" s="69"/>
      <c r="EH276" s="69"/>
      <c r="EI276" s="84">
        <f>SUM(Tableau1[[#This Row],[Transports sur films]:[autres ]])</f>
        <v>0</v>
      </c>
      <c r="EJ276" s="132">
        <v>0</v>
      </c>
      <c r="EK276" s="132"/>
      <c r="EL276" s="68">
        <f t="shared" si="185"/>
        <v>0</v>
      </c>
      <c r="EM276" s="65"/>
      <c r="EN276" s="65">
        <v>0</v>
      </c>
      <c r="EO276" s="65"/>
      <c r="EP276" s="65"/>
      <c r="EQ276" s="65"/>
      <c r="ER276" s="65"/>
      <c r="ES276" s="65"/>
      <c r="ET276" s="68">
        <f t="shared" si="186"/>
        <v>0</v>
      </c>
      <c r="EU276" s="65"/>
      <c r="EV276" s="65"/>
      <c r="EW276" s="65"/>
      <c r="EX276" s="65"/>
      <c r="EY276" s="65"/>
      <c r="EZ276" s="68">
        <f t="shared" si="163"/>
        <v>0</v>
      </c>
      <c r="FA276" s="65"/>
      <c r="FB276" s="65"/>
      <c r="FC276" s="70">
        <f t="shared" si="162"/>
        <v>0</v>
      </c>
      <c r="FD276" s="65"/>
      <c r="FE276" s="71">
        <f t="shared" si="187"/>
        <v>0</v>
      </c>
      <c r="FF276" s="72">
        <f t="shared" si="188"/>
        <v>0</v>
      </c>
      <c r="FG276" s="65"/>
      <c r="FH276" s="65"/>
      <c r="FI276" s="65"/>
      <c r="FJ276" s="56">
        <f t="shared" si="189"/>
        <v>0</v>
      </c>
      <c r="FK276" s="65"/>
      <c r="FL276" s="65"/>
      <c r="FM276" s="65"/>
      <c r="FN276" s="65"/>
      <c r="FO276" s="67">
        <f t="shared" si="190"/>
        <v>0</v>
      </c>
      <c r="FP276" s="57"/>
      <c r="FQ276" s="73"/>
      <c r="FR276" s="73"/>
      <c r="FS276" s="71">
        <f t="shared" si="191"/>
        <v>0</v>
      </c>
      <c r="FT276" s="91"/>
      <c r="FU276" s="91"/>
      <c r="FV276" s="67">
        <f>SUM(Tableau1[[#This Row],[Droits d''auteurs SACEM + cotisations SACEM]:[Autres ou non préciés]])</f>
        <v>0</v>
      </c>
      <c r="FW276" s="75">
        <f t="shared" si="192"/>
        <v>0</v>
      </c>
      <c r="FX276" s="74">
        <v>0</v>
      </c>
      <c r="FY276" s="74"/>
      <c r="FZ276" s="74"/>
      <c r="GA276" s="74"/>
      <c r="GB276" s="71">
        <f t="shared" si="193"/>
        <v>0</v>
      </c>
      <c r="GC276" s="92"/>
      <c r="GD276" s="92"/>
      <c r="GE276" s="67">
        <f t="shared" si="194"/>
        <v>0</v>
      </c>
      <c r="GF276" s="66"/>
      <c r="GG276" s="66"/>
      <c r="GH276" s="66"/>
      <c r="GI276" s="66"/>
      <c r="GJ276" s="77"/>
    </row>
    <row r="277" spans="1:192" ht="18.600000000000001" customHeight="1" x14ac:dyDescent="0.25">
      <c r="A277" s="89"/>
      <c r="B277" s="17"/>
      <c r="C277" s="50"/>
      <c r="D277" s="140"/>
      <c r="E277" s="51"/>
      <c r="F277" s="139">
        <f t="shared" si="159"/>
        <v>1</v>
      </c>
      <c r="G277" s="49"/>
      <c r="H277" s="50"/>
      <c r="I277" s="122"/>
      <c r="J277" s="49"/>
      <c r="K277" s="50"/>
      <c r="L277" s="50"/>
      <c r="M277" s="90"/>
      <c r="N277" s="50"/>
      <c r="O277" s="50"/>
      <c r="P277" s="90"/>
      <c r="Q277" s="52">
        <f t="shared" si="164"/>
        <v>0</v>
      </c>
      <c r="R277" s="52">
        <f t="shared" si="165"/>
        <v>0</v>
      </c>
      <c r="S277" s="53">
        <f t="shared" si="166"/>
        <v>0</v>
      </c>
      <c r="T277" s="54">
        <f t="shared" si="167"/>
        <v>0</v>
      </c>
      <c r="U277" s="115">
        <f>SUM(Tableau1[[#This Row],[Vente confiserie]:[Vente boisson]])</f>
        <v>0</v>
      </c>
      <c r="V277" s="55"/>
      <c r="W277" s="55"/>
      <c r="X277" s="135">
        <f>SUM(Tableau1[[#This Row],[Vente lunette]:[Location lunette]])</f>
        <v>0</v>
      </c>
      <c r="Y277" s="55"/>
      <c r="Z277" s="55"/>
      <c r="AA277" s="55"/>
      <c r="AB277" s="55"/>
      <c r="AC277" s="56">
        <f t="shared" ref="AC277:AC340" si="196">SUM(AD277:AI277,AK277)</f>
        <v>0</v>
      </c>
      <c r="AD277" s="57"/>
      <c r="AE277" s="57"/>
      <c r="AF277" s="57"/>
      <c r="AG277" s="57"/>
      <c r="AH277" s="57"/>
      <c r="AI277" s="57"/>
      <c r="AJ277" s="118">
        <f>(Tableau1[[#This Row],[Recette guichet ]]*1.1275177)-Tableau1[[#This Row],[Recette guichet ]]</f>
        <v>0</v>
      </c>
      <c r="AK277" s="57"/>
      <c r="AL277" s="56">
        <f t="shared" si="158"/>
        <v>0</v>
      </c>
      <c r="AM277" s="58"/>
      <c r="AN277" s="58"/>
      <c r="AO277" s="58"/>
      <c r="AP277" s="115">
        <f t="shared" si="168"/>
        <v>0</v>
      </c>
      <c r="AQ277" s="69"/>
      <c r="AR277" s="69"/>
      <c r="AS277" s="69"/>
      <c r="AT277" s="69"/>
      <c r="AU277" s="59">
        <f t="shared" si="169"/>
        <v>0</v>
      </c>
      <c r="AV277" s="60">
        <f t="shared" si="170"/>
        <v>0</v>
      </c>
      <c r="AW277" s="58"/>
      <c r="AX277" s="58"/>
      <c r="AY277" s="58"/>
      <c r="AZ277" s="60">
        <f t="shared" si="160"/>
        <v>0</v>
      </c>
      <c r="BA277" s="58"/>
      <c r="BB277" s="58"/>
      <c r="BC277" s="58"/>
      <c r="BD277" s="60">
        <f>SUM(Tableau1[[#This Row],[ticket/carte/abonnement périmé]:[Autres ou non précisé 5]])</f>
        <v>0</v>
      </c>
      <c r="BE277" s="58"/>
      <c r="BF277" s="58"/>
      <c r="BG277" s="58"/>
      <c r="BH277" s="61">
        <f t="shared" si="171"/>
        <v>0</v>
      </c>
      <c r="BI277" s="120"/>
      <c r="BJ277" s="120"/>
      <c r="BK277" s="62">
        <f t="shared" si="172"/>
        <v>0</v>
      </c>
      <c r="BL277" s="120"/>
      <c r="BM277" s="120"/>
      <c r="BN277" s="120"/>
      <c r="BO277" s="120"/>
      <c r="BP277" s="120"/>
      <c r="BQ277" s="63"/>
      <c r="BR277" s="52">
        <f t="shared" si="173"/>
        <v>0</v>
      </c>
      <c r="BS277" s="52">
        <f t="shared" si="174"/>
        <v>0</v>
      </c>
      <c r="BT277" s="61">
        <f t="shared" si="175"/>
        <v>0</v>
      </c>
      <c r="BU277" s="64">
        <f t="shared" si="176"/>
        <v>0</v>
      </c>
      <c r="BV277" s="119">
        <f>SUM(Tableau1[[#This Row],[Achats confiserie]:[Achats boisson]])</f>
        <v>0</v>
      </c>
      <c r="BW277" s="58"/>
      <c r="BX277" s="69"/>
      <c r="BY277" s="58"/>
      <c r="BZ277" s="56">
        <f t="shared" si="177"/>
        <v>0</v>
      </c>
      <c r="CA277" s="66"/>
      <c r="CB277" s="66"/>
      <c r="CC277" s="56">
        <f t="shared" si="178"/>
        <v>0</v>
      </c>
      <c r="CD277" s="55"/>
      <c r="CE277" s="65"/>
      <c r="CF277" s="55"/>
      <c r="CG277" s="55"/>
      <c r="CH277" s="67">
        <f t="shared" si="179"/>
        <v>0</v>
      </c>
      <c r="CI277" s="68">
        <f t="shared" si="195"/>
        <v>0</v>
      </c>
      <c r="CJ277" s="55"/>
      <c r="CK277" s="55"/>
      <c r="CL277" s="55"/>
      <c r="CM277" s="55"/>
      <c r="CN277" s="55"/>
      <c r="CO277" s="68">
        <f t="shared" si="180"/>
        <v>0</v>
      </c>
      <c r="CP277" s="75">
        <f>SUM(Tableau1[[#This Row],[Fourniture eau]:[Energie (non précisé)]])</f>
        <v>0</v>
      </c>
      <c r="CQ277" s="55"/>
      <c r="CR277" s="55"/>
      <c r="CS277" s="55"/>
      <c r="CT277" s="55"/>
      <c r="CU277" s="55"/>
      <c r="CV277" s="55">
        <v>0</v>
      </c>
      <c r="CW277" s="55"/>
      <c r="CX277" s="68">
        <f>SUM(Tableau1[[#This Row],[Sous-traitance]:[Autres ou non précisé 12]])</f>
        <v>0</v>
      </c>
      <c r="CY277" s="65"/>
      <c r="CZ277" s="65"/>
      <c r="DA277" s="65"/>
      <c r="DB277" s="65"/>
      <c r="DC277" s="55"/>
      <c r="DD277" s="68">
        <f t="shared" si="161"/>
        <v>0</v>
      </c>
      <c r="DE277" s="55"/>
      <c r="DF277" s="65"/>
      <c r="DG277" s="65"/>
      <c r="DH277" s="65"/>
      <c r="DI277" s="68">
        <f>SUM(Tableau1[[#This Row],[Entretien et réparation matériel de projection]:[Autres ou non précisé 14]])</f>
        <v>0</v>
      </c>
      <c r="DJ277" s="58"/>
      <c r="DK277" s="58"/>
      <c r="DL277" s="69"/>
      <c r="DM277" s="68">
        <f t="shared" si="181"/>
        <v>0</v>
      </c>
      <c r="DN277" s="58"/>
      <c r="DO277" s="58"/>
      <c r="DP277" s="68">
        <f t="shared" si="182"/>
        <v>0</v>
      </c>
      <c r="DQ277" s="65"/>
      <c r="DR277" s="65"/>
      <c r="DS277" s="68">
        <f t="shared" si="183"/>
        <v>0</v>
      </c>
      <c r="DT277" s="65"/>
      <c r="DU277" s="65"/>
      <c r="DV277" s="65"/>
      <c r="DW277" s="68">
        <f>SUM(Tableau1[[#This Row],[Comission et courtage sur achats]:[Autres ou honoraires
 non précisé ]])</f>
        <v>0</v>
      </c>
      <c r="DX277" s="57"/>
      <c r="DY277" s="57"/>
      <c r="DZ277" s="65"/>
      <c r="EA277" s="65"/>
      <c r="EB277" s="65"/>
      <c r="EC277" s="68">
        <f t="shared" si="184"/>
        <v>0</v>
      </c>
      <c r="ED277" s="69"/>
      <c r="EE277" s="69"/>
      <c r="EF277" s="69"/>
      <c r="EG277" s="69"/>
      <c r="EH277" s="69"/>
      <c r="EI277" s="84">
        <f>SUM(Tableau1[[#This Row],[Transports sur films]:[autres ]])</f>
        <v>0</v>
      </c>
      <c r="EJ277" s="132">
        <v>0</v>
      </c>
      <c r="EK277" s="132"/>
      <c r="EL277" s="68">
        <f t="shared" si="185"/>
        <v>0</v>
      </c>
      <c r="EM277" s="65"/>
      <c r="EN277" s="65">
        <v>0</v>
      </c>
      <c r="EO277" s="65"/>
      <c r="EP277" s="65"/>
      <c r="EQ277" s="65"/>
      <c r="ER277" s="65"/>
      <c r="ES277" s="65"/>
      <c r="ET277" s="68">
        <f t="shared" si="186"/>
        <v>0</v>
      </c>
      <c r="EU277" s="65"/>
      <c r="EV277" s="65"/>
      <c r="EW277" s="65"/>
      <c r="EX277" s="65"/>
      <c r="EY277" s="65"/>
      <c r="EZ277" s="68">
        <f t="shared" si="163"/>
        <v>0</v>
      </c>
      <c r="FA277" s="65"/>
      <c r="FB277" s="65"/>
      <c r="FC277" s="70">
        <f t="shared" si="162"/>
        <v>0</v>
      </c>
      <c r="FD277" s="65"/>
      <c r="FE277" s="71">
        <f t="shared" si="187"/>
        <v>0</v>
      </c>
      <c r="FF277" s="72">
        <f t="shared" si="188"/>
        <v>0</v>
      </c>
      <c r="FG277" s="65"/>
      <c r="FH277" s="65"/>
      <c r="FI277" s="65"/>
      <c r="FJ277" s="56">
        <f t="shared" si="189"/>
        <v>0</v>
      </c>
      <c r="FK277" s="65"/>
      <c r="FL277" s="65"/>
      <c r="FM277" s="65"/>
      <c r="FN277" s="65"/>
      <c r="FO277" s="67">
        <f t="shared" si="190"/>
        <v>0</v>
      </c>
      <c r="FP277" s="57"/>
      <c r="FQ277" s="73"/>
      <c r="FR277" s="73"/>
      <c r="FS277" s="71">
        <f t="shared" si="191"/>
        <v>0</v>
      </c>
      <c r="FT277" s="91"/>
      <c r="FU277" s="91"/>
      <c r="FV277" s="67">
        <f>SUM(Tableau1[[#This Row],[Droits d''auteurs SACEM + cotisations SACEM]:[Autres ou non préciés]])</f>
        <v>0</v>
      </c>
      <c r="FW277" s="75">
        <f t="shared" si="192"/>
        <v>0</v>
      </c>
      <c r="FX277" s="74">
        <v>0</v>
      </c>
      <c r="FY277" s="74"/>
      <c r="FZ277" s="74"/>
      <c r="GA277" s="74"/>
      <c r="GB277" s="71">
        <f t="shared" si="193"/>
        <v>0</v>
      </c>
      <c r="GC277" s="92"/>
      <c r="GD277" s="92"/>
      <c r="GE277" s="67">
        <f t="shared" si="194"/>
        <v>0</v>
      </c>
      <c r="GF277" s="66"/>
      <c r="GG277" s="66"/>
      <c r="GH277" s="66"/>
      <c r="GI277" s="66"/>
      <c r="GJ277" s="77"/>
    </row>
    <row r="278" spans="1:192" ht="18.600000000000001" customHeight="1" x14ac:dyDescent="0.25">
      <c r="A278" s="89"/>
      <c r="B278" s="17"/>
      <c r="C278" s="50"/>
      <c r="D278" s="140"/>
      <c r="E278" s="51"/>
      <c r="F278" s="139">
        <f t="shared" si="159"/>
        <v>1</v>
      </c>
      <c r="G278" s="49"/>
      <c r="H278" s="50"/>
      <c r="I278" s="122"/>
      <c r="J278" s="49"/>
      <c r="K278" s="50"/>
      <c r="L278" s="50"/>
      <c r="M278" s="90"/>
      <c r="N278" s="50"/>
      <c r="O278" s="50"/>
      <c r="P278" s="90"/>
      <c r="Q278" s="52">
        <f t="shared" si="164"/>
        <v>0</v>
      </c>
      <c r="R278" s="52">
        <f t="shared" si="165"/>
        <v>0</v>
      </c>
      <c r="S278" s="53">
        <f t="shared" si="166"/>
        <v>0</v>
      </c>
      <c r="T278" s="54">
        <f t="shared" si="167"/>
        <v>0</v>
      </c>
      <c r="U278" s="115">
        <f>SUM(Tableau1[[#This Row],[Vente confiserie]:[Vente boisson]])</f>
        <v>0</v>
      </c>
      <c r="V278" s="55"/>
      <c r="W278" s="55"/>
      <c r="X278" s="135">
        <f>SUM(Tableau1[[#This Row],[Vente lunette]:[Location lunette]])</f>
        <v>0</v>
      </c>
      <c r="Y278" s="55"/>
      <c r="Z278" s="55"/>
      <c r="AA278" s="55"/>
      <c r="AB278" s="55"/>
      <c r="AC278" s="56">
        <f t="shared" si="196"/>
        <v>0</v>
      </c>
      <c r="AD278" s="57"/>
      <c r="AE278" s="57"/>
      <c r="AF278" s="57"/>
      <c r="AG278" s="57"/>
      <c r="AH278" s="57"/>
      <c r="AI278" s="57"/>
      <c r="AJ278" s="118">
        <f>(Tableau1[[#This Row],[Recette guichet ]]*1.1275177)-Tableau1[[#This Row],[Recette guichet ]]</f>
        <v>0</v>
      </c>
      <c r="AK278" s="57"/>
      <c r="AL278" s="56">
        <f t="shared" si="158"/>
        <v>0</v>
      </c>
      <c r="AM278" s="58"/>
      <c r="AN278" s="58"/>
      <c r="AO278" s="58"/>
      <c r="AP278" s="115">
        <f t="shared" si="168"/>
        <v>0</v>
      </c>
      <c r="AQ278" s="69"/>
      <c r="AR278" s="69"/>
      <c r="AS278" s="69"/>
      <c r="AT278" s="69"/>
      <c r="AU278" s="59">
        <f t="shared" si="169"/>
        <v>0</v>
      </c>
      <c r="AV278" s="60">
        <f t="shared" si="170"/>
        <v>0</v>
      </c>
      <c r="AW278" s="58"/>
      <c r="AX278" s="58"/>
      <c r="AY278" s="58"/>
      <c r="AZ278" s="60">
        <f t="shared" si="160"/>
        <v>0</v>
      </c>
      <c r="BA278" s="58"/>
      <c r="BB278" s="58"/>
      <c r="BC278" s="58"/>
      <c r="BD278" s="60">
        <f>SUM(Tableau1[[#This Row],[ticket/carte/abonnement périmé]:[Autres ou non précisé 5]])</f>
        <v>0</v>
      </c>
      <c r="BE278" s="58"/>
      <c r="BF278" s="58"/>
      <c r="BG278" s="58"/>
      <c r="BH278" s="61">
        <f t="shared" si="171"/>
        <v>0</v>
      </c>
      <c r="BI278" s="120"/>
      <c r="BJ278" s="120"/>
      <c r="BK278" s="62">
        <f t="shared" si="172"/>
        <v>0</v>
      </c>
      <c r="BL278" s="120"/>
      <c r="BM278" s="120"/>
      <c r="BN278" s="120"/>
      <c r="BO278" s="120"/>
      <c r="BP278" s="120"/>
      <c r="BQ278" s="63"/>
      <c r="BR278" s="52">
        <f t="shared" si="173"/>
        <v>0</v>
      </c>
      <c r="BS278" s="52">
        <f t="shared" si="174"/>
        <v>0</v>
      </c>
      <c r="BT278" s="61">
        <f t="shared" si="175"/>
        <v>0</v>
      </c>
      <c r="BU278" s="64">
        <f t="shared" si="176"/>
        <v>0</v>
      </c>
      <c r="BV278" s="119">
        <f>SUM(Tableau1[[#This Row],[Achats confiserie]:[Achats boisson]])</f>
        <v>0</v>
      </c>
      <c r="BW278" s="58"/>
      <c r="BX278" s="69"/>
      <c r="BY278" s="58"/>
      <c r="BZ278" s="56">
        <f t="shared" si="177"/>
        <v>0</v>
      </c>
      <c r="CA278" s="66"/>
      <c r="CB278" s="66"/>
      <c r="CC278" s="56">
        <f t="shared" si="178"/>
        <v>0</v>
      </c>
      <c r="CD278" s="55"/>
      <c r="CE278" s="65"/>
      <c r="CF278" s="55"/>
      <c r="CG278" s="55"/>
      <c r="CH278" s="67">
        <f t="shared" si="179"/>
        <v>0</v>
      </c>
      <c r="CI278" s="68">
        <f t="shared" si="195"/>
        <v>0</v>
      </c>
      <c r="CJ278" s="55"/>
      <c r="CK278" s="55"/>
      <c r="CL278" s="55"/>
      <c r="CM278" s="55"/>
      <c r="CN278" s="55"/>
      <c r="CO278" s="68">
        <f t="shared" si="180"/>
        <v>0</v>
      </c>
      <c r="CP278" s="75">
        <f>SUM(Tableau1[[#This Row],[Fourniture eau]:[Energie (non précisé)]])</f>
        <v>0</v>
      </c>
      <c r="CQ278" s="55"/>
      <c r="CR278" s="55"/>
      <c r="CS278" s="55"/>
      <c r="CT278" s="55"/>
      <c r="CU278" s="55"/>
      <c r="CV278" s="55">
        <v>0</v>
      </c>
      <c r="CW278" s="55"/>
      <c r="CX278" s="68">
        <f>SUM(Tableau1[[#This Row],[Sous-traitance]:[Autres ou non précisé 12]])</f>
        <v>0</v>
      </c>
      <c r="CY278" s="65"/>
      <c r="CZ278" s="65"/>
      <c r="DA278" s="65"/>
      <c r="DB278" s="65"/>
      <c r="DC278" s="55"/>
      <c r="DD278" s="68">
        <f t="shared" si="161"/>
        <v>0</v>
      </c>
      <c r="DE278" s="55"/>
      <c r="DF278" s="65"/>
      <c r="DG278" s="65"/>
      <c r="DH278" s="65"/>
      <c r="DI278" s="68">
        <f>SUM(Tableau1[[#This Row],[Entretien et réparation matériel de projection]:[Autres ou non précisé 14]])</f>
        <v>0</v>
      </c>
      <c r="DJ278" s="58"/>
      <c r="DK278" s="58"/>
      <c r="DL278" s="69"/>
      <c r="DM278" s="68">
        <f t="shared" si="181"/>
        <v>0</v>
      </c>
      <c r="DN278" s="58"/>
      <c r="DO278" s="58"/>
      <c r="DP278" s="68">
        <f t="shared" si="182"/>
        <v>0</v>
      </c>
      <c r="DQ278" s="65"/>
      <c r="DR278" s="65"/>
      <c r="DS278" s="68">
        <f t="shared" si="183"/>
        <v>0</v>
      </c>
      <c r="DT278" s="65"/>
      <c r="DU278" s="65"/>
      <c r="DV278" s="65"/>
      <c r="DW278" s="68">
        <f>SUM(Tableau1[[#This Row],[Comission et courtage sur achats]:[Autres ou honoraires
 non précisé ]])</f>
        <v>0</v>
      </c>
      <c r="DX278" s="57"/>
      <c r="DY278" s="57"/>
      <c r="DZ278" s="65"/>
      <c r="EA278" s="65"/>
      <c r="EB278" s="65"/>
      <c r="EC278" s="68">
        <f t="shared" si="184"/>
        <v>0</v>
      </c>
      <c r="ED278" s="69"/>
      <c r="EE278" s="69"/>
      <c r="EF278" s="69"/>
      <c r="EG278" s="69"/>
      <c r="EH278" s="69"/>
      <c r="EI278" s="84">
        <f>SUM(Tableau1[[#This Row],[Transports sur films]:[autres ]])</f>
        <v>0</v>
      </c>
      <c r="EJ278" s="132">
        <v>0</v>
      </c>
      <c r="EK278" s="132"/>
      <c r="EL278" s="68">
        <f t="shared" si="185"/>
        <v>0</v>
      </c>
      <c r="EM278" s="65"/>
      <c r="EN278" s="65">
        <v>0</v>
      </c>
      <c r="EO278" s="65"/>
      <c r="EP278" s="65"/>
      <c r="EQ278" s="65"/>
      <c r="ER278" s="65"/>
      <c r="ES278" s="65"/>
      <c r="ET278" s="68">
        <f t="shared" si="186"/>
        <v>0</v>
      </c>
      <c r="EU278" s="65"/>
      <c r="EV278" s="65"/>
      <c r="EW278" s="65"/>
      <c r="EX278" s="65"/>
      <c r="EY278" s="65"/>
      <c r="EZ278" s="68">
        <f t="shared" si="163"/>
        <v>0</v>
      </c>
      <c r="FA278" s="65"/>
      <c r="FB278" s="65"/>
      <c r="FC278" s="70">
        <f t="shared" si="162"/>
        <v>0</v>
      </c>
      <c r="FD278" s="65"/>
      <c r="FE278" s="71">
        <f t="shared" si="187"/>
        <v>0</v>
      </c>
      <c r="FF278" s="72">
        <f t="shared" si="188"/>
        <v>0</v>
      </c>
      <c r="FG278" s="65"/>
      <c r="FH278" s="65"/>
      <c r="FI278" s="65"/>
      <c r="FJ278" s="56">
        <f t="shared" si="189"/>
        <v>0</v>
      </c>
      <c r="FK278" s="65"/>
      <c r="FL278" s="65"/>
      <c r="FM278" s="65"/>
      <c r="FN278" s="65"/>
      <c r="FO278" s="67">
        <f t="shared" si="190"/>
        <v>0</v>
      </c>
      <c r="FP278" s="57"/>
      <c r="FQ278" s="73"/>
      <c r="FR278" s="73"/>
      <c r="FS278" s="71">
        <f t="shared" si="191"/>
        <v>0</v>
      </c>
      <c r="FT278" s="91"/>
      <c r="FU278" s="91"/>
      <c r="FV278" s="67">
        <f>SUM(Tableau1[[#This Row],[Droits d''auteurs SACEM + cotisations SACEM]:[Autres ou non préciés]])</f>
        <v>0</v>
      </c>
      <c r="FW278" s="75">
        <f t="shared" si="192"/>
        <v>0</v>
      </c>
      <c r="FX278" s="74">
        <v>0</v>
      </c>
      <c r="FY278" s="74"/>
      <c r="FZ278" s="74"/>
      <c r="GA278" s="74"/>
      <c r="GB278" s="71">
        <f t="shared" si="193"/>
        <v>0</v>
      </c>
      <c r="GC278" s="92"/>
      <c r="GD278" s="92"/>
      <c r="GE278" s="67">
        <f t="shared" si="194"/>
        <v>0</v>
      </c>
      <c r="GF278" s="66"/>
      <c r="GG278" s="66"/>
      <c r="GH278" s="66"/>
      <c r="GI278" s="66"/>
      <c r="GJ278" s="77"/>
    </row>
    <row r="279" spans="1:192" ht="18.600000000000001" customHeight="1" x14ac:dyDescent="0.25">
      <c r="A279" s="89"/>
      <c r="B279" s="17"/>
      <c r="C279" s="50"/>
      <c r="D279" s="140"/>
      <c r="E279" s="51"/>
      <c r="F279" s="139">
        <f t="shared" si="159"/>
        <v>1</v>
      </c>
      <c r="G279" s="49"/>
      <c r="H279" s="50"/>
      <c r="I279" s="122"/>
      <c r="J279" s="49"/>
      <c r="K279" s="50"/>
      <c r="L279" s="50"/>
      <c r="M279" s="90"/>
      <c r="N279" s="50"/>
      <c r="O279" s="50"/>
      <c r="P279" s="90"/>
      <c r="Q279" s="52">
        <f t="shared" si="164"/>
        <v>0</v>
      </c>
      <c r="R279" s="52">
        <f t="shared" si="165"/>
        <v>0</v>
      </c>
      <c r="S279" s="53">
        <f t="shared" si="166"/>
        <v>0</v>
      </c>
      <c r="T279" s="54">
        <f t="shared" si="167"/>
        <v>0</v>
      </c>
      <c r="U279" s="115">
        <f>SUM(Tableau1[[#This Row],[Vente confiserie]:[Vente boisson]])</f>
        <v>0</v>
      </c>
      <c r="V279" s="55"/>
      <c r="W279" s="55"/>
      <c r="X279" s="135">
        <f>SUM(Tableau1[[#This Row],[Vente lunette]:[Location lunette]])</f>
        <v>0</v>
      </c>
      <c r="Y279" s="55"/>
      <c r="Z279" s="55"/>
      <c r="AA279" s="55"/>
      <c r="AB279" s="55"/>
      <c r="AC279" s="56">
        <f t="shared" si="196"/>
        <v>0</v>
      </c>
      <c r="AD279" s="57"/>
      <c r="AE279" s="57"/>
      <c r="AF279" s="57"/>
      <c r="AG279" s="57"/>
      <c r="AH279" s="57"/>
      <c r="AI279" s="57"/>
      <c r="AJ279" s="118">
        <f>(Tableau1[[#This Row],[Recette guichet ]]*1.1275177)-Tableau1[[#This Row],[Recette guichet ]]</f>
        <v>0</v>
      </c>
      <c r="AK279" s="57"/>
      <c r="AL279" s="56">
        <f t="shared" ref="AL279:AL342" si="197">SUM(AM279:AO279,AQ279:AT279)</f>
        <v>0</v>
      </c>
      <c r="AM279" s="58"/>
      <c r="AN279" s="58"/>
      <c r="AO279" s="58"/>
      <c r="AP279" s="115">
        <f t="shared" si="168"/>
        <v>0</v>
      </c>
      <c r="AQ279" s="69"/>
      <c r="AR279" s="69"/>
      <c r="AS279" s="69"/>
      <c r="AT279" s="69"/>
      <c r="AU279" s="59">
        <f t="shared" si="169"/>
        <v>0</v>
      </c>
      <c r="AV279" s="60">
        <f t="shared" si="170"/>
        <v>0</v>
      </c>
      <c r="AW279" s="58"/>
      <c r="AX279" s="58"/>
      <c r="AY279" s="58"/>
      <c r="AZ279" s="60">
        <f t="shared" si="160"/>
        <v>0</v>
      </c>
      <c r="BA279" s="58"/>
      <c r="BB279" s="58"/>
      <c r="BC279" s="58"/>
      <c r="BD279" s="60">
        <f>SUM(Tableau1[[#This Row],[ticket/carte/abonnement périmé]:[Autres ou non précisé 5]])</f>
        <v>0</v>
      </c>
      <c r="BE279" s="58"/>
      <c r="BF279" s="58"/>
      <c r="BG279" s="58"/>
      <c r="BH279" s="61">
        <f t="shared" si="171"/>
        <v>0</v>
      </c>
      <c r="BI279" s="120"/>
      <c r="BJ279" s="120"/>
      <c r="BK279" s="62">
        <f t="shared" si="172"/>
        <v>0</v>
      </c>
      <c r="BL279" s="120"/>
      <c r="BM279" s="120"/>
      <c r="BN279" s="120"/>
      <c r="BO279" s="120"/>
      <c r="BP279" s="120"/>
      <c r="BQ279" s="63"/>
      <c r="BR279" s="52">
        <f t="shared" si="173"/>
        <v>0</v>
      </c>
      <c r="BS279" s="52">
        <f t="shared" si="174"/>
        <v>0</v>
      </c>
      <c r="BT279" s="61">
        <f t="shared" si="175"/>
        <v>0</v>
      </c>
      <c r="BU279" s="64">
        <f t="shared" si="176"/>
        <v>0</v>
      </c>
      <c r="BV279" s="119">
        <f>SUM(Tableau1[[#This Row],[Achats confiserie]:[Achats boisson]])</f>
        <v>0</v>
      </c>
      <c r="BW279" s="58"/>
      <c r="BX279" s="69"/>
      <c r="BY279" s="58"/>
      <c r="BZ279" s="56">
        <f t="shared" si="177"/>
        <v>0</v>
      </c>
      <c r="CA279" s="66"/>
      <c r="CB279" s="66"/>
      <c r="CC279" s="56">
        <f t="shared" si="178"/>
        <v>0</v>
      </c>
      <c r="CD279" s="55"/>
      <c r="CE279" s="65"/>
      <c r="CF279" s="55"/>
      <c r="CG279" s="55"/>
      <c r="CH279" s="67">
        <f t="shared" si="179"/>
        <v>0</v>
      </c>
      <c r="CI279" s="68">
        <f t="shared" si="195"/>
        <v>0</v>
      </c>
      <c r="CJ279" s="55"/>
      <c r="CK279" s="55"/>
      <c r="CL279" s="55"/>
      <c r="CM279" s="55"/>
      <c r="CN279" s="55"/>
      <c r="CO279" s="68">
        <f t="shared" si="180"/>
        <v>0</v>
      </c>
      <c r="CP279" s="75">
        <f>SUM(Tableau1[[#This Row],[Fourniture eau]:[Energie (non précisé)]])</f>
        <v>0</v>
      </c>
      <c r="CQ279" s="55"/>
      <c r="CR279" s="55"/>
      <c r="CS279" s="55"/>
      <c r="CT279" s="55"/>
      <c r="CU279" s="55"/>
      <c r="CV279" s="55">
        <v>0</v>
      </c>
      <c r="CW279" s="55"/>
      <c r="CX279" s="68">
        <f>SUM(Tableau1[[#This Row],[Sous-traitance]:[Autres ou non précisé 12]])</f>
        <v>0</v>
      </c>
      <c r="CY279" s="65"/>
      <c r="CZ279" s="65"/>
      <c r="DA279" s="65"/>
      <c r="DB279" s="65"/>
      <c r="DC279" s="55"/>
      <c r="DD279" s="68">
        <f t="shared" si="161"/>
        <v>0</v>
      </c>
      <c r="DE279" s="55"/>
      <c r="DF279" s="65"/>
      <c r="DG279" s="65"/>
      <c r="DH279" s="65"/>
      <c r="DI279" s="68">
        <f>SUM(Tableau1[[#This Row],[Entretien et réparation matériel de projection]:[Autres ou non précisé 14]])</f>
        <v>0</v>
      </c>
      <c r="DJ279" s="58"/>
      <c r="DK279" s="58"/>
      <c r="DL279" s="69"/>
      <c r="DM279" s="68">
        <f t="shared" si="181"/>
        <v>0</v>
      </c>
      <c r="DN279" s="58"/>
      <c r="DO279" s="58"/>
      <c r="DP279" s="68">
        <f t="shared" si="182"/>
        <v>0</v>
      </c>
      <c r="DQ279" s="65"/>
      <c r="DR279" s="65"/>
      <c r="DS279" s="68">
        <f t="shared" si="183"/>
        <v>0</v>
      </c>
      <c r="DT279" s="65"/>
      <c r="DU279" s="65"/>
      <c r="DV279" s="65"/>
      <c r="DW279" s="68">
        <f>SUM(Tableau1[[#This Row],[Comission et courtage sur achats]:[Autres ou honoraires
 non précisé ]])</f>
        <v>0</v>
      </c>
      <c r="DX279" s="57"/>
      <c r="DY279" s="57"/>
      <c r="DZ279" s="65"/>
      <c r="EA279" s="65"/>
      <c r="EB279" s="65"/>
      <c r="EC279" s="68">
        <f t="shared" si="184"/>
        <v>0</v>
      </c>
      <c r="ED279" s="69"/>
      <c r="EE279" s="69"/>
      <c r="EF279" s="69"/>
      <c r="EG279" s="69"/>
      <c r="EH279" s="69"/>
      <c r="EI279" s="84">
        <f>SUM(Tableau1[[#This Row],[Transports sur films]:[autres ]])</f>
        <v>0</v>
      </c>
      <c r="EJ279" s="132">
        <v>0</v>
      </c>
      <c r="EK279" s="132"/>
      <c r="EL279" s="68">
        <f t="shared" si="185"/>
        <v>0</v>
      </c>
      <c r="EM279" s="65"/>
      <c r="EN279" s="65">
        <v>0</v>
      </c>
      <c r="EO279" s="65"/>
      <c r="EP279" s="65"/>
      <c r="EQ279" s="65"/>
      <c r="ER279" s="65"/>
      <c r="ES279" s="65"/>
      <c r="ET279" s="68">
        <f t="shared" si="186"/>
        <v>0</v>
      </c>
      <c r="EU279" s="65"/>
      <c r="EV279" s="65"/>
      <c r="EW279" s="65"/>
      <c r="EX279" s="65"/>
      <c r="EY279" s="65"/>
      <c r="EZ279" s="68">
        <f t="shared" si="163"/>
        <v>0</v>
      </c>
      <c r="FA279" s="65"/>
      <c r="FB279" s="65"/>
      <c r="FC279" s="70">
        <f t="shared" si="162"/>
        <v>0</v>
      </c>
      <c r="FD279" s="65"/>
      <c r="FE279" s="71">
        <f t="shared" si="187"/>
        <v>0</v>
      </c>
      <c r="FF279" s="72">
        <f t="shared" si="188"/>
        <v>0</v>
      </c>
      <c r="FG279" s="65"/>
      <c r="FH279" s="65"/>
      <c r="FI279" s="65"/>
      <c r="FJ279" s="56">
        <f t="shared" si="189"/>
        <v>0</v>
      </c>
      <c r="FK279" s="65"/>
      <c r="FL279" s="65"/>
      <c r="FM279" s="65"/>
      <c r="FN279" s="65"/>
      <c r="FO279" s="67">
        <f t="shared" si="190"/>
        <v>0</v>
      </c>
      <c r="FP279" s="57"/>
      <c r="FQ279" s="73"/>
      <c r="FR279" s="73"/>
      <c r="FS279" s="71">
        <f t="shared" si="191"/>
        <v>0</v>
      </c>
      <c r="FT279" s="91"/>
      <c r="FU279" s="91"/>
      <c r="FV279" s="67">
        <f>SUM(Tableau1[[#This Row],[Droits d''auteurs SACEM + cotisations SACEM]:[Autres ou non préciés]])</f>
        <v>0</v>
      </c>
      <c r="FW279" s="75">
        <f t="shared" si="192"/>
        <v>0</v>
      </c>
      <c r="FX279" s="74">
        <v>0</v>
      </c>
      <c r="FY279" s="74"/>
      <c r="FZ279" s="74"/>
      <c r="GA279" s="74"/>
      <c r="GB279" s="71">
        <f t="shared" si="193"/>
        <v>0</v>
      </c>
      <c r="GC279" s="92"/>
      <c r="GD279" s="92"/>
      <c r="GE279" s="67">
        <f t="shared" si="194"/>
        <v>0</v>
      </c>
      <c r="GF279" s="66"/>
      <c r="GG279" s="66"/>
      <c r="GH279" s="66"/>
      <c r="GI279" s="66"/>
      <c r="GJ279" s="77"/>
    </row>
    <row r="280" spans="1:192" ht="18.600000000000001" customHeight="1" x14ac:dyDescent="0.25">
      <c r="A280" s="89"/>
      <c r="B280" s="17"/>
      <c r="C280" s="50"/>
      <c r="D280" s="140"/>
      <c r="E280" s="51"/>
      <c r="F280" s="139">
        <f t="shared" si="159"/>
        <v>1</v>
      </c>
      <c r="G280" s="49"/>
      <c r="H280" s="50"/>
      <c r="I280" s="122"/>
      <c r="J280" s="49"/>
      <c r="K280" s="50"/>
      <c r="L280" s="50"/>
      <c r="M280" s="90"/>
      <c r="N280" s="50"/>
      <c r="O280" s="50"/>
      <c r="P280" s="90"/>
      <c r="Q280" s="52">
        <f t="shared" si="164"/>
        <v>0</v>
      </c>
      <c r="R280" s="52">
        <f t="shared" si="165"/>
        <v>0</v>
      </c>
      <c r="S280" s="53">
        <f t="shared" si="166"/>
        <v>0</v>
      </c>
      <c r="T280" s="54">
        <f t="shared" si="167"/>
        <v>0</v>
      </c>
      <c r="U280" s="115">
        <f>SUM(Tableau1[[#This Row],[Vente confiserie]:[Vente boisson]])</f>
        <v>0</v>
      </c>
      <c r="V280" s="55"/>
      <c r="W280" s="55"/>
      <c r="X280" s="135">
        <f>SUM(Tableau1[[#This Row],[Vente lunette]:[Location lunette]])</f>
        <v>0</v>
      </c>
      <c r="Y280" s="55"/>
      <c r="Z280" s="55"/>
      <c r="AA280" s="55"/>
      <c r="AB280" s="55"/>
      <c r="AC280" s="56">
        <f t="shared" si="196"/>
        <v>0</v>
      </c>
      <c r="AD280" s="57"/>
      <c r="AE280" s="57"/>
      <c r="AF280" s="57"/>
      <c r="AG280" s="57"/>
      <c r="AH280" s="57"/>
      <c r="AI280" s="57"/>
      <c r="AJ280" s="118">
        <f>(Tableau1[[#This Row],[Recette guichet ]]*1.1275177)-Tableau1[[#This Row],[Recette guichet ]]</f>
        <v>0</v>
      </c>
      <c r="AK280" s="57"/>
      <c r="AL280" s="56">
        <f t="shared" si="197"/>
        <v>0</v>
      </c>
      <c r="AM280" s="58"/>
      <c r="AN280" s="58"/>
      <c r="AO280" s="58"/>
      <c r="AP280" s="115">
        <f t="shared" si="168"/>
        <v>0</v>
      </c>
      <c r="AQ280" s="69"/>
      <c r="AR280" s="69"/>
      <c r="AS280" s="69"/>
      <c r="AT280" s="69"/>
      <c r="AU280" s="59">
        <f t="shared" si="169"/>
        <v>0</v>
      </c>
      <c r="AV280" s="60">
        <f t="shared" si="170"/>
        <v>0</v>
      </c>
      <c r="AW280" s="58"/>
      <c r="AX280" s="58"/>
      <c r="AY280" s="58"/>
      <c r="AZ280" s="60">
        <f t="shared" si="160"/>
        <v>0</v>
      </c>
      <c r="BA280" s="58"/>
      <c r="BB280" s="58"/>
      <c r="BC280" s="58"/>
      <c r="BD280" s="60">
        <f>SUM(Tableau1[[#This Row],[ticket/carte/abonnement périmé]:[Autres ou non précisé 5]])</f>
        <v>0</v>
      </c>
      <c r="BE280" s="58"/>
      <c r="BF280" s="58"/>
      <c r="BG280" s="58"/>
      <c r="BH280" s="61">
        <f t="shared" si="171"/>
        <v>0</v>
      </c>
      <c r="BI280" s="120"/>
      <c r="BJ280" s="120"/>
      <c r="BK280" s="62">
        <f t="shared" si="172"/>
        <v>0</v>
      </c>
      <c r="BL280" s="120"/>
      <c r="BM280" s="120"/>
      <c r="BN280" s="120"/>
      <c r="BO280" s="120"/>
      <c r="BP280" s="120"/>
      <c r="BQ280" s="63"/>
      <c r="BR280" s="52">
        <f t="shared" si="173"/>
        <v>0</v>
      </c>
      <c r="BS280" s="52">
        <f t="shared" si="174"/>
        <v>0</v>
      </c>
      <c r="BT280" s="61">
        <f t="shared" si="175"/>
        <v>0</v>
      </c>
      <c r="BU280" s="64">
        <f t="shared" si="176"/>
        <v>0</v>
      </c>
      <c r="BV280" s="119">
        <f>SUM(Tableau1[[#This Row],[Achats confiserie]:[Achats boisson]])</f>
        <v>0</v>
      </c>
      <c r="BW280" s="58"/>
      <c r="BX280" s="69"/>
      <c r="BY280" s="58"/>
      <c r="BZ280" s="56">
        <f t="shared" si="177"/>
        <v>0</v>
      </c>
      <c r="CA280" s="66"/>
      <c r="CB280" s="66"/>
      <c r="CC280" s="56">
        <f t="shared" si="178"/>
        <v>0</v>
      </c>
      <c r="CD280" s="55"/>
      <c r="CE280" s="65"/>
      <c r="CF280" s="55"/>
      <c r="CG280" s="55"/>
      <c r="CH280" s="67">
        <f t="shared" si="179"/>
        <v>0</v>
      </c>
      <c r="CI280" s="68">
        <f t="shared" si="195"/>
        <v>0</v>
      </c>
      <c r="CJ280" s="55"/>
      <c r="CK280" s="55"/>
      <c r="CL280" s="55"/>
      <c r="CM280" s="55"/>
      <c r="CN280" s="55"/>
      <c r="CO280" s="68">
        <f t="shared" si="180"/>
        <v>0</v>
      </c>
      <c r="CP280" s="75">
        <f>SUM(Tableau1[[#This Row],[Fourniture eau]:[Energie (non précisé)]])</f>
        <v>0</v>
      </c>
      <c r="CQ280" s="55"/>
      <c r="CR280" s="55"/>
      <c r="CS280" s="55"/>
      <c r="CT280" s="55"/>
      <c r="CU280" s="55"/>
      <c r="CV280" s="55">
        <v>0</v>
      </c>
      <c r="CW280" s="55"/>
      <c r="CX280" s="68">
        <f>SUM(Tableau1[[#This Row],[Sous-traitance]:[Autres ou non précisé 12]])</f>
        <v>0</v>
      </c>
      <c r="CY280" s="65"/>
      <c r="CZ280" s="65"/>
      <c r="DA280" s="65"/>
      <c r="DB280" s="65"/>
      <c r="DC280" s="55"/>
      <c r="DD280" s="68">
        <f t="shared" si="161"/>
        <v>0</v>
      </c>
      <c r="DE280" s="55"/>
      <c r="DF280" s="65"/>
      <c r="DG280" s="65"/>
      <c r="DH280" s="65"/>
      <c r="DI280" s="68">
        <f>SUM(Tableau1[[#This Row],[Entretien et réparation matériel de projection]:[Autres ou non précisé 14]])</f>
        <v>0</v>
      </c>
      <c r="DJ280" s="58"/>
      <c r="DK280" s="58"/>
      <c r="DL280" s="69"/>
      <c r="DM280" s="68">
        <f t="shared" si="181"/>
        <v>0</v>
      </c>
      <c r="DN280" s="58"/>
      <c r="DO280" s="58"/>
      <c r="DP280" s="68">
        <f t="shared" si="182"/>
        <v>0</v>
      </c>
      <c r="DQ280" s="65"/>
      <c r="DR280" s="65"/>
      <c r="DS280" s="68">
        <f t="shared" si="183"/>
        <v>0</v>
      </c>
      <c r="DT280" s="65"/>
      <c r="DU280" s="65"/>
      <c r="DV280" s="65"/>
      <c r="DW280" s="68">
        <f>SUM(Tableau1[[#This Row],[Comission et courtage sur achats]:[Autres ou honoraires
 non précisé ]])</f>
        <v>0</v>
      </c>
      <c r="DX280" s="57"/>
      <c r="DY280" s="57"/>
      <c r="DZ280" s="65"/>
      <c r="EA280" s="65"/>
      <c r="EB280" s="65"/>
      <c r="EC280" s="68">
        <f t="shared" si="184"/>
        <v>0</v>
      </c>
      <c r="ED280" s="69"/>
      <c r="EE280" s="69"/>
      <c r="EF280" s="69"/>
      <c r="EG280" s="69"/>
      <c r="EH280" s="69"/>
      <c r="EI280" s="84">
        <f>SUM(Tableau1[[#This Row],[Transports sur films]:[autres ]])</f>
        <v>0</v>
      </c>
      <c r="EJ280" s="132">
        <v>0</v>
      </c>
      <c r="EK280" s="132"/>
      <c r="EL280" s="68">
        <f t="shared" si="185"/>
        <v>0</v>
      </c>
      <c r="EM280" s="65"/>
      <c r="EN280" s="65">
        <v>0</v>
      </c>
      <c r="EO280" s="65"/>
      <c r="EP280" s="65"/>
      <c r="EQ280" s="65"/>
      <c r="ER280" s="65"/>
      <c r="ES280" s="65"/>
      <c r="ET280" s="68">
        <f t="shared" si="186"/>
        <v>0</v>
      </c>
      <c r="EU280" s="65"/>
      <c r="EV280" s="65"/>
      <c r="EW280" s="65"/>
      <c r="EX280" s="65"/>
      <c r="EY280" s="65"/>
      <c r="EZ280" s="68">
        <f t="shared" si="163"/>
        <v>0</v>
      </c>
      <c r="FA280" s="65"/>
      <c r="FB280" s="65"/>
      <c r="FC280" s="70">
        <f t="shared" si="162"/>
        <v>0</v>
      </c>
      <c r="FD280" s="65"/>
      <c r="FE280" s="71">
        <f t="shared" si="187"/>
        <v>0</v>
      </c>
      <c r="FF280" s="72">
        <f t="shared" si="188"/>
        <v>0</v>
      </c>
      <c r="FG280" s="65"/>
      <c r="FH280" s="65"/>
      <c r="FI280" s="65"/>
      <c r="FJ280" s="56">
        <f t="shared" si="189"/>
        <v>0</v>
      </c>
      <c r="FK280" s="65"/>
      <c r="FL280" s="65"/>
      <c r="FM280" s="65"/>
      <c r="FN280" s="65"/>
      <c r="FO280" s="67">
        <f t="shared" si="190"/>
        <v>0</v>
      </c>
      <c r="FP280" s="57"/>
      <c r="FQ280" s="73"/>
      <c r="FR280" s="73"/>
      <c r="FS280" s="71">
        <f t="shared" si="191"/>
        <v>0</v>
      </c>
      <c r="FT280" s="91"/>
      <c r="FU280" s="91"/>
      <c r="FV280" s="67">
        <f>SUM(Tableau1[[#This Row],[Droits d''auteurs SACEM + cotisations SACEM]:[Autres ou non préciés]])</f>
        <v>0</v>
      </c>
      <c r="FW280" s="75">
        <f t="shared" si="192"/>
        <v>0</v>
      </c>
      <c r="FX280" s="74">
        <v>0</v>
      </c>
      <c r="FY280" s="74"/>
      <c r="FZ280" s="74"/>
      <c r="GA280" s="74"/>
      <c r="GB280" s="71">
        <f t="shared" si="193"/>
        <v>0</v>
      </c>
      <c r="GC280" s="92"/>
      <c r="GD280" s="92"/>
      <c r="GE280" s="67">
        <f t="shared" si="194"/>
        <v>0</v>
      </c>
      <c r="GF280" s="66"/>
      <c r="GG280" s="66"/>
      <c r="GH280" s="66"/>
      <c r="GI280" s="66"/>
      <c r="GJ280" s="77"/>
    </row>
    <row r="281" spans="1:192" ht="18.600000000000001" customHeight="1" x14ac:dyDescent="0.25">
      <c r="A281" s="89"/>
      <c r="B281" s="17"/>
      <c r="C281" s="50"/>
      <c r="D281" s="140"/>
      <c r="E281" s="51"/>
      <c r="F281" s="139">
        <f t="shared" si="159"/>
        <v>1</v>
      </c>
      <c r="G281" s="49"/>
      <c r="H281" s="50"/>
      <c r="I281" s="122"/>
      <c r="J281" s="49"/>
      <c r="K281" s="50"/>
      <c r="L281" s="50"/>
      <c r="M281" s="90"/>
      <c r="N281" s="50"/>
      <c r="O281" s="50"/>
      <c r="P281" s="90"/>
      <c r="Q281" s="52">
        <f t="shared" si="164"/>
        <v>0</v>
      </c>
      <c r="R281" s="52">
        <f t="shared" si="165"/>
        <v>0</v>
      </c>
      <c r="S281" s="53">
        <f t="shared" si="166"/>
        <v>0</v>
      </c>
      <c r="T281" s="54">
        <f t="shared" si="167"/>
        <v>0</v>
      </c>
      <c r="U281" s="115">
        <f>SUM(Tableau1[[#This Row],[Vente confiserie]:[Vente boisson]])</f>
        <v>0</v>
      </c>
      <c r="V281" s="55"/>
      <c r="W281" s="55"/>
      <c r="X281" s="135">
        <f>SUM(Tableau1[[#This Row],[Vente lunette]:[Location lunette]])</f>
        <v>0</v>
      </c>
      <c r="Y281" s="55"/>
      <c r="Z281" s="55"/>
      <c r="AA281" s="55"/>
      <c r="AB281" s="55"/>
      <c r="AC281" s="56">
        <f t="shared" si="196"/>
        <v>0</v>
      </c>
      <c r="AD281" s="57"/>
      <c r="AE281" s="57"/>
      <c r="AF281" s="57"/>
      <c r="AG281" s="57"/>
      <c r="AH281" s="57"/>
      <c r="AI281" s="57"/>
      <c r="AJ281" s="118">
        <f>(Tableau1[[#This Row],[Recette guichet ]]*1.1275177)-Tableau1[[#This Row],[Recette guichet ]]</f>
        <v>0</v>
      </c>
      <c r="AK281" s="57"/>
      <c r="AL281" s="56">
        <f t="shared" si="197"/>
        <v>0</v>
      </c>
      <c r="AM281" s="58"/>
      <c r="AN281" s="58"/>
      <c r="AO281" s="58"/>
      <c r="AP281" s="115">
        <f t="shared" si="168"/>
        <v>0</v>
      </c>
      <c r="AQ281" s="69"/>
      <c r="AR281" s="69"/>
      <c r="AS281" s="69"/>
      <c r="AT281" s="69"/>
      <c r="AU281" s="59">
        <f t="shared" si="169"/>
        <v>0</v>
      </c>
      <c r="AV281" s="60">
        <f t="shared" si="170"/>
        <v>0</v>
      </c>
      <c r="AW281" s="58"/>
      <c r="AX281" s="58"/>
      <c r="AY281" s="58"/>
      <c r="AZ281" s="60">
        <f t="shared" si="160"/>
        <v>0</v>
      </c>
      <c r="BA281" s="58"/>
      <c r="BB281" s="58"/>
      <c r="BC281" s="58"/>
      <c r="BD281" s="60">
        <f>SUM(Tableau1[[#This Row],[ticket/carte/abonnement périmé]:[Autres ou non précisé 5]])</f>
        <v>0</v>
      </c>
      <c r="BE281" s="58"/>
      <c r="BF281" s="58"/>
      <c r="BG281" s="58"/>
      <c r="BH281" s="61">
        <f t="shared" si="171"/>
        <v>0</v>
      </c>
      <c r="BI281" s="120"/>
      <c r="BJ281" s="120"/>
      <c r="BK281" s="62">
        <f t="shared" si="172"/>
        <v>0</v>
      </c>
      <c r="BL281" s="120"/>
      <c r="BM281" s="120"/>
      <c r="BN281" s="120"/>
      <c r="BO281" s="120"/>
      <c r="BP281" s="120"/>
      <c r="BQ281" s="63"/>
      <c r="BR281" s="52">
        <f t="shared" si="173"/>
        <v>0</v>
      </c>
      <c r="BS281" s="52">
        <f t="shared" si="174"/>
        <v>0</v>
      </c>
      <c r="BT281" s="61">
        <f t="shared" si="175"/>
        <v>0</v>
      </c>
      <c r="BU281" s="64">
        <f t="shared" si="176"/>
        <v>0</v>
      </c>
      <c r="BV281" s="119">
        <f>SUM(Tableau1[[#This Row],[Achats confiserie]:[Achats boisson]])</f>
        <v>0</v>
      </c>
      <c r="BW281" s="58"/>
      <c r="BX281" s="69"/>
      <c r="BY281" s="58"/>
      <c r="BZ281" s="56">
        <f t="shared" si="177"/>
        <v>0</v>
      </c>
      <c r="CA281" s="66"/>
      <c r="CB281" s="66"/>
      <c r="CC281" s="56">
        <f t="shared" si="178"/>
        <v>0</v>
      </c>
      <c r="CD281" s="55"/>
      <c r="CE281" s="65"/>
      <c r="CF281" s="55"/>
      <c r="CG281" s="55"/>
      <c r="CH281" s="67">
        <f t="shared" si="179"/>
        <v>0</v>
      </c>
      <c r="CI281" s="68">
        <f t="shared" si="195"/>
        <v>0</v>
      </c>
      <c r="CJ281" s="55"/>
      <c r="CK281" s="55"/>
      <c r="CL281" s="55"/>
      <c r="CM281" s="55"/>
      <c r="CN281" s="55"/>
      <c r="CO281" s="68">
        <f t="shared" si="180"/>
        <v>0</v>
      </c>
      <c r="CP281" s="75">
        <f>SUM(Tableau1[[#This Row],[Fourniture eau]:[Energie (non précisé)]])</f>
        <v>0</v>
      </c>
      <c r="CQ281" s="55"/>
      <c r="CR281" s="55"/>
      <c r="CS281" s="55"/>
      <c r="CT281" s="55"/>
      <c r="CU281" s="55"/>
      <c r="CV281" s="55">
        <v>0</v>
      </c>
      <c r="CW281" s="55"/>
      <c r="CX281" s="68">
        <f>SUM(Tableau1[[#This Row],[Sous-traitance]:[Autres ou non précisé 12]])</f>
        <v>0</v>
      </c>
      <c r="CY281" s="65"/>
      <c r="CZ281" s="65"/>
      <c r="DA281" s="65"/>
      <c r="DB281" s="65"/>
      <c r="DC281" s="55"/>
      <c r="DD281" s="68">
        <f t="shared" si="161"/>
        <v>0</v>
      </c>
      <c r="DE281" s="55"/>
      <c r="DF281" s="65"/>
      <c r="DG281" s="65"/>
      <c r="DH281" s="65"/>
      <c r="DI281" s="68">
        <f>SUM(Tableau1[[#This Row],[Entretien et réparation matériel de projection]:[Autres ou non précisé 14]])</f>
        <v>0</v>
      </c>
      <c r="DJ281" s="58"/>
      <c r="DK281" s="58"/>
      <c r="DL281" s="69"/>
      <c r="DM281" s="68">
        <f t="shared" si="181"/>
        <v>0</v>
      </c>
      <c r="DN281" s="58"/>
      <c r="DO281" s="58"/>
      <c r="DP281" s="68">
        <f t="shared" si="182"/>
        <v>0</v>
      </c>
      <c r="DQ281" s="65"/>
      <c r="DR281" s="65"/>
      <c r="DS281" s="68">
        <f t="shared" si="183"/>
        <v>0</v>
      </c>
      <c r="DT281" s="65"/>
      <c r="DU281" s="65"/>
      <c r="DV281" s="65"/>
      <c r="DW281" s="68">
        <f>SUM(Tableau1[[#This Row],[Comission et courtage sur achats]:[Autres ou honoraires
 non précisé ]])</f>
        <v>0</v>
      </c>
      <c r="DX281" s="57"/>
      <c r="DY281" s="57"/>
      <c r="DZ281" s="65"/>
      <c r="EA281" s="65"/>
      <c r="EB281" s="65"/>
      <c r="EC281" s="68">
        <f t="shared" si="184"/>
        <v>0</v>
      </c>
      <c r="ED281" s="69"/>
      <c r="EE281" s="69"/>
      <c r="EF281" s="69"/>
      <c r="EG281" s="69"/>
      <c r="EH281" s="69"/>
      <c r="EI281" s="84">
        <f>SUM(Tableau1[[#This Row],[Transports sur films]:[autres ]])</f>
        <v>0</v>
      </c>
      <c r="EJ281" s="132">
        <v>0</v>
      </c>
      <c r="EK281" s="132"/>
      <c r="EL281" s="68">
        <f t="shared" si="185"/>
        <v>0</v>
      </c>
      <c r="EM281" s="65"/>
      <c r="EN281" s="65">
        <v>0</v>
      </c>
      <c r="EO281" s="65"/>
      <c r="EP281" s="65"/>
      <c r="EQ281" s="65"/>
      <c r="ER281" s="65"/>
      <c r="ES281" s="65"/>
      <c r="ET281" s="68">
        <f t="shared" si="186"/>
        <v>0</v>
      </c>
      <c r="EU281" s="65"/>
      <c r="EV281" s="65"/>
      <c r="EW281" s="65"/>
      <c r="EX281" s="65"/>
      <c r="EY281" s="65"/>
      <c r="EZ281" s="68">
        <f t="shared" si="163"/>
        <v>0</v>
      </c>
      <c r="FA281" s="65"/>
      <c r="FB281" s="65"/>
      <c r="FC281" s="70">
        <f t="shared" si="162"/>
        <v>0</v>
      </c>
      <c r="FD281" s="65"/>
      <c r="FE281" s="71">
        <f t="shared" si="187"/>
        <v>0</v>
      </c>
      <c r="FF281" s="72">
        <f t="shared" si="188"/>
        <v>0</v>
      </c>
      <c r="FG281" s="65"/>
      <c r="FH281" s="65"/>
      <c r="FI281" s="65"/>
      <c r="FJ281" s="56">
        <f t="shared" si="189"/>
        <v>0</v>
      </c>
      <c r="FK281" s="65"/>
      <c r="FL281" s="65"/>
      <c r="FM281" s="65"/>
      <c r="FN281" s="65"/>
      <c r="FO281" s="67">
        <f t="shared" si="190"/>
        <v>0</v>
      </c>
      <c r="FP281" s="57"/>
      <c r="FQ281" s="73"/>
      <c r="FR281" s="73"/>
      <c r="FS281" s="71">
        <f t="shared" si="191"/>
        <v>0</v>
      </c>
      <c r="FT281" s="91"/>
      <c r="FU281" s="91"/>
      <c r="FV281" s="67">
        <f>SUM(Tableau1[[#This Row],[Droits d''auteurs SACEM + cotisations SACEM]:[Autres ou non préciés]])</f>
        <v>0</v>
      </c>
      <c r="FW281" s="75">
        <f t="shared" si="192"/>
        <v>0</v>
      </c>
      <c r="FX281" s="74">
        <v>0</v>
      </c>
      <c r="FY281" s="74"/>
      <c r="FZ281" s="74"/>
      <c r="GA281" s="74"/>
      <c r="GB281" s="71">
        <f t="shared" si="193"/>
        <v>0</v>
      </c>
      <c r="GC281" s="92"/>
      <c r="GD281" s="92"/>
      <c r="GE281" s="67">
        <f t="shared" si="194"/>
        <v>0</v>
      </c>
      <c r="GF281" s="66"/>
      <c r="GG281" s="66"/>
      <c r="GH281" s="66"/>
      <c r="GI281" s="66"/>
      <c r="GJ281" s="77"/>
    </row>
    <row r="282" spans="1:192" ht="18.600000000000001" customHeight="1" x14ac:dyDescent="0.25">
      <c r="A282" s="89"/>
      <c r="B282" s="17"/>
      <c r="C282" s="50"/>
      <c r="D282" s="140"/>
      <c r="E282" s="51"/>
      <c r="F282" s="139">
        <f t="shared" si="159"/>
        <v>1</v>
      </c>
      <c r="G282" s="49"/>
      <c r="H282" s="50"/>
      <c r="I282" s="122"/>
      <c r="J282" s="49"/>
      <c r="K282" s="50"/>
      <c r="L282" s="50"/>
      <c r="M282" s="90"/>
      <c r="N282" s="50"/>
      <c r="O282" s="50"/>
      <c r="P282" s="90"/>
      <c r="Q282" s="52">
        <f t="shared" si="164"/>
        <v>0</v>
      </c>
      <c r="R282" s="52">
        <f t="shared" si="165"/>
        <v>0</v>
      </c>
      <c r="S282" s="53">
        <f t="shared" si="166"/>
        <v>0</v>
      </c>
      <c r="T282" s="54">
        <f t="shared" si="167"/>
        <v>0</v>
      </c>
      <c r="U282" s="115">
        <f>SUM(Tableau1[[#This Row],[Vente confiserie]:[Vente boisson]])</f>
        <v>0</v>
      </c>
      <c r="V282" s="55"/>
      <c r="W282" s="55"/>
      <c r="X282" s="135">
        <f>SUM(Tableau1[[#This Row],[Vente lunette]:[Location lunette]])</f>
        <v>0</v>
      </c>
      <c r="Y282" s="55"/>
      <c r="Z282" s="55"/>
      <c r="AA282" s="55"/>
      <c r="AB282" s="55"/>
      <c r="AC282" s="56">
        <f t="shared" si="196"/>
        <v>0</v>
      </c>
      <c r="AD282" s="57"/>
      <c r="AE282" s="57"/>
      <c r="AF282" s="57"/>
      <c r="AG282" s="57"/>
      <c r="AH282" s="57"/>
      <c r="AI282" s="57"/>
      <c r="AJ282" s="118">
        <f>(Tableau1[[#This Row],[Recette guichet ]]*1.1275177)-Tableau1[[#This Row],[Recette guichet ]]</f>
        <v>0</v>
      </c>
      <c r="AK282" s="57"/>
      <c r="AL282" s="56">
        <f t="shared" si="197"/>
        <v>0</v>
      </c>
      <c r="AM282" s="58"/>
      <c r="AN282" s="58"/>
      <c r="AO282" s="58"/>
      <c r="AP282" s="115">
        <f t="shared" si="168"/>
        <v>0</v>
      </c>
      <c r="AQ282" s="69"/>
      <c r="AR282" s="69"/>
      <c r="AS282" s="69"/>
      <c r="AT282" s="69"/>
      <c r="AU282" s="59">
        <f t="shared" si="169"/>
        <v>0</v>
      </c>
      <c r="AV282" s="60">
        <f t="shared" si="170"/>
        <v>0</v>
      </c>
      <c r="AW282" s="58"/>
      <c r="AX282" s="58"/>
      <c r="AY282" s="58"/>
      <c r="AZ282" s="60">
        <f t="shared" si="160"/>
        <v>0</v>
      </c>
      <c r="BA282" s="58"/>
      <c r="BB282" s="58"/>
      <c r="BC282" s="58"/>
      <c r="BD282" s="60">
        <f>SUM(Tableau1[[#This Row],[ticket/carte/abonnement périmé]:[Autres ou non précisé 5]])</f>
        <v>0</v>
      </c>
      <c r="BE282" s="58"/>
      <c r="BF282" s="58"/>
      <c r="BG282" s="58"/>
      <c r="BH282" s="61">
        <f t="shared" si="171"/>
        <v>0</v>
      </c>
      <c r="BI282" s="120"/>
      <c r="BJ282" s="120"/>
      <c r="BK282" s="62">
        <f t="shared" si="172"/>
        <v>0</v>
      </c>
      <c r="BL282" s="120"/>
      <c r="BM282" s="120"/>
      <c r="BN282" s="120"/>
      <c r="BO282" s="120"/>
      <c r="BP282" s="120"/>
      <c r="BQ282" s="63"/>
      <c r="BR282" s="52">
        <f t="shared" si="173"/>
        <v>0</v>
      </c>
      <c r="BS282" s="52">
        <f t="shared" si="174"/>
        <v>0</v>
      </c>
      <c r="BT282" s="61">
        <f t="shared" si="175"/>
        <v>0</v>
      </c>
      <c r="BU282" s="64">
        <f t="shared" si="176"/>
        <v>0</v>
      </c>
      <c r="BV282" s="119">
        <f>SUM(Tableau1[[#This Row],[Achats confiserie]:[Achats boisson]])</f>
        <v>0</v>
      </c>
      <c r="BW282" s="58"/>
      <c r="BX282" s="69"/>
      <c r="BY282" s="58"/>
      <c r="BZ282" s="56">
        <f t="shared" si="177"/>
        <v>0</v>
      </c>
      <c r="CA282" s="66"/>
      <c r="CB282" s="66"/>
      <c r="CC282" s="56">
        <f t="shared" si="178"/>
        <v>0</v>
      </c>
      <c r="CD282" s="55"/>
      <c r="CE282" s="65"/>
      <c r="CF282" s="55"/>
      <c r="CG282" s="55"/>
      <c r="CH282" s="67">
        <f t="shared" si="179"/>
        <v>0</v>
      </c>
      <c r="CI282" s="68">
        <f t="shared" si="195"/>
        <v>0</v>
      </c>
      <c r="CJ282" s="55"/>
      <c r="CK282" s="55"/>
      <c r="CL282" s="55"/>
      <c r="CM282" s="55"/>
      <c r="CN282" s="55"/>
      <c r="CO282" s="68">
        <f t="shared" si="180"/>
        <v>0</v>
      </c>
      <c r="CP282" s="75">
        <f>SUM(Tableau1[[#This Row],[Fourniture eau]:[Energie (non précisé)]])</f>
        <v>0</v>
      </c>
      <c r="CQ282" s="55"/>
      <c r="CR282" s="55"/>
      <c r="CS282" s="55"/>
      <c r="CT282" s="55"/>
      <c r="CU282" s="55"/>
      <c r="CV282" s="55">
        <v>0</v>
      </c>
      <c r="CW282" s="55"/>
      <c r="CX282" s="68">
        <f>SUM(Tableau1[[#This Row],[Sous-traitance]:[Autres ou non précisé 12]])</f>
        <v>0</v>
      </c>
      <c r="CY282" s="65"/>
      <c r="CZ282" s="65"/>
      <c r="DA282" s="65"/>
      <c r="DB282" s="65"/>
      <c r="DC282" s="55"/>
      <c r="DD282" s="68">
        <f t="shared" si="161"/>
        <v>0</v>
      </c>
      <c r="DE282" s="55"/>
      <c r="DF282" s="65"/>
      <c r="DG282" s="65"/>
      <c r="DH282" s="65"/>
      <c r="DI282" s="68">
        <f>SUM(Tableau1[[#This Row],[Entretien et réparation matériel de projection]:[Autres ou non précisé 14]])</f>
        <v>0</v>
      </c>
      <c r="DJ282" s="58"/>
      <c r="DK282" s="58"/>
      <c r="DL282" s="69"/>
      <c r="DM282" s="68">
        <f t="shared" si="181"/>
        <v>0</v>
      </c>
      <c r="DN282" s="58"/>
      <c r="DO282" s="58"/>
      <c r="DP282" s="68">
        <f t="shared" si="182"/>
        <v>0</v>
      </c>
      <c r="DQ282" s="65"/>
      <c r="DR282" s="65"/>
      <c r="DS282" s="68">
        <f t="shared" si="183"/>
        <v>0</v>
      </c>
      <c r="DT282" s="65"/>
      <c r="DU282" s="65"/>
      <c r="DV282" s="65"/>
      <c r="DW282" s="68">
        <f>SUM(Tableau1[[#This Row],[Comission et courtage sur achats]:[Autres ou honoraires
 non précisé ]])</f>
        <v>0</v>
      </c>
      <c r="DX282" s="57"/>
      <c r="DY282" s="57"/>
      <c r="DZ282" s="65"/>
      <c r="EA282" s="65"/>
      <c r="EB282" s="65"/>
      <c r="EC282" s="68">
        <f t="shared" si="184"/>
        <v>0</v>
      </c>
      <c r="ED282" s="69"/>
      <c r="EE282" s="69"/>
      <c r="EF282" s="69"/>
      <c r="EG282" s="69"/>
      <c r="EH282" s="69"/>
      <c r="EI282" s="84">
        <f>SUM(Tableau1[[#This Row],[Transports sur films]:[autres ]])</f>
        <v>0</v>
      </c>
      <c r="EJ282" s="132">
        <v>0</v>
      </c>
      <c r="EK282" s="132"/>
      <c r="EL282" s="68">
        <f t="shared" si="185"/>
        <v>0</v>
      </c>
      <c r="EM282" s="65"/>
      <c r="EN282" s="65">
        <v>0</v>
      </c>
      <c r="EO282" s="65"/>
      <c r="EP282" s="65"/>
      <c r="EQ282" s="65"/>
      <c r="ER282" s="65"/>
      <c r="ES282" s="65"/>
      <c r="ET282" s="68">
        <f t="shared" si="186"/>
        <v>0</v>
      </c>
      <c r="EU282" s="65"/>
      <c r="EV282" s="65"/>
      <c r="EW282" s="65"/>
      <c r="EX282" s="65"/>
      <c r="EY282" s="65"/>
      <c r="EZ282" s="68">
        <f t="shared" si="163"/>
        <v>0</v>
      </c>
      <c r="FA282" s="65"/>
      <c r="FB282" s="65"/>
      <c r="FC282" s="70">
        <f t="shared" si="162"/>
        <v>0</v>
      </c>
      <c r="FD282" s="65"/>
      <c r="FE282" s="71">
        <f t="shared" si="187"/>
        <v>0</v>
      </c>
      <c r="FF282" s="72">
        <f t="shared" si="188"/>
        <v>0</v>
      </c>
      <c r="FG282" s="65"/>
      <c r="FH282" s="65"/>
      <c r="FI282" s="65"/>
      <c r="FJ282" s="56">
        <f t="shared" si="189"/>
        <v>0</v>
      </c>
      <c r="FK282" s="65"/>
      <c r="FL282" s="65"/>
      <c r="FM282" s="65"/>
      <c r="FN282" s="65"/>
      <c r="FO282" s="67">
        <f t="shared" si="190"/>
        <v>0</v>
      </c>
      <c r="FP282" s="57"/>
      <c r="FQ282" s="73"/>
      <c r="FR282" s="73"/>
      <c r="FS282" s="71">
        <f t="shared" si="191"/>
        <v>0</v>
      </c>
      <c r="FT282" s="91"/>
      <c r="FU282" s="91"/>
      <c r="FV282" s="67">
        <f>SUM(Tableau1[[#This Row],[Droits d''auteurs SACEM + cotisations SACEM]:[Autres ou non préciés]])</f>
        <v>0</v>
      </c>
      <c r="FW282" s="75">
        <f t="shared" si="192"/>
        <v>0</v>
      </c>
      <c r="FX282" s="74">
        <v>0</v>
      </c>
      <c r="FY282" s="74"/>
      <c r="FZ282" s="74"/>
      <c r="GA282" s="74"/>
      <c r="GB282" s="71">
        <f t="shared" si="193"/>
        <v>0</v>
      </c>
      <c r="GC282" s="92"/>
      <c r="GD282" s="92"/>
      <c r="GE282" s="67">
        <f t="shared" si="194"/>
        <v>0</v>
      </c>
      <c r="GF282" s="66"/>
      <c r="GG282" s="66"/>
      <c r="GH282" s="66"/>
      <c r="GI282" s="66"/>
      <c r="GJ282" s="77"/>
    </row>
    <row r="283" spans="1:192" ht="18.600000000000001" customHeight="1" x14ac:dyDescent="0.25">
      <c r="A283" s="89"/>
      <c r="B283" s="17"/>
      <c r="C283" s="50"/>
      <c r="D283" s="140"/>
      <c r="E283" s="51"/>
      <c r="F283" s="139">
        <f t="shared" si="159"/>
        <v>1</v>
      </c>
      <c r="G283" s="49"/>
      <c r="H283" s="50"/>
      <c r="I283" s="122"/>
      <c r="J283" s="49"/>
      <c r="K283" s="50"/>
      <c r="L283" s="50"/>
      <c r="M283" s="90"/>
      <c r="N283" s="50"/>
      <c r="O283" s="50"/>
      <c r="P283" s="90"/>
      <c r="Q283" s="52">
        <f t="shared" si="164"/>
        <v>0</v>
      </c>
      <c r="R283" s="52">
        <f t="shared" si="165"/>
        <v>0</v>
      </c>
      <c r="S283" s="53">
        <f t="shared" si="166"/>
        <v>0</v>
      </c>
      <c r="T283" s="54">
        <f t="shared" si="167"/>
        <v>0</v>
      </c>
      <c r="U283" s="115">
        <f>SUM(Tableau1[[#This Row],[Vente confiserie]:[Vente boisson]])</f>
        <v>0</v>
      </c>
      <c r="V283" s="55"/>
      <c r="W283" s="55"/>
      <c r="X283" s="135">
        <f>SUM(Tableau1[[#This Row],[Vente lunette]:[Location lunette]])</f>
        <v>0</v>
      </c>
      <c r="Y283" s="55"/>
      <c r="Z283" s="55"/>
      <c r="AA283" s="55"/>
      <c r="AB283" s="55"/>
      <c r="AC283" s="56">
        <f t="shared" si="196"/>
        <v>0</v>
      </c>
      <c r="AD283" s="57"/>
      <c r="AE283" s="57"/>
      <c r="AF283" s="57"/>
      <c r="AG283" s="57"/>
      <c r="AH283" s="57"/>
      <c r="AI283" s="57"/>
      <c r="AJ283" s="118">
        <f>(Tableau1[[#This Row],[Recette guichet ]]*1.1275177)-Tableau1[[#This Row],[Recette guichet ]]</f>
        <v>0</v>
      </c>
      <c r="AK283" s="57"/>
      <c r="AL283" s="56">
        <f t="shared" si="197"/>
        <v>0</v>
      </c>
      <c r="AM283" s="58"/>
      <c r="AN283" s="58"/>
      <c r="AO283" s="58"/>
      <c r="AP283" s="115">
        <f t="shared" si="168"/>
        <v>0</v>
      </c>
      <c r="AQ283" s="69"/>
      <c r="AR283" s="69"/>
      <c r="AS283" s="69"/>
      <c r="AT283" s="69"/>
      <c r="AU283" s="59">
        <f t="shared" si="169"/>
        <v>0</v>
      </c>
      <c r="AV283" s="60">
        <f t="shared" si="170"/>
        <v>0</v>
      </c>
      <c r="AW283" s="58"/>
      <c r="AX283" s="58"/>
      <c r="AY283" s="58"/>
      <c r="AZ283" s="60">
        <f t="shared" si="160"/>
        <v>0</v>
      </c>
      <c r="BA283" s="58"/>
      <c r="BB283" s="58"/>
      <c r="BC283" s="58"/>
      <c r="BD283" s="60">
        <f>SUM(Tableau1[[#This Row],[ticket/carte/abonnement périmé]:[Autres ou non précisé 5]])</f>
        <v>0</v>
      </c>
      <c r="BE283" s="58"/>
      <c r="BF283" s="58"/>
      <c r="BG283" s="58"/>
      <c r="BH283" s="61">
        <f t="shared" si="171"/>
        <v>0</v>
      </c>
      <c r="BI283" s="120"/>
      <c r="BJ283" s="120"/>
      <c r="BK283" s="62">
        <f t="shared" si="172"/>
        <v>0</v>
      </c>
      <c r="BL283" s="120"/>
      <c r="BM283" s="120"/>
      <c r="BN283" s="120"/>
      <c r="BO283" s="120"/>
      <c r="BP283" s="120"/>
      <c r="BQ283" s="63"/>
      <c r="BR283" s="52">
        <f t="shared" si="173"/>
        <v>0</v>
      </c>
      <c r="BS283" s="52">
        <f t="shared" si="174"/>
        <v>0</v>
      </c>
      <c r="BT283" s="61">
        <f t="shared" si="175"/>
        <v>0</v>
      </c>
      <c r="BU283" s="64">
        <f t="shared" si="176"/>
        <v>0</v>
      </c>
      <c r="BV283" s="119">
        <f>SUM(Tableau1[[#This Row],[Achats confiserie]:[Achats boisson]])</f>
        <v>0</v>
      </c>
      <c r="BW283" s="58"/>
      <c r="BX283" s="69"/>
      <c r="BY283" s="58"/>
      <c r="BZ283" s="56">
        <f t="shared" si="177"/>
        <v>0</v>
      </c>
      <c r="CA283" s="66"/>
      <c r="CB283" s="66"/>
      <c r="CC283" s="56">
        <f t="shared" si="178"/>
        <v>0</v>
      </c>
      <c r="CD283" s="55"/>
      <c r="CE283" s="65"/>
      <c r="CF283" s="55"/>
      <c r="CG283" s="55"/>
      <c r="CH283" s="67">
        <f t="shared" si="179"/>
        <v>0</v>
      </c>
      <c r="CI283" s="68">
        <f t="shared" si="195"/>
        <v>0</v>
      </c>
      <c r="CJ283" s="55"/>
      <c r="CK283" s="55"/>
      <c r="CL283" s="55"/>
      <c r="CM283" s="55"/>
      <c r="CN283" s="55"/>
      <c r="CO283" s="68">
        <f t="shared" si="180"/>
        <v>0</v>
      </c>
      <c r="CP283" s="75">
        <f>SUM(Tableau1[[#This Row],[Fourniture eau]:[Energie (non précisé)]])</f>
        <v>0</v>
      </c>
      <c r="CQ283" s="55"/>
      <c r="CR283" s="55"/>
      <c r="CS283" s="55"/>
      <c r="CT283" s="55"/>
      <c r="CU283" s="55"/>
      <c r="CV283" s="55">
        <v>0</v>
      </c>
      <c r="CW283" s="55"/>
      <c r="CX283" s="68">
        <f>SUM(Tableau1[[#This Row],[Sous-traitance]:[Autres ou non précisé 12]])</f>
        <v>0</v>
      </c>
      <c r="CY283" s="65"/>
      <c r="CZ283" s="65"/>
      <c r="DA283" s="65"/>
      <c r="DB283" s="65"/>
      <c r="DC283" s="55"/>
      <c r="DD283" s="68">
        <f t="shared" si="161"/>
        <v>0</v>
      </c>
      <c r="DE283" s="55"/>
      <c r="DF283" s="65"/>
      <c r="DG283" s="65"/>
      <c r="DH283" s="65"/>
      <c r="DI283" s="68">
        <f>SUM(Tableau1[[#This Row],[Entretien et réparation matériel de projection]:[Autres ou non précisé 14]])</f>
        <v>0</v>
      </c>
      <c r="DJ283" s="58"/>
      <c r="DK283" s="58"/>
      <c r="DL283" s="69"/>
      <c r="DM283" s="68">
        <f t="shared" si="181"/>
        <v>0</v>
      </c>
      <c r="DN283" s="58"/>
      <c r="DO283" s="58"/>
      <c r="DP283" s="68">
        <f t="shared" si="182"/>
        <v>0</v>
      </c>
      <c r="DQ283" s="65"/>
      <c r="DR283" s="65"/>
      <c r="DS283" s="68">
        <f t="shared" si="183"/>
        <v>0</v>
      </c>
      <c r="DT283" s="65"/>
      <c r="DU283" s="65"/>
      <c r="DV283" s="65"/>
      <c r="DW283" s="68">
        <f>SUM(Tableau1[[#This Row],[Comission et courtage sur achats]:[Autres ou honoraires
 non précisé ]])</f>
        <v>0</v>
      </c>
      <c r="DX283" s="57"/>
      <c r="DY283" s="57"/>
      <c r="DZ283" s="65"/>
      <c r="EA283" s="65"/>
      <c r="EB283" s="65"/>
      <c r="EC283" s="68">
        <f t="shared" si="184"/>
        <v>0</v>
      </c>
      <c r="ED283" s="69"/>
      <c r="EE283" s="69"/>
      <c r="EF283" s="69"/>
      <c r="EG283" s="69"/>
      <c r="EH283" s="69"/>
      <c r="EI283" s="84">
        <f>SUM(Tableau1[[#This Row],[Transports sur films]:[autres ]])</f>
        <v>0</v>
      </c>
      <c r="EJ283" s="132">
        <v>0</v>
      </c>
      <c r="EK283" s="132"/>
      <c r="EL283" s="68">
        <f t="shared" si="185"/>
        <v>0</v>
      </c>
      <c r="EM283" s="65"/>
      <c r="EN283" s="65">
        <v>0</v>
      </c>
      <c r="EO283" s="65"/>
      <c r="EP283" s="65"/>
      <c r="EQ283" s="65"/>
      <c r="ER283" s="65"/>
      <c r="ES283" s="65"/>
      <c r="ET283" s="68">
        <f t="shared" si="186"/>
        <v>0</v>
      </c>
      <c r="EU283" s="65"/>
      <c r="EV283" s="65"/>
      <c r="EW283" s="65"/>
      <c r="EX283" s="65"/>
      <c r="EY283" s="65"/>
      <c r="EZ283" s="68">
        <f t="shared" si="163"/>
        <v>0</v>
      </c>
      <c r="FA283" s="65"/>
      <c r="FB283" s="65"/>
      <c r="FC283" s="70">
        <f t="shared" si="162"/>
        <v>0</v>
      </c>
      <c r="FD283" s="65"/>
      <c r="FE283" s="71">
        <f t="shared" si="187"/>
        <v>0</v>
      </c>
      <c r="FF283" s="72">
        <f t="shared" si="188"/>
        <v>0</v>
      </c>
      <c r="FG283" s="65"/>
      <c r="FH283" s="65"/>
      <c r="FI283" s="65"/>
      <c r="FJ283" s="56">
        <f t="shared" si="189"/>
        <v>0</v>
      </c>
      <c r="FK283" s="65"/>
      <c r="FL283" s="65"/>
      <c r="FM283" s="65"/>
      <c r="FN283" s="65"/>
      <c r="FO283" s="67">
        <f t="shared" si="190"/>
        <v>0</v>
      </c>
      <c r="FP283" s="57"/>
      <c r="FQ283" s="73"/>
      <c r="FR283" s="73"/>
      <c r="FS283" s="71">
        <f t="shared" si="191"/>
        <v>0</v>
      </c>
      <c r="FT283" s="91"/>
      <c r="FU283" s="91"/>
      <c r="FV283" s="67">
        <f>SUM(Tableau1[[#This Row],[Droits d''auteurs SACEM + cotisations SACEM]:[Autres ou non préciés]])</f>
        <v>0</v>
      </c>
      <c r="FW283" s="75">
        <f t="shared" si="192"/>
        <v>0</v>
      </c>
      <c r="FX283" s="74">
        <v>0</v>
      </c>
      <c r="FY283" s="74"/>
      <c r="FZ283" s="74"/>
      <c r="GA283" s="74"/>
      <c r="GB283" s="71">
        <f t="shared" si="193"/>
        <v>0</v>
      </c>
      <c r="GC283" s="92"/>
      <c r="GD283" s="92"/>
      <c r="GE283" s="67">
        <f t="shared" si="194"/>
        <v>0</v>
      </c>
      <c r="GF283" s="66"/>
      <c r="GG283" s="66"/>
      <c r="GH283" s="66"/>
      <c r="GI283" s="66"/>
      <c r="GJ283" s="77"/>
    </row>
    <row r="284" spans="1:192" ht="18.600000000000001" customHeight="1" x14ac:dyDescent="0.25">
      <c r="A284" s="89"/>
      <c r="B284" s="17"/>
      <c r="C284" s="50"/>
      <c r="D284" s="140"/>
      <c r="E284" s="51"/>
      <c r="F284" s="139">
        <f t="shared" si="159"/>
        <v>1</v>
      </c>
      <c r="G284" s="49"/>
      <c r="H284" s="50"/>
      <c r="I284" s="122"/>
      <c r="J284" s="49"/>
      <c r="K284" s="50"/>
      <c r="L284" s="50"/>
      <c r="M284" s="90"/>
      <c r="N284" s="50"/>
      <c r="O284" s="50"/>
      <c r="P284" s="90"/>
      <c r="Q284" s="52">
        <f t="shared" si="164"/>
        <v>0</v>
      </c>
      <c r="R284" s="52">
        <f t="shared" si="165"/>
        <v>0</v>
      </c>
      <c r="S284" s="53">
        <f t="shared" si="166"/>
        <v>0</v>
      </c>
      <c r="T284" s="54">
        <f t="shared" si="167"/>
        <v>0</v>
      </c>
      <c r="U284" s="115">
        <f>SUM(Tableau1[[#This Row],[Vente confiserie]:[Vente boisson]])</f>
        <v>0</v>
      </c>
      <c r="V284" s="55"/>
      <c r="W284" s="55"/>
      <c r="X284" s="135">
        <f>SUM(Tableau1[[#This Row],[Vente lunette]:[Location lunette]])</f>
        <v>0</v>
      </c>
      <c r="Y284" s="55"/>
      <c r="Z284" s="55"/>
      <c r="AA284" s="55"/>
      <c r="AB284" s="55"/>
      <c r="AC284" s="56">
        <f t="shared" si="196"/>
        <v>0</v>
      </c>
      <c r="AD284" s="57"/>
      <c r="AE284" s="57"/>
      <c r="AF284" s="57"/>
      <c r="AG284" s="57"/>
      <c r="AH284" s="57"/>
      <c r="AI284" s="57"/>
      <c r="AJ284" s="118">
        <f>(Tableau1[[#This Row],[Recette guichet ]]*1.1275177)-Tableau1[[#This Row],[Recette guichet ]]</f>
        <v>0</v>
      </c>
      <c r="AK284" s="57"/>
      <c r="AL284" s="56">
        <f t="shared" si="197"/>
        <v>0</v>
      </c>
      <c r="AM284" s="58"/>
      <c r="AN284" s="58"/>
      <c r="AO284" s="58"/>
      <c r="AP284" s="115">
        <f t="shared" si="168"/>
        <v>0</v>
      </c>
      <c r="AQ284" s="69"/>
      <c r="AR284" s="69"/>
      <c r="AS284" s="69"/>
      <c r="AT284" s="69"/>
      <c r="AU284" s="59">
        <f t="shared" si="169"/>
        <v>0</v>
      </c>
      <c r="AV284" s="60">
        <f t="shared" si="170"/>
        <v>0</v>
      </c>
      <c r="AW284" s="58"/>
      <c r="AX284" s="58"/>
      <c r="AY284" s="58"/>
      <c r="AZ284" s="60">
        <f t="shared" si="160"/>
        <v>0</v>
      </c>
      <c r="BA284" s="58"/>
      <c r="BB284" s="58"/>
      <c r="BC284" s="58"/>
      <c r="BD284" s="60">
        <f>SUM(Tableau1[[#This Row],[ticket/carte/abonnement périmé]:[Autres ou non précisé 5]])</f>
        <v>0</v>
      </c>
      <c r="BE284" s="58"/>
      <c r="BF284" s="58"/>
      <c r="BG284" s="58"/>
      <c r="BH284" s="61">
        <f t="shared" si="171"/>
        <v>0</v>
      </c>
      <c r="BI284" s="120"/>
      <c r="BJ284" s="120"/>
      <c r="BK284" s="62">
        <f t="shared" si="172"/>
        <v>0</v>
      </c>
      <c r="BL284" s="120"/>
      <c r="BM284" s="120"/>
      <c r="BN284" s="120"/>
      <c r="BO284" s="120"/>
      <c r="BP284" s="120"/>
      <c r="BQ284" s="63"/>
      <c r="BR284" s="52">
        <f t="shared" si="173"/>
        <v>0</v>
      </c>
      <c r="BS284" s="52">
        <f t="shared" si="174"/>
        <v>0</v>
      </c>
      <c r="BT284" s="61">
        <f t="shared" si="175"/>
        <v>0</v>
      </c>
      <c r="BU284" s="64">
        <f t="shared" si="176"/>
        <v>0</v>
      </c>
      <c r="BV284" s="119">
        <f>SUM(Tableau1[[#This Row],[Achats confiserie]:[Achats boisson]])</f>
        <v>0</v>
      </c>
      <c r="BW284" s="58"/>
      <c r="BX284" s="69"/>
      <c r="BY284" s="58"/>
      <c r="BZ284" s="56">
        <f t="shared" si="177"/>
        <v>0</v>
      </c>
      <c r="CA284" s="66"/>
      <c r="CB284" s="66"/>
      <c r="CC284" s="56">
        <f t="shared" si="178"/>
        <v>0</v>
      </c>
      <c r="CD284" s="55"/>
      <c r="CE284" s="65"/>
      <c r="CF284" s="55"/>
      <c r="CG284" s="55"/>
      <c r="CH284" s="67">
        <f t="shared" si="179"/>
        <v>0</v>
      </c>
      <c r="CI284" s="68">
        <f t="shared" si="195"/>
        <v>0</v>
      </c>
      <c r="CJ284" s="55"/>
      <c r="CK284" s="55"/>
      <c r="CL284" s="55"/>
      <c r="CM284" s="55"/>
      <c r="CN284" s="55"/>
      <c r="CO284" s="68">
        <f t="shared" si="180"/>
        <v>0</v>
      </c>
      <c r="CP284" s="75">
        <f>SUM(Tableau1[[#This Row],[Fourniture eau]:[Energie (non précisé)]])</f>
        <v>0</v>
      </c>
      <c r="CQ284" s="55"/>
      <c r="CR284" s="55"/>
      <c r="CS284" s="55"/>
      <c r="CT284" s="55"/>
      <c r="CU284" s="55"/>
      <c r="CV284" s="55">
        <v>0</v>
      </c>
      <c r="CW284" s="55"/>
      <c r="CX284" s="68">
        <f>SUM(Tableau1[[#This Row],[Sous-traitance]:[Autres ou non précisé 12]])</f>
        <v>0</v>
      </c>
      <c r="CY284" s="65"/>
      <c r="CZ284" s="65"/>
      <c r="DA284" s="65"/>
      <c r="DB284" s="65"/>
      <c r="DC284" s="55"/>
      <c r="DD284" s="68">
        <f t="shared" si="161"/>
        <v>0</v>
      </c>
      <c r="DE284" s="55"/>
      <c r="DF284" s="65"/>
      <c r="DG284" s="65"/>
      <c r="DH284" s="65"/>
      <c r="DI284" s="68">
        <f>SUM(Tableau1[[#This Row],[Entretien et réparation matériel de projection]:[Autres ou non précisé 14]])</f>
        <v>0</v>
      </c>
      <c r="DJ284" s="58"/>
      <c r="DK284" s="58"/>
      <c r="DL284" s="69"/>
      <c r="DM284" s="68">
        <f t="shared" si="181"/>
        <v>0</v>
      </c>
      <c r="DN284" s="58"/>
      <c r="DO284" s="58"/>
      <c r="DP284" s="68">
        <f t="shared" si="182"/>
        <v>0</v>
      </c>
      <c r="DQ284" s="65"/>
      <c r="DR284" s="65"/>
      <c r="DS284" s="68">
        <f t="shared" si="183"/>
        <v>0</v>
      </c>
      <c r="DT284" s="65"/>
      <c r="DU284" s="65"/>
      <c r="DV284" s="65"/>
      <c r="DW284" s="68">
        <f>SUM(Tableau1[[#This Row],[Comission et courtage sur achats]:[Autres ou honoraires
 non précisé ]])</f>
        <v>0</v>
      </c>
      <c r="DX284" s="57"/>
      <c r="DY284" s="57"/>
      <c r="DZ284" s="65"/>
      <c r="EA284" s="65"/>
      <c r="EB284" s="65"/>
      <c r="EC284" s="68">
        <f t="shared" si="184"/>
        <v>0</v>
      </c>
      <c r="ED284" s="69"/>
      <c r="EE284" s="69"/>
      <c r="EF284" s="69"/>
      <c r="EG284" s="69"/>
      <c r="EH284" s="69"/>
      <c r="EI284" s="84">
        <f>SUM(Tableau1[[#This Row],[Transports sur films]:[autres ]])</f>
        <v>0</v>
      </c>
      <c r="EJ284" s="132">
        <v>0</v>
      </c>
      <c r="EK284" s="132"/>
      <c r="EL284" s="68">
        <f t="shared" si="185"/>
        <v>0</v>
      </c>
      <c r="EM284" s="65"/>
      <c r="EN284" s="65">
        <v>0</v>
      </c>
      <c r="EO284" s="65"/>
      <c r="EP284" s="65"/>
      <c r="EQ284" s="65"/>
      <c r="ER284" s="65"/>
      <c r="ES284" s="65"/>
      <c r="ET284" s="68">
        <f t="shared" si="186"/>
        <v>0</v>
      </c>
      <c r="EU284" s="65"/>
      <c r="EV284" s="65"/>
      <c r="EW284" s="65"/>
      <c r="EX284" s="65"/>
      <c r="EY284" s="65"/>
      <c r="EZ284" s="68">
        <f t="shared" si="163"/>
        <v>0</v>
      </c>
      <c r="FA284" s="65"/>
      <c r="FB284" s="65"/>
      <c r="FC284" s="70">
        <f t="shared" si="162"/>
        <v>0</v>
      </c>
      <c r="FD284" s="65"/>
      <c r="FE284" s="71">
        <f t="shared" si="187"/>
        <v>0</v>
      </c>
      <c r="FF284" s="72">
        <f t="shared" si="188"/>
        <v>0</v>
      </c>
      <c r="FG284" s="65"/>
      <c r="FH284" s="65"/>
      <c r="FI284" s="65"/>
      <c r="FJ284" s="56">
        <f t="shared" si="189"/>
        <v>0</v>
      </c>
      <c r="FK284" s="65"/>
      <c r="FL284" s="65"/>
      <c r="FM284" s="65"/>
      <c r="FN284" s="65"/>
      <c r="FO284" s="67">
        <f t="shared" si="190"/>
        <v>0</v>
      </c>
      <c r="FP284" s="57"/>
      <c r="FQ284" s="73"/>
      <c r="FR284" s="73"/>
      <c r="FS284" s="71">
        <f t="shared" si="191"/>
        <v>0</v>
      </c>
      <c r="FT284" s="91"/>
      <c r="FU284" s="91"/>
      <c r="FV284" s="67">
        <f>SUM(Tableau1[[#This Row],[Droits d''auteurs SACEM + cotisations SACEM]:[Autres ou non préciés]])</f>
        <v>0</v>
      </c>
      <c r="FW284" s="75">
        <f t="shared" si="192"/>
        <v>0</v>
      </c>
      <c r="FX284" s="74">
        <v>0</v>
      </c>
      <c r="FY284" s="74"/>
      <c r="FZ284" s="74"/>
      <c r="GA284" s="74"/>
      <c r="GB284" s="71">
        <f t="shared" si="193"/>
        <v>0</v>
      </c>
      <c r="GC284" s="92"/>
      <c r="GD284" s="92"/>
      <c r="GE284" s="67">
        <f t="shared" si="194"/>
        <v>0</v>
      </c>
      <c r="GF284" s="66"/>
      <c r="GG284" s="66"/>
      <c r="GH284" s="66"/>
      <c r="GI284" s="66"/>
      <c r="GJ284" s="77"/>
    </row>
    <row r="285" spans="1:192" ht="18.600000000000001" customHeight="1" x14ac:dyDescent="0.25">
      <c r="A285" s="89"/>
      <c r="B285" s="17"/>
      <c r="C285" s="50"/>
      <c r="D285" s="140"/>
      <c r="E285" s="51"/>
      <c r="F285" s="139">
        <f t="shared" si="159"/>
        <v>1</v>
      </c>
      <c r="G285" s="49"/>
      <c r="H285" s="50"/>
      <c r="I285" s="122"/>
      <c r="J285" s="49"/>
      <c r="K285" s="50"/>
      <c r="L285" s="50"/>
      <c r="M285" s="90"/>
      <c r="N285" s="50"/>
      <c r="O285" s="50"/>
      <c r="P285" s="90"/>
      <c r="Q285" s="52">
        <f t="shared" si="164"/>
        <v>0</v>
      </c>
      <c r="R285" s="52">
        <f t="shared" si="165"/>
        <v>0</v>
      </c>
      <c r="S285" s="53">
        <f t="shared" si="166"/>
        <v>0</v>
      </c>
      <c r="T285" s="54">
        <f t="shared" si="167"/>
        <v>0</v>
      </c>
      <c r="U285" s="115">
        <f>SUM(Tableau1[[#This Row],[Vente confiserie]:[Vente boisson]])</f>
        <v>0</v>
      </c>
      <c r="V285" s="55"/>
      <c r="W285" s="55"/>
      <c r="X285" s="135">
        <f>SUM(Tableau1[[#This Row],[Vente lunette]:[Location lunette]])</f>
        <v>0</v>
      </c>
      <c r="Y285" s="55"/>
      <c r="Z285" s="55"/>
      <c r="AA285" s="55"/>
      <c r="AB285" s="55"/>
      <c r="AC285" s="56">
        <f t="shared" si="196"/>
        <v>0</v>
      </c>
      <c r="AD285" s="57"/>
      <c r="AE285" s="57"/>
      <c r="AF285" s="57"/>
      <c r="AG285" s="57"/>
      <c r="AH285" s="57"/>
      <c r="AI285" s="57"/>
      <c r="AJ285" s="118">
        <f>(Tableau1[[#This Row],[Recette guichet ]]*1.1275177)-Tableau1[[#This Row],[Recette guichet ]]</f>
        <v>0</v>
      </c>
      <c r="AK285" s="57"/>
      <c r="AL285" s="56">
        <f t="shared" si="197"/>
        <v>0</v>
      </c>
      <c r="AM285" s="58"/>
      <c r="AN285" s="58"/>
      <c r="AO285" s="58"/>
      <c r="AP285" s="115">
        <f t="shared" si="168"/>
        <v>0</v>
      </c>
      <c r="AQ285" s="69"/>
      <c r="AR285" s="69"/>
      <c r="AS285" s="69"/>
      <c r="AT285" s="69"/>
      <c r="AU285" s="59">
        <f t="shared" si="169"/>
        <v>0</v>
      </c>
      <c r="AV285" s="60">
        <f t="shared" si="170"/>
        <v>0</v>
      </c>
      <c r="AW285" s="58"/>
      <c r="AX285" s="58"/>
      <c r="AY285" s="58"/>
      <c r="AZ285" s="60">
        <f t="shared" si="160"/>
        <v>0</v>
      </c>
      <c r="BA285" s="58"/>
      <c r="BB285" s="58"/>
      <c r="BC285" s="58"/>
      <c r="BD285" s="60">
        <f>SUM(Tableau1[[#This Row],[ticket/carte/abonnement périmé]:[Autres ou non précisé 5]])</f>
        <v>0</v>
      </c>
      <c r="BE285" s="58"/>
      <c r="BF285" s="58"/>
      <c r="BG285" s="58"/>
      <c r="BH285" s="61">
        <f t="shared" si="171"/>
        <v>0</v>
      </c>
      <c r="BI285" s="120"/>
      <c r="BJ285" s="120"/>
      <c r="BK285" s="62">
        <f t="shared" si="172"/>
        <v>0</v>
      </c>
      <c r="BL285" s="120"/>
      <c r="BM285" s="120"/>
      <c r="BN285" s="120"/>
      <c r="BO285" s="120"/>
      <c r="BP285" s="120"/>
      <c r="BQ285" s="63"/>
      <c r="BR285" s="52">
        <f t="shared" si="173"/>
        <v>0</v>
      </c>
      <c r="BS285" s="52">
        <f t="shared" si="174"/>
        <v>0</v>
      </c>
      <c r="BT285" s="61">
        <f t="shared" si="175"/>
        <v>0</v>
      </c>
      <c r="BU285" s="64">
        <f t="shared" si="176"/>
        <v>0</v>
      </c>
      <c r="BV285" s="119">
        <f>SUM(Tableau1[[#This Row],[Achats confiserie]:[Achats boisson]])</f>
        <v>0</v>
      </c>
      <c r="BW285" s="58"/>
      <c r="BX285" s="69"/>
      <c r="BY285" s="58"/>
      <c r="BZ285" s="56">
        <f t="shared" si="177"/>
        <v>0</v>
      </c>
      <c r="CA285" s="66"/>
      <c r="CB285" s="66"/>
      <c r="CC285" s="56">
        <f t="shared" si="178"/>
        <v>0</v>
      </c>
      <c r="CD285" s="55"/>
      <c r="CE285" s="65"/>
      <c r="CF285" s="55"/>
      <c r="CG285" s="55"/>
      <c r="CH285" s="67">
        <f t="shared" si="179"/>
        <v>0</v>
      </c>
      <c r="CI285" s="68">
        <f t="shared" si="195"/>
        <v>0</v>
      </c>
      <c r="CJ285" s="55"/>
      <c r="CK285" s="55"/>
      <c r="CL285" s="55"/>
      <c r="CM285" s="55"/>
      <c r="CN285" s="55"/>
      <c r="CO285" s="68">
        <f t="shared" si="180"/>
        <v>0</v>
      </c>
      <c r="CP285" s="75">
        <f>SUM(Tableau1[[#This Row],[Fourniture eau]:[Energie (non précisé)]])</f>
        <v>0</v>
      </c>
      <c r="CQ285" s="55"/>
      <c r="CR285" s="55"/>
      <c r="CS285" s="55"/>
      <c r="CT285" s="55"/>
      <c r="CU285" s="55"/>
      <c r="CV285" s="55">
        <v>0</v>
      </c>
      <c r="CW285" s="55"/>
      <c r="CX285" s="68">
        <f>SUM(Tableau1[[#This Row],[Sous-traitance]:[Autres ou non précisé 12]])</f>
        <v>0</v>
      </c>
      <c r="CY285" s="65"/>
      <c r="CZ285" s="65"/>
      <c r="DA285" s="65"/>
      <c r="DB285" s="65"/>
      <c r="DC285" s="55"/>
      <c r="DD285" s="68">
        <f t="shared" si="161"/>
        <v>0</v>
      </c>
      <c r="DE285" s="55"/>
      <c r="DF285" s="65"/>
      <c r="DG285" s="65"/>
      <c r="DH285" s="65"/>
      <c r="DI285" s="68">
        <f>SUM(Tableau1[[#This Row],[Entretien et réparation matériel de projection]:[Autres ou non précisé 14]])</f>
        <v>0</v>
      </c>
      <c r="DJ285" s="58"/>
      <c r="DK285" s="58"/>
      <c r="DL285" s="69"/>
      <c r="DM285" s="68">
        <f t="shared" si="181"/>
        <v>0</v>
      </c>
      <c r="DN285" s="58"/>
      <c r="DO285" s="58"/>
      <c r="DP285" s="68">
        <f t="shared" si="182"/>
        <v>0</v>
      </c>
      <c r="DQ285" s="65"/>
      <c r="DR285" s="65"/>
      <c r="DS285" s="68">
        <f t="shared" si="183"/>
        <v>0</v>
      </c>
      <c r="DT285" s="65"/>
      <c r="DU285" s="65"/>
      <c r="DV285" s="65"/>
      <c r="DW285" s="68">
        <f>SUM(Tableau1[[#This Row],[Comission et courtage sur achats]:[Autres ou honoraires
 non précisé ]])</f>
        <v>0</v>
      </c>
      <c r="DX285" s="57"/>
      <c r="DY285" s="57"/>
      <c r="DZ285" s="65"/>
      <c r="EA285" s="65"/>
      <c r="EB285" s="65"/>
      <c r="EC285" s="68">
        <f t="shared" si="184"/>
        <v>0</v>
      </c>
      <c r="ED285" s="69"/>
      <c r="EE285" s="69"/>
      <c r="EF285" s="69"/>
      <c r="EG285" s="69"/>
      <c r="EH285" s="69"/>
      <c r="EI285" s="84">
        <f>SUM(Tableau1[[#This Row],[Transports sur films]:[autres ]])</f>
        <v>0</v>
      </c>
      <c r="EJ285" s="132">
        <v>0</v>
      </c>
      <c r="EK285" s="132"/>
      <c r="EL285" s="68">
        <f t="shared" si="185"/>
        <v>0</v>
      </c>
      <c r="EM285" s="65"/>
      <c r="EN285" s="65">
        <v>0</v>
      </c>
      <c r="EO285" s="65"/>
      <c r="EP285" s="65"/>
      <c r="EQ285" s="65"/>
      <c r="ER285" s="65"/>
      <c r="ES285" s="65"/>
      <c r="ET285" s="68">
        <f t="shared" si="186"/>
        <v>0</v>
      </c>
      <c r="EU285" s="65"/>
      <c r="EV285" s="65"/>
      <c r="EW285" s="65"/>
      <c r="EX285" s="65"/>
      <c r="EY285" s="65"/>
      <c r="EZ285" s="68">
        <f t="shared" si="163"/>
        <v>0</v>
      </c>
      <c r="FA285" s="65"/>
      <c r="FB285" s="65"/>
      <c r="FC285" s="70">
        <f t="shared" si="162"/>
        <v>0</v>
      </c>
      <c r="FD285" s="65"/>
      <c r="FE285" s="71">
        <f t="shared" si="187"/>
        <v>0</v>
      </c>
      <c r="FF285" s="72">
        <f t="shared" si="188"/>
        <v>0</v>
      </c>
      <c r="FG285" s="65"/>
      <c r="FH285" s="65"/>
      <c r="FI285" s="65"/>
      <c r="FJ285" s="56">
        <f t="shared" si="189"/>
        <v>0</v>
      </c>
      <c r="FK285" s="65"/>
      <c r="FL285" s="65"/>
      <c r="FM285" s="65"/>
      <c r="FN285" s="65"/>
      <c r="FO285" s="67">
        <f t="shared" si="190"/>
        <v>0</v>
      </c>
      <c r="FP285" s="57"/>
      <c r="FQ285" s="73"/>
      <c r="FR285" s="73"/>
      <c r="FS285" s="71">
        <f t="shared" si="191"/>
        <v>0</v>
      </c>
      <c r="FT285" s="91"/>
      <c r="FU285" s="91"/>
      <c r="FV285" s="67">
        <f>SUM(Tableau1[[#This Row],[Droits d''auteurs SACEM + cotisations SACEM]:[Autres ou non préciés]])</f>
        <v>0</v>
      </c>
      <c r="FW285" s="75">
        <f t="shared" si="192"/>
        <v>0</v>
      </c>
      <c r="FX285" s="74">
        <v>0</v>
      </c>
      <c r="FY285" s="74"/>
      <c r="FZ285" s="74"/>
      <c r="GA285" s="74"/>
      <c r="GB285" s="71">
        <f t="shared" si="193"/>
        <v>0</v>
      </c>
      <c r="GC285" s="92"/>
      <c r="GD285" s="92"/>
      <c r="GE285" s="67">
        <f t="shared" si="194"/>
        <v>0</v>
      </c>
      <c r="GF285" s="66"/>
      <c r="GG285" s="66"/>
      <c r="GH285" s="66"/>
      <c r="GI285" s="66"/>
      <c r="GJ285" s="77"/>
    </row>
    <row r="286" spans="1:192" ht="18.600000000000001" customHeight="1" x14ac:dyDescent="0.25">
      <c r="A286" s="89"/>
      <c r="B286" s="17"/>
      <c r="C286" s="50"/>
      <c r="D286" s="140"/>
      <c r="E286" s="51"/>
      <c r="F286" s="139">
        <f t="shared" si="159"/>
        <v>1</v>
      </c>
      <c r="G286" s="49"/>
      <c r="H286" s="50"/>
      <c r="I286" s="122"/>
      <c r="J286" s="49"/>
      <c r="K286" s="50"/>
      <c r="L286" s="50"/>
      <c r="M286" s="90"/>
      <c r="N286" s="50"/>
      <c r="O286" s="50"/>
      <c r="P286" s="90"/>
      <c r="Q286" s="52">
        <f t="shared" si="164"/>
        <v>0</v>
      </c>
      <c r="R286" s="52">
        <f t="shared" si="165"/>
        <v>0</v>
      </c>
      <c r="S286" s="53">
        <f t="shared" si="166"/>
        <v>0</v>
      </c>
      <c r="T286" s="54">
        <f t="shared" si="167"/>
        <v>0</v>
      </c>
      <c r="U286" s="115">
        <f>SUM(Tableau1[[#This Row],[Vente confiserie]:[Vente boisson]])</f>
        <v>0</v>
      </c>
      <c r="V286" s="55"/>
      <c r="W286" s="55"/>
      <c r="X286" s="135">
        <f>SUM(Tableau1[[#This Row],[Vente lunette]:[Location lunette]])</f>
        <v>0</v>
      </c>
      <c r="Y286" s="55"/>
      <c r="Z286" s="55"/>
      <c r="AA286" s="55"/>
      <c r="AB286" s="55"/>
      <c r="AC286" s="56">
        <f t="shared" si="196"/>
        <v>0</v>
      </c>
      <c r="AD286" s="57"/>
      <c r="AE286" s="57"/>
      <c r="AF286" s="57"/>
      <c r="AG286" s="57"/>
      <c r="AH286" s="57"/>
      <c r="AI286" s="57"/>
      <c r="AJ286" s="118">
        <f>(Tableau1[[#This Row],[Recette guichet ]]*1.1275177)-Tableau1[[#This Row],[Recette guichet ]]</f>
        <v>0</v>
      </c>
      <c r="AK286" s="57"/>
      <c r="AL286" s="56">
        <f t="shared" si="197"/>
        <v>0</v>
      </c>
      <c r="AM286" s="58"/>
      <c r="AN286" s="58"/>
      <c r="AO286" s="58"/>
      <c r="AP286" s="115">
        <f t="shared" si="168"/>
        <v>0</v>
      </c>
      <c r="AQ286" s="69"/>
      <c r="AR286" s="69"/>
      <c r="AS286" s="69"/>
      <c r="AT286" s="69"/>
      <c r="AU286" s="59">
        <f t="shared" si="169"/>
        <v>0</v>
      </c>
      <c r="AV286" s="60">
        <f t="shared" si="170"/>
        <v>0</v>
      </c>
      <c r="AW286" s="58"/>
      <c r="AX286" s="58"/>
      <c r="AY286" s="58"/>
      <c r="AZ286" s="60">
        <f t="shared" si="160"/>
        <v>0</v>
      </c>
      <c r="BA286" s="58"/>
      <c r="BB286" s="58"/>
      <c r="BC286" s="58"/>
      <c r="BD286" s="60">
        <f>SUM(Tableau1[[#This Row],[ticket/carte/abonnement périmé]:[Autres ou non précisé 5]])</f>
        <v>0</v>
      </c>
      <c r="BE286" s="58"/>
      <c r="BF286" s="58"/>
      <c r="BG286" s="58"/>
      <c r="BH286" s="61">
        <f t="shared" si="171"/>
        <v>0</v>
      </c>
      <c r="BI286" s="120"/>
      <c r="BJ286" s="120"/>
      <c r="BK286" s="62">
        <f t="shared" si="172"/>
        <v>0</v>
      </c>
      <c r="BL286" s="120"/>
      <c r="BM286" s="120"/>
      <c r="BN286" s="120"/>
      <c r="BO286" s="120"/>
      <c r="BP286" s="120"/>
      <c r="BQ286" s="63"/>
      <c r="BR286" s="52">
        <f t="shared" si="173"/>
        <v>0</v>
      </c>
      <c r="BS286" s="52">
        <f t="shared" si="174"/>
        <v>0</v>
      </c>
      <c r="BT286" s="61">
        <f t="shared" si="175"/>
        <v>0</v>
      </c>
      <c r="BU286" s="64">
        <f t="shared" si="176"/>
        <v>0</v>
      </c>
      <c r="BV286" s="119">
        <f>SUM(Tableau1[[#This Row],[Achats confiserie]:[Achats boisson]])</f>
        <v>0</v>
      </c>
      <c r="BW286" s="58"/>
      <c r="BX286" s="69"/>
      <c r="BY286" s="58"/>
      <c r="BZ286" s="56">
        <f t="shared" si="177"/>
        <v>0</v>
      </c>
      <c r="CA286" s="66"/>
      <c r="CB286" s="66"/>
      <c r="CC286" s="56">
        <f t="shared" si="178"/>
        <v>0</v>
      </c>
      <c r="CD286" s="55"/>
      <c r="CE286" s="65"/>
      <c r="CF286" s="55"/>
      <c r="CG286" s="55"/>
      <c r="CH286" s="67">
        <f t="shared" si="179"/>
        <v>0</v>
      </c>
      <c r="CI286" s="68">
        <f t="shared" si="195"/>
        <v>0</v>
      </c>
      <c r="CJ286" s="55"/>
      <c r="CK286" s="55"/>
      <c r="CL286" s="55"/>
      <c r="CM286" s="55"/>
      <c r="CN286" s="55"/>
      <c r="CO286" s="68">
        <f t="shared" si="180"/>
        <v>0</v>
      </c>
      <c r="CP286" s="75">
        <f>SUM(Tableau1[[#This Row],[Fourniture eau]:[Energie (non précisé)]])</f>
        <v>0</v>
      </c>
      <c r="CQ286" s="55"/>
      <c r="CR286" s="55"/>
      <c r="CS286" s="55"/>
      <c r="CT286" s="55"/>
      <c r="CU286" s="55"/>
      <c r="CV286" s="55">
        <v>0</v>
      </c>
      <c r="CW286" s="55"/>
      <c r="CX286" s="68">
        <f>SUM(Tableau1[[#This Row],[Sous-traitance]:[Autres ou non précisé 12]])</f>
        <v>0</v>
      </c>
      <c r="CY286" s="65"/>
      <c r="CZ286" s="65"/>
      <c r="DA286" s="65"/>
      <c r="DB286" s="65"/>
      <c r="DC286" s="55"/>
      <c r="DD286" s="68">
        <f t="shared" si="161"/>
        <v>0</v>
      </c>
      <c r="DE286" s="55"/>
      <c r="DF286" s="65"/>
      <c r="DG286" s="65"/>
      <c r="DH286" s="65"/>
      <c r="DI286" s="68">
        <f>SUM(Tableau1[[#This Row],[Entretien et réparation matériel de projection]:[Autres ou non précisé 14]])</f>
        <v>0</v>
      </c>
      <c r="DJ286" s="58"/>
      <c r="DK286" s="58"/>
      <c r="DL286" s="69"/>
      <c r="DM286" s="68">
        <f t="shared" si="181"/>
        <v>0</v>
      </c>
      <c r="DN286" s="58"/>
      <c r="DO286" s="58"/>
      <c r="DP286" s="68">
        <f t="shared" si="182"/>
        <v>0</v>
      </c>
      <c r="DQ286" s="65"/>
      <c r="DR286" s="65"/>
      <c r="DS286" s="68">
        <f t="shared" si="183"/>
        <v>0</v>
      </c>
      <c r="DT286" s="65"/>
      <c r="DU286" s="65"/>
      <c r="DV286" s="65"/>
      <c r="DW286" s="68">
        <f>SUM(Tableau1[[#This Row],[Comission et courtage sur achats]:[Autres ou honoraires
 non précisé ]])</f>
        <v>0</v>
      </c>
      <c r="DX286" s="57"/>
      <c r="DY286" s="57"/>
      <c r="DZ286" s="65"/>
      <c r="EA286" s="65"/>
      <c r="EB286" s="65"/>
      <c r="EC286" s="68">
        <f t="shared" si="184"/>
        <v>0</v>
      </c>
      <c r="ED286" s="69"/>
      <c r="EE286" s="69"/>
      <c r="EF286" s="69"/>
      <c r="EG286" s="69"/>
      <c r="EH286" s="69"/>
      <c r="EI286" s="84">
        <f>SUM(Tableau1[[#This Row],[Transports sur films]:[autres ]])</f>
        <v>0</v>
      </c>
      <c r="EJ286" s="132">
        <v>0</v>
      </c>
      <c r="EK286" s="132"/>
      <c r="EL286" s="68">
        <f t="shared" si="185"/>
        <v>0</v>
      </c>
      <c r="EM286" s="65"/>
      <c r="EN286" s="65">
        <v>0</v>
      </c>
      <c r="EO286" s="65"/>
      <c r="EP286" s="65"/>
      <c r="EQ286" s="65"/>
      <c r="ER286" s="65"/>
      <c r="ES286" s="65"/>
      <c r="ET286" s="68">
        <f t="shared" si="186"/>
        <v>0</v>
      </c>
      <c r="EU286" s="65"/>
      <c r="EV286" s="65"/>
      <c r="EW286" s="65"/>
      <c r="EX286" s="65"/>
      <c r="EY286" s="65"/>
      <c r="EZ286" s="68">
        <f t="shared" si="163"/>
        <v>0</v>
      </c>
      <c r="FA286" s="65"/>
      <c r="FB286" s="65"/>
      <c r="FC286" s="70">
        <f t="shared" si="162"/>
        <v>0</v>
      </c>
      <c r="FD286" s="65"/>
      <c r="FE286" s="71">
        <f t="shared" si="187"/>
        <v>0</v>
      </c>
      <c r="FF286" s="72">
        <f t="shared" si="188"/>
        <v>0</v>
      </c>
      <c r="FG286" s="65"/>
      <c r="FH286" s="65"/>
      <c r="FI286" s="65"/>
      <c r="FJ286" s="56">
        <f t="shared" si="189"/>
        <v>0</v>
      </c>
      <c r="FK286" s="65"/>
      <c r="FL286" s="65"/>
      <c r="FM286" s="65"/>
      <c r="FN286" s="65"/>
      <c r="FO286" s="67">
        <f t="shared" si="190"/>
        <v>0</v>
      </c>
      <c r="FP286" s="57"/>
      <c r="FQ286" s="73"/>
      <c r="FR286" s="73"/>
      <c r="FS286" s="71">
        <f t="shared" si="191"/>
        <v>0</v>
      </c>
      <c r="FT286" s="91"/>
      <c r="FU286" s="91"/>
      <c r="FV286" s="67">
        <f>SUM(Tableau1[[#This Row],[Droits d''auteurs SACEM + cotisations SACEM]:[Autres ou non préciés]])</f>
        <v>0</v>
      </c>
      <c r="FW286" s="75">
        <f t="shared" si="192"/>
        <v>0</v>
      </c>
      <c r="FX286" s="74">
        <v>0</v>
      </c>
      <c r="FY286" s="74"/>
      <c r="FZ286" s="74"/>
      <c r="GA286" s="74"/>
      <c r="GB286" s="71">
        <f t="shared" si="193"/>
        <v>0</v>
      </c>
      <c r="GC286" s="92"/>
      <c r="GD286" s="92"/>
      <c r="GE286" s="67">
        <f t="shared" si="194"/>
        <v>0</v>
      </c>
      <c r="GF286" s="66"/>
      <c r="GG286" s="66"/>
      <c r="GH286" s="66"/>
      <c r="GI286" s="66"/>
      <c r="GJ286" s="77"/>
    </row>
    <row r="287" spans="1:192" ht="18.600000000000001" customHeight="1" x14ac:dyDescent="0.25">
      <c r="A287" s="89"/>
      <c r="B287" s="17"/>
      <c r="C287" s="50"/>
      <c r="D287" s="140"/>
      <c r="E287" s="51"/>
      <c r="F287" s="139">
        <f t="shared" si="159"/>
        <v>1</v>
      </c>
      <c r="G287" s="49"/>
      <c r="H287" s="50"/>
      <c r="I287" s="122"/>
      <c r="J287" s="49"/>
      <c r="K287" s="50"/>
      <c r="L287" s="50"/>
      <c r="M287" s="90"/>
      <c r="N287" s="50"/>
      <c r="O287" s="50"/>
      <c r="P287" s="90"/>
      <c r="Q287" s="52">
        <f t="shared" si="164"/>
        <v>0</v>
      </c>
      <c r="R287" s="52">
        <f t="shared" si="165"/>
        <v>0</v>
      </c>
      <c r="S287" s="53">
        <f t="shared" si="166"/>
        <v>0</v>
      </c>
      <c r="T287" s="54">
        <f t="shared" si="167"/>
        <v>0</v>
      </c>
      <c r="U287" s="115">
        <f>SUM(Tableau1[[#This Row],[Vente confiserie]:[Vente boisson]])</f>
        <v>0</v>
      </c>
      <c r="V287" s="55"/>
      <c r="W287" s="55"/>
      <c r="X287" s="135">
        <f>SUM(Tableau1[[#This Row],[Vente lunette]:[Location lunette]])</f>
        <v>0</v>
      </c>
      <c r="Y287" s="55"/>
      <c r="Z287" s="55"/>
      <c r="AA287" s="55"/>
      <c r="AB287" s="55"/>
      <c r="AC287" s="56">
        <f t="shared" si="196"/>
        <v>0</v>
      </c>
      <c r="AD287" s="57"/>
      <c r="AE287" s="57"/>
      <c r="AF287" s="57"/>
      <c r="AG287" s="57"/>
      <c r="AH287" s="57"/>
      <c r="AI287" s="57"/>
      <c r="AJ287" s="118">
        <f>(Tableau1[[#This Row],[Recette guichet ]]*1.1275177)-Tableau1[[#This Row],[Recette guichet ]]</f>
        <v>0</v>
      </c>
      <c r="AK287" s="57"/>
      <c r="AL287" s="56">
        <f t="shared" si="197"/>
        <v>0</v>
      </c>
      <c r="AM287" s="58"/>
      <c r="AN287" s="58"/>
      <c r="AO287" s="58"/>
      <c r="AP287" s="115">
        <f t="shared" si="168"/>
        <v>0</v>
      </c>
      <c r="AQ287" s="69"/>
      <c r="AR287" s="69"/>
      <c r="AS287" s="69"/>
      <c r="AT287" s="69"/>
      <c r="AU287" s="59">
        <f t="shared" si="169"/>
        <v>0</v>
      </c>
      <c r="AV287" s="60">
        <f t="shared" si="170"/>
        <v>0</v>
      </c>
      <c r="AW287" s="58"/>
      <c r="AX287" s="58"/>
      <c r="AY287" s="58"/>
      <c r="AZ287" s="60">
        <f t="shared" si="160"/>
        <v>0</v>
      </c>
      <c r="BA287" s="58"/>
      <c r="BB287" s="58"/>
      <c r="BC287" s="58"/>
      <c r="BD287" s="60">
        <f>SUM(Tableau1[[#This Row],[ticket/carte/abonnement périmé]:[Autres ou non précisé 5]])</f>
        <v>0</v>
      </c>
      <c r="BE287" s="58"/>
      <c r="BF287" s="58"/>
      <c r="BG287" s="58"/>
      <c r="BH287" s="61">
        <f t="shared" si="171"/>
        <v>0</v>
      </c>
      <c r="BI287" s="120"/>
      <c r="BJ287" s="120"/>
      <c r="BK287" s="62">
        <f t="shared" si="172"/>
        <v>0</v>
      </c>
      <c r="BL287" s="120"/>
      <c r="BM287" s="120"/>
      <c r="BN287" s="120"/>
      <c r="BO287" s="120"/>
      <c r="BP287" s="120"/>
      <c r="BQ287" s="63"/>
      <c r="BR287" s="52">
        <f t="shared" si="173"/>
        <v>0</v>
      </c>
      <c r="BS287" s="52">
        <f t="shared" si="174"/>
        <v>0</v>
      </c>
      <c r="BT287" s="61">
        <f t="shared" si="175"/>
        <v>0</v>
      </c>
      <c r="BU287" s="64">
        <f t="shared" si="176"/>
        <v>0</v>
      </c>
      <c r="BV287" s="119">
        <f>SUM(Tableau1[[#This Row],[Achats confiserie]:[Achats boisson]])</f>
        <v>0</v>
      </c>
      <c r="BW287" s="58"/>
      <c r="BX287" s="69"/>
      <c r="BY287" s="58"/>
      <c r="BZ287" s="56">
        <f t="shared" si="177"/>
        <v>0</v>
      </c>
      <c r="CA287" s="66"/>
      <c r="CB287" s="66"/>
      <c r="CC287" s="56">
        <f t="shared" si="178"/>
        <v>0</v>
      </c>
      <c r="CD287" s="55"/>
      <c r="CE287" s="65"/>
      <c r="CF287" s="55"/>
      <c r="CG287" s="55"/>
      <c r="CH287" s="67">
        <f t="shared" si="179"/>
        <v>0</v>
      </c>
      <c r="CI287" s="68">
        <f t="shared" si="195"/>
        <v>0</v>
      </c>
      <c r="CJ287" s="55"/>
      <c r="CK287" s="55"/>
      <c r="CL287" s="55"/>
      <c r="CM287" s="55"/>
      <c r="CN287" s="55"/>
      <c r="CO287" s="68">
        <f t="shared" si="180"/>
        <v>0</v>
      </c>
      <c r="CP287" s="75">
        <f>SUM(Tableau1[[#This Row],[Fourniture eau]:[Energie (non précisé)]])</f>
        <v>0</v>
      </c>
      <c r="CQ287" s="55"/>
      <c r="CR287" s="55"/>
      <c r="CS287" s="55"/>
      <c r="CT287" s="55"/>
      <c r="CU287" s="55"/>
      <c r="CV287" s="55">
        <v>0</v>
      </c>
      <c r="CW287" s="55"/>
      <c r="CX287" s="68">
        <f>SUM(Tableau1[[#This Row],[Sous-traitance]:[Autres ou non précisé 12]])</f>
        <v>0</v>
      </c>
      <c r="CY287" s="65"/>
      <c r="CZ287" s="65"/>
      <c r="DA287" s="65"/>
      <c r="DB287" s="65"/>
      <c r="DC287" s="55"/>
      <c r="DD287" s="68">
        <f t="shared" si="161"/>
        <v>0</v>
      </c>
      <c r="DE287" s="55"/>
      <c r="DF287" s="65"/>
      <c r="DG287" s="65"/>
      <c r="DH287" s="65"/>
      <c r="DI287" s="68">
        <f>SUM(Tableau1[[#This Row],[Entretien et réparation matériel de projection]:[Autres ou non précisé 14]])</f>
        <v>0</v>
      </c>
      <c r="DJ287" s="58"/>
      <c r="DK287" s="58"/>
      <c r="DL287" s="69"/>
      <c r="DM287" s="68">
        <f t="shared" si="181"/>
        <v>0</v>
      </c>
      <c r="DN287" s="58"/>
      <c r="DO287" s="58"/>
      <c r="DP287" s="68">
        <f t="shared" si="182"/>
        <v>0</v>
      </c>
      <c r="DQ287" s="65"/>
      <c r="DR287" s="65"/>
      <c r="DS287" s="68">
        <f t="shared" si="183"/>
        <v>0</v>
      </c>
      <c r="DT287" s="65"/>
      <c r="DU287" s="65"/>
      <c r="DV287" s="65"/>
      <c r="DW287" s="68">
        <f>SUM(Tableau1[[#This Row],[Comission et courtage sur achats]:[Autres ou honoraires
 non précisé ]])</f>
        <v>0</v>
      </c>
      <c r="DX287" s="57"/>
      <c r="DY287" s="57"/>
      <c r="DZ287" s="65"/>
      <c r="EA287" s="65"/>
      <c r="EB287" s="65"/>
      <c r="EC287" s="68">
        <f t="shared" si="184"/>
        <v>0</v>
      </c>
      <c r="ED287" s="69"/>
      <c r="EE287" s="69"/>
      <c r="EF287" s="69"/>
      <c r="EG287" s="69"/>
      <c r="EH287" s="69"/>
      <c r="EI287" s="84">
        <f>SUM(Tableau1[[#This Row],[Transports sur films]:[autres ]])</f>
        <v>0</v>
      </c>
      <c r="EJ287" s="132">
        <v>0</v>
      </c>
      <c r="EK287" s="132"/>
      <c r="EL287" s="68">
        <f t="shared" si="185"/>
        <v>0</v>
      </c>
      <c r="EM287" s="65"/>
      <c r="EN287" s="65">
        <v>0</v>
      </c>
      <c r="EO287" s="65"/>
      <c r="EP287" s="65"/>
      <c r="EQ287" s="65"/>
      <c r="ER287" s="65"/>
      <c r="ES287" s="65"/>
      <c r="ET287" s="68">
        <f t="shared" si="186"/>
        <v>0</v>
      </c>
      <c r="EU287" s="65"/>
      <c r="EV287" s="65"/>
      <c r="EW287" s="65"/>
      <c r="EX287" s="65"/>
      <c r="EY287" s="65"/>
      <c r="EZ287" s="68">
        <f t="shared" si="163"/>
        <v>0</v>
      </c>
      <c r="FA287" s="65"/>
      <c r="FB287" s="65"/>
      <c r="FC287" s="70">
        <f t="shared" si="162"/>
        <v>0</v>
      </c>
      <c r="FD287" s="65"/>
      <c r="FE287" s="71">
        <f t="shared" si="187"/>
        <v>0</v>
      </c>
      <c r="FF287" s="72">
        <f t="shared" si="188"/>
        <v>0</v>
      </c>
      <c r="FG287" s="65"/>
      <c r="FH287" s="65"/>
      <c r="FI287" s="65"/>
      <c r="FJ287" s="56">
        <f t="shared" si="189"/>
        <v>0</v>
      </c>
      <c r="FK287" s="65"/>
      <c r="FL287" s="65"/>
      <c r="FM287" s="65"/>
      <c r="FN287" s="65"/>
      <c r="FO287" s="67">
        <f t="shared" si="190"/>
        <v>0</v>
      </c>
      <c r="FP287" s="57"/>
      <c r="FQ287" s="73"/>
      <c r="FR287" s="73"/>
      <c r="FS287" s="71">
        <f t="shared" si="191"/>
        <v>0</v>
      </c>
      <c r="FT287" s="91"/>
      <c r="FU287" s="91"/>
      <c r="FV287" s="67">
        <f>SUM(Tableau1[[#This Row],[Droits d''auteurs SACEM + cotisations SACEM]:[Autres ou non préciés]])</f>
        <v>0</v>
      </c>
      <c r="FW287" s="75">
        <f t="shared" si="192"/>
        <v>0</v>
      </c>
      <c r="FX287" s="74">
        <v>0</v>
      </c>
      <c r="FY287" s="74"/>
      <c r="FZ287" s="74"/>
      <c r="GA287" s="74"/>
      <c r="GB287" s="71">
        <f t="shared" si="193"/>
        <v>0</v>
      </c>
      <c r="GC287" s="92"/>
      <c r="GD287" s="92"/>
      <c r="GE287" s="67">
        <f t="shared" si="194"/>
        <v>0</v>
      </c>
      <c r="GF287" s="66"/>
      <c r="GG287" s="66"/>
      <c r="GH287" s="66"/>
      <c r="GI287" s="66"/>
      <c r="GJ287" s="77"/>
    </row>
    <row r="288" spans="1:192" ht="18.600000000000001" customHeight="1" x14ac:dyDescent="0.25">
      <c r="A288" s="89"/>
      <c r="B288" s="17"/>
      <c r="C288" s="50"/>
      <c r="D288" s="140"/>
      <c r="E288" s="51"/>
      <c r="F288" s="139">
        <f t="shared" si="159"/>
        <v>1</v>
      </c>
      <c r="G288" s="49"/>
      <c r="H288" s="50"/>
      <c r="I288" s="122"/>
      <c r="J288" s="49"/>
      <c r="K288" s="50"/>
      <c r="L288" s="50"/>
      <c r="M288" s="90"/>
      <c r="N288" s="50"/>
      <c r="O288" s="50"/>
      <c r="P288" s="90"/>
      <c r="Q288" s="52">
        <f t="shared" si="164"/>
        <v>0</v>
      </c>
      <c r="R288" s="52">
        <f t="shared" si="165"/>
        <v>0</v>
      </c>
      <c r="S288" s="53">
        <f t="shared" si="166"/>
        <v>0</v>
      </c>
      <c r="T288" s="54">
        <f t="shared" si="167"/>
        <v>0</v>
      </c>
      <c r="U288" s="115">
        <f>SUM(Tableau1[[#This Row],[Vente confiserie]:[Vente boisson]])</f>
        <v>0</v>
      </c>
      <c r="V288" s="55"/>
      <c r="W288" s="55"/>
      <c r="X288" s="135">
        <f>SUM(Tableau1[[#This Row],[Vente lunette]:[Location lunette]])</f>
        <v>0</v>
      </c>
      <c r="Y288" s="55"/>
      <c r="Z288" s="55"/>
      <c r="AA288" s="55"/>
      <c r="AB288" s="55"/>
      <c r="AC288" s="56">
        <f t="shared" si="196"/>
        <v>0</v>
      </c>
      <c r="AD288" s="57"/>
      <c r="AE288" s="57"/>
      <c r="AF288" s="57"/>
      <c r="AG288" s="57"/>
      <c r="AH288" s="57"/>
      <c r="AI288" s="57"/>
      <c r="AJ288" s="118">
        <f>(Tableau1[[#This Row],[Recette guichet ]]*1.1275177)-Tableau1[[#This Row],[Recette guichet ]]</f>
        <v>0</v>
      </c>
      <c r="AK288" s="57"/>
      <c r="AL288" s="56">
        <f t="shared" si="197"/>
        <v>0</v>
      </c>
      <c r="AM288" s="58"/>
      <c r="AN288" s="58"/>
      <c r="AO288" s="58"/>
      <c r="AP288" s="115">
        <f t="shared" si="168"/>
        <v>0</v>
      </c>
      <c r="AQ288" s="69"/>
      <c r="AR288" s="69"/>
      <c r="AS288" s="69"/>
      <c r="AT288" s="69"/>
      <c r="AU288" s="59">
        <f t="shared" si="169"/>
        <v>0</v>
      </c>
      <c r="AV288" s="60">
        <f t="shared" si="170"/>
        <v>0</v>
      </c>
      <c r="AW288" s="58"/>
      <c r="AX288" s="58"/>
      <c r="AY288" s="58"/>
      <c r="AZ288" s="60">
        <f t="shared" si="160"/>
        <v>0</v>
      </c>
      <c r="BA288" s="58"/>
      <c r="BB288" s="58"/>
      <c r="BC288" s="58"/>
      <c r="BD288" s="60">
        <f>SUM(Tableau1[[#This Row],[ticket/carte/abonnement périmé]:[Autres ou non précisé 5]])</f>
        <v>0</v>
      </c>
      <c r="BE288" s="58"/>
      <c r="BF288" s="58"/>
      <c r="BG288" s="58"/>
      <c r="BH288" s="61">
        <f t="shared" si="171"/>
        <v>0</v>
      </c>
      <c r="BI288" s="120"/>
      <c r="BJ288" s="120"/>
      <c r="BK288" s="62">
        <f t="shared" si="172"/>
        <v>0</v>
      </c>
      <c r="BL288" s="120"/>
      <c r="BM288" s="120"/>
      <c r="BN288" s="120"/>
      <c r="BO288" s="120"/>
      <c r="BP288" s="120"/>
      <c r="BQ288" s="63"/>
      <c r="BR288" s="52">
        <f t="shared" si="173"/>
        <v>0</v>
      </c>
      <c r="BS288" s="52">
        <f t="shared" si="174"/>
        <v>0</v>
      </c>
      <c r="BT288" s="61">
        <f t="shared" si="175"/>
        <v>0</v>
      </c>
      <c r="BU288" s="64">
        <f t="shared" si="176"/>
        <v>0</v>
      </c>
      <c r="BV288" s="119">
        <f>SUM(Tableau1[[#This Row],[Achats confiserie]:[Achats boisson]])</f>
        <v>0</v>
      </c>
      <c r="BW288" s="58"/>
      <c r="BX288" s="69"/>
      <c r="BY288" s="58"/>
      <c r="BZ288" s="56">
        <f t="shared" si="177"/>
        <v>0</v>
      </c>
      <c r="CA288" s="66"/>
      <c r="CB288" s="66"/>
      <c r="CC288" s="56">
        <f t="shared" si="178"/>
        <v>0</v>
      </c>
      <c r="CD288" s="55"/>
      <c r="CE288" s="65"/>
      <c r="CF288" s="55"/>
      <c r="CG288" s="55"/>
      <c r="CH288" s="67">
        <f t="shared" si="179"/>
        <v>0</v>
      </c>
      <c r="CI288" s="68">
        <f t="shared" si="195"/>
        <v>0</v>
      </c>
      <c r="CJ288" s="55"/>
      <c r="CK288" s="55"/>
      <c r="CL288" s="55"/>
      <c r="CM288" s="55"/>
      <c r="CN288" s="55"/>
      <c r="CO288" s="68">
        <f t="shared" si="180"/>
        <v>0</v>
      </c>
      <c r="CP288" s="75">
        <f>SUM(Tableau1[[#This Row],[Fourniture eau]:[Energie (non précisé)]])</f>
        <v>0</v>
      </c>
      <c r="CQ288" s="55"/>
      <c r="CR288" s="55"/>
      <c r="CS288" s="55"/>
      <c r="CT288" s="55"/>
      <c r="CU288" s="55"/>
      <c r="CV288" s="55">
        <v>0</v>
      </c>
      <c r="CW288" s="55"/>
      <c r="CX288" s="68">
        <f>SUM(Tableau1[[#This Row],[Sous-traitance]:[Autres ou non précisé 12]])</f>
        <v>0</v>
      </c>
      <c r="CY288" s="65"/>
      <c r="CZ288" s="65"/>
      <c r="DA288" s="65"/>
      <c r="DB288" s="65"/>
      <c r="DC288" s="55"/>
      <c r="DD288" s="68">
        <f t="shared" si="161"/>
        <v>0</v>
      </c>
      <c r="DE288" s="55"/>
      <c r="DF288" s="65"/>
      <c r="DG288" s="65"/>
      <c r="DH288" s="65"/>
      <c r="DI288" s="68">
        <f>SUM(Tableau1[[#This Row],[Entretien et réparation matériel de projection]:[Autres ou non précisé 14]])</f>
        <v>0</v>
      </c>
      <c r="DJ288" s="58"/>
      <c r="DK288" s="58"/>
      <c r="DL288" s="69"/>
      <c r="DM288" s="68">
        <f t="shared" si="181"/>
        <v>0</v>
      </c>
      <c r="DN288" s="58"/>
      <c r="DO288" s="58"/>
      <c r="DP288" s="68">
        <f t="shared" si="182"/>
        <v>0</v>
      </c>
      <c r="DQ288" s="65"/>
      <c r="DR288" s="65"/>
      <c r="DS288" s="68">
        <f t="shared" si="183"/>
        <v>0</v>
      </c>
      <c r="DT288" s="65"/>
      <c r="DU288" s="65"/>
      <c r="DV288" s="65"/>
      <c r="DW288" s="68">
        <f>SUM(Tableau1[[#This Row],[Comission et courtage sur achats]:[Autres ou honoraires
 non précisé ]])</f>
        <v>0</v>
      </c>
      <c r="DX288" s="57"/>
      <c r="DY288" s="57"/>
      <c r="DZ288" s="65"/>
      <c r="EA288" s="65"/>
      <c r="EB288" s="65"/>
      <c r="EC288" s="68">
        <f t="shared" si="184"/>
        <v>0</v>
      </c>
      <c r="ED288" s="69"/>
      <c r="EE288" s="69"/>
      <c r="EF288" s="69"/>
      <c r="EG288" s="69"/>
      <c r="EH288" s="69"/>
      <c r="EI288" s="84">
        <f>SUM(Tableau1[[#This Row],[Transports sur films]:[autres ]])</f>
        <v>0</v>
      </c>
      <c r="EJ288" s="132">
        <v>0</v>
      </c>
      <c r="EK288" s="132"/>
      <c r="EL288" s="68">
        <f t="shared" si="185"/>
        <v>0</v>
      </c>
      <c r="EM288" s="65"/>
      <c r="EN288" s="65">
        <v>0</v>
      </c>
      <c r="EO288" s="65"/>
      <c r="EP288" s="65"/>
      <c r="EQ288" s="65"/>
      <c r="ER288" s="65"/>
      <c r="ES288" s="65"/>
      <c r="ET288" s="68">
        <f t="shared" si="186"/>
        <v>0</v>
      </c>
      <c r="EU288" s="65"/>
      <c r="EV288" s="65"/>
      <c r="EW288" s="65"/>
      <c r="EX288" s="65"/>
      <c r="EY288" s="65"/>
      <c r="EZ288" s="68">
        <f t="shared" si="163"/>
        <v>0</v>
      </c>
      <c r="FA288" s="65"/>
      <c r="FB288" s="65"/>
      <c r="FC288" s="70">
        <f t="shared" si="162"/>
        <v>0</v>
      </c>
      <c r="FD288" s="65"/>
      <c r="FE288" s="71">
        <f t="shared" si="187"/>
        <v>0</v>
      </c>
      <c r="FF288" s="72">
        <f t="shared" si="188"/>
        <v>0</v>
      </c>
      <c r="FG288" s="65"/>
      <c r="FH288" s="65"/>
      <c r="FI288" s="65"/>
      <c r="FJ288" s="56">
        <f t="shared" si="189"/>
        <v>0</v>
      </c>
      <c r="FK288" s="65"/>
      <c r="FL288" s="65"/>
      <c r="FM288" s="65"/>
      <c r="FN288" s="65"/>
      <c r="FO288" s="67">
        <f t="shared" si="190"/>
        <v>0</v>
      </c>
      <c r="FP288" s="57"/>
      <c r="FQ288" s="73"/>
      <c r="FR288" s="73"/>
      <c r="FS288" s="71">
        <f t="shared" si="191"/>
        <v>0</v>
      </c>
      <c r="FT288" s="91"/>
      <c r="FU288" s="91"/>
      <c r="FV288" s="67">
        <f>SUM(Tableau1[[#This Row],[Droits d''auteurs SACEM + cotisations SACEM]:[Autres ou non préciés]])</f>
        <v>0</v>
      </c>
      <c r="FW288" s="75">
        <f t="shared" si="192"/>
        <v>0</v>
      </c>
      <c r="FX288" s="74">
        <v>0</v>
      </c>
      <c r="FY288" s="74"/>
      <c r="FZ288" s="74"/>
      <c r="GA288" s="74"/>
      <c r="GB288" s="71">
        <f t="shared" si="193"/>
        <v>0</v>
      </c>
      <c r="GC288" s="92"/>
      <c r="GD288" s="92"/>
      <c r="GE288" s="67">
        <f t="shared" si="194"/>
        <v>0</v>
      </c>
      <c r="GF288" s="66"/>
      <c r="GG288" s="66"/>
      <c r="GH288" s="66"/>
      <c r="GI288" s="66"/>
      <c r="GJ288" s="77"/>
    </row>
    <row r="289" spans="1:192" ht="18.600000000000001" customHeight="1" x14ac:dyDescent="0.25">
      <c r="A289" s="89"/>
      <c r="B289" s="17"/>
      <c r="C289" s="50"/>
      <c r="D289" s="140"/>
      <c r="E289" s="51"/>
      <c r="F289" s="139">
        <f t="shared" si="159"/>
        <v>1</v>
      </c>
      <c r="G289" s="49"/>
      <c r="H289" s="50"/>
      <c r="I289" s="122"/>
      <c r="J289" s="49"/>
      <c r="K289" s="50"/>
      <c r="L289" s="50"/>
      <c r="M289" s="90"/>
      <c r="N289" s="50"/>
      <c r="O289" s="50"/>
      <c r="P289" s="90"/>
      <c r="Q289" s="52">
        <f t="shared" si="164"/>
        <v>0</v>
      </c>
      <c r="R289" s="52">
        <f t="shared" si="165"/>
        <v>0</v>
      </c>
      <c r="S289" s="53">
        <f t="shared" si="166"/>
        <v>0</v>
      </c>
      <c r="T289" s="54">
        <f t="shared" si="167"/>
        <v>0</v>
      </c>
      <c r="U289" s="115">
        <f>SUM(Tableau1[[#This Row],[Vente confiserie]:[Vente boisson]])</f>
        <v>0</v>
      </c>
      <c r="V289" s="55"/>
      <c r="W289" s="55"/>
      <c r="X289" s="135">
        <f>SUM(Tableau1[[#This Row],[Vente lunette]:[Location lunette]])</f>
        <v>0</v>
      </c>
      <c r="Y289" s="55"/>
      <c r="Z289" s="55"/>
      <c r="AA289" s="55"/>
      <c r="AB289" s="55"/>
      <c r="AC289" s="56">
        <f t="shared" si="196"/>
        <v>0</v>
      </c>
      <c r="AD289" s="57"/>
      <c r="AE289" s="57"/>
      <c r="AF289" s="57"/>
      <c r="AG289" s="57"/>
      <c r="AH289" s="57"/>
      <c r="AI289" s="57"/>
      <c r="AJ289" s="118">
        <f>(Tableau1[[#This Row],[Recette guichet ]]*1.1275177)-Tableau1[[#This Row],[Recette guichet ]]</f>
        <v>0</v>
      </c>
      <c r="AK289" s="57"/>
      <c r="AL289" s="56">
        <f t="shared" si="197"/>
        <v>0</v>
      </c>
      <c r="AM289" s="58"/>
      <c r="AN289" s="58"/>
      <c r="AO289" s="58"/>
      <c r="AP289" s="115">
        <f t="shared" si="168"/>
        <v>0</v>
      </c>
      <c r="AQ289" s="69"/>
      <c r="AR289" s="69"/>
      <c r="AS289" s="69"/>
      <c r="AT289" s="69"/>
      <c r="AU289" s="59">
        <f t="shared" si="169"/>
        <v>0</v>
      </c>
      <c r="AV289" s="60">
        <f t="shared" si="170"/>
        <v>0</v>
      </c>
      <c r="AW289" s="58"/>
      <c r="AX289" s="58"/>
      <c r="AY289" s="58"/>
      <c r="AZ289" s="60">
        <f t="shared" si="160"/>
        <v>0</v>
      </c>
      <c r="BA289" s="58"/>
      <c r="BB289" s="58"/>
      <c r="BC289" s="58"/>
      <c r="BD289" s="60">
        <f>SUM(Tableau1[[#This Row],[ticket/carte/abonnement périmé]:[Autres ou non précisé 5]])</f>
        <v>0</v>
      </c>
      <c r="BE289" s="58"/>
      <c r="BF289" s="58"/>
      <c r="BG289" s="58"/>
      <c r="BH289" s="61">
        <f t="shared" si="171"/>
        <v>0</v>
      </c>
      <c r="BI289" s="120"/>
      <c r="BJ289" s="120"/>
      <c r="BK289" s="62">
        <f t="shared" si="172"/>
        <v>0</v>
      </c>
      <c r="BL289" s="120"/>
      <c r="BM289" s="120"/>
      <c r="BN289" s="120"/>
      <c r="BO289" s="120"/>
      <c r="BP289" s="120"/>
      <c r="BQ289" s="63"/>
      <c r="BR289" s="52">
        <f t="shared" si="173"/>
        <v>0</v>
      </c>
      <c r="BS289" s="52">
        <f t="shared" si="174"/>
        <v>0</v>
      </c>
      <c r="BT289" s="61">
        <f t="shared" si="175"/>
        <v>0</v>
      </c>
      <c r="BU289" s="64">
        <f t="shared" si="176"/>
        <v>0</v>
      </c>
      <c r="BV289" s="119">
        <f>SUM(Tableau1[[#This Row],[Achats confiserie]:[Achats boisson]])</f>
        <v>0</v>
      </c>
      <c r="BW289" s="58"/>
      <c r="BX289" s="69"/>
      <c r="BY289" s="58"/>
      <c r="BZ289" s="56">
        <f t="shared" si="177"/>
        <v>0</v>
      </c>
      <c r="CA289" s="66"/>
      <c r="CB289" s="66"/>
      <c r="CC289" s="56">
        <f t="shared" si="178"/>
        <v>0</v>
      </c>
      <c r="CD289" s="55"/>
      <c r="CE289" s="65"/>
      <c r="CF289" s="55"/>
      <c r="CG289" s="55"/>
      <c r="CH289" s="67">
        <f t="shared" si="179"/>
        <v>0</v>
      </c>
      <c r="CI289" s="68">
        <f t="shared" si="195"/>
        <v>0</v>
      </c>
      <c r="CJ289" s="55"/>
      <c r="CK289" s="55"/>
      <c r="CL289" s="55"/>
      <c r="CM289" s="55"/>
      <c r="CN289" s="55"/>
      <c r="CO289" s="68">
        <f t="shared" si="180"/>
        <v>0</v>
      </c>
      <c r="CP289" s="75">
        <f>SUM(Tableau1[[#This Row],[Fourniture eau]:[Energie (non précisé)]])</f>
        <v>0</v>
      </c>
      <c r="CQ289" s="55"/>
      <c r="CR289" s="55"/>
      <c r="CS289" s="55"/>
      <c r="CT289" s="55"/>
      <c r="CU289" s="55"/>
      <c r="CV289" s="55">
        <v>0</v>
      </c>
      <c r="CW289" s="55"/>
      <c r="CX289" s="68">
        <f>SUM(Tableau1[[#This Row],[Sous-traitance]:[Autres ou non précisé 12]])</f>
        <v>0</v>
      </c>
      <c r="CY289" s="65"/>
      <c r="CZ289" s="65"/>
      <c r="DA289" s="65"/>
      <c r="DB289" s="65"/>
      <c r="DC289" s="55"/>
      <c r="DD289" s="68">
        <f t="shared" si="161"/>
        <v>0</v>
      </c>
      <c r="DE289" s="55"/>
      <c r="DF289" s="65"/>
      <c r="DG289" s="65"/>
      <c r="DH289" s="65"/>
      <c r="DI289" s="68">
        <f>SUM(Tableau1[[#This Row],[Entretien et réparation matériel de projection]:[Autres ou non précisé 14]])</f>
        <v>0</v>
      </c>
      <c r="DJ289" s="58"/>
      <c r="DK289" s="58"/>
      <c r="DL289" s="69"/>
      <c r="DM289" s="68">
        <f t="shared" si="181"/>
        <v>0</v>
      </c>
      <c r="DN289" s="58"/>
      <c r="DO289" s="58"/>
      <c r="DP289" s="68">
        <f t="shared" si="182"/>
        <v>0</v>
      </c>
      <c r="DQ289" s="65"/>
      <c r="DR289" s="65"/>
      <c r="DS289" s="68">
        <f t="shared" si="183"/>
        <v>0</v>
      </c>
      <c r="DT289" s="65"/>
      <c r="DU289" s="65"/>
      <c r="DV289" s="65"/>
      <c r="DW289" s="68">
        <f>SUM(Tableau1[[#This Row],[Comission et courtage sur achats]:[Autres ou honoraires
 non précisé ]])</f>
        <v>0</v>
      </c>
      <c r="DX289" s="57"/>
      <c r="DY289" s="57"/>
      <c r="DZ289" s="65"/>
      <c r="EA289" s="65"/>
      <c r="EB289" s="65"/>
      <c r="EC289" s="68">
        <f t="shared" si="184"/>
        <v>0</v>
      </c>
      <c r="ED289" s="69"/>
      <c r="EE289" s="69"/>
      <c r="EF289" s="69"/>
      <c r="EG289" s="69"/>
      <c r="EH289" s="69"/>
      <c r="EI289" s="84">
        <f>SUM(Tableau1[[#This Row],[Transports sur films]:[autres ]])</f>
        <v>0</v>
      </c>
      <c r="EJ289" s="132">
        <v>0</v>
      </c>
      <c r="EK289" s="132"/>
      <c r="EL289" s="68">
        <f t="shared" si="185"/>
        <v>0</v>
      </c>
      <c r="EM289" s="65"/>
      <c r="EN289" s="65">
        <v>0</v>
      </c>
      <c r="EO289" s="65"/>
      <c r="EP289" s="65"/>
      <c r="EQ289" s="65"/>
      <c r="ER289" s="65"/>
      <c r="ES289" s="65"/>
      <c r="ET289" s="68">
        <f t="shared" si="186"/>
        <v>0</v>
      </c>
      <c r="EU289" s="65"/>
      <c r="EV289" s="65"/>
      <c r="EW289" s="65"/>
      <c r="EX289" s="65"/>
      <c r="EY289" s="65"/>
      <c r="EZ289" s="68">
        <f t="shared" si="163"/>
        <v>0</v>
      </c>
      <c r="FA289" s="65"/>
      <c r="FB289" s="65"/>
      <c r="FC289" s="70">
        <f t="shared" si="162"/>
        <v>0</v>
      </c>
      <c r="FD289" s="65"/>
      <c r="FE289" s="71">
        <f t="shared" si="187"/>
        <v>0</v>
      </c>
      <c r="FF289" s="72">
        <f t="shared" si="188"/>
        <v>0</v>
      </c>
      <c r="FG289" s="65"/>
      <c r="FH289" s="65"/>
      <c r="FI289" s="65"/>
      <c r="FJ289" s="56">
        <f t="shared" si="189"/>
        <v>0</v>
      </c>
      <c r="FK289" s="65"/>
      <c r="FL289" s="65"/>
      <c r="FM289" s="65"/>
      <c r="FN289" s="65"/>
      <c r="FO289" s="67">
        <f t="shared" si="190"/>
        <v>0</v>
      </c>
      <c r="FP289" s="57"/>
      <c r="FQ289" s="73"/>
      <c r="FR289" s="73"/>
      <c r="FS289" s="71">
        <f t="shared" si="191"/>
        <v>0</v>
      </c>
      <c r="FT289" s="91"/>
      <c r="FU289" s="91"/>
      <c r="FV289" s="67">
        <f>SUM(Tableau1[[#This Row],[Droits d''auteurs SACEM + cotisations SACEM]:[Autres ou non préciés]])</f>
        <v>0</v>
      </c>
      <c r="FW289" s="75">
        <f t="shared" si="192"/>
        <v>0</v>
      </c>
      <c r="FX289" s="74">
        <v>0</v>
      </c>
      <c r="FY289" s="74"/>
      <c r="FZ289" s="74"/>
      <c r="GA289" s="74"/>
      <c r="GB289" s="71">
        <f t="shared" si="193"/>
        <v>0</v>
      </c>
      <c r="GC289" s="92"/>
      <c r="GD289" s="92"/>
      <c r="GE289" s="67">
        <f t="shared" si="194"/>
        <v>0</v>
      </c>
      <c r="GF289" s="66"/>
      <c r="GG289" s="66"/>
      <c r="GH289" s="66"/>
      <c r="GI289" s="66"/>
      <c r="GJ289" s="77"/>
    </row>
    <row r="290" spans="1:192" ht="18.600000000000001" customHeight="1" x14ac:dyDescent="0.25">
      <c r="A290" s="89"/>
      <c r="B290" s="17"/>
      <c r="C290" s="50"/>
      <c r="D290" s="140"/>
      <c r="E290" s="51"/>
      <c r="F290" s="139">
        <f t="shared" si="159"/>
        <v>1</v>
      </c>
      <c r="G290" s="49"/>
      <c r="H290" s="50"/>
      <c r="I290" s="122"/>
      <c r="J290" s="49"/>
      <c r="K290" s="50"/>
      <c r="L290" s="50"/>
      <c r="M290" s="90"/>
      <c r="N290" s="50"/>
      <c r="O290" s="50"/>
      <c r="P290" s="90"/>
      <c r="Q290" s="52">
        <f t="shared" si="164"/>
        <v>0</v>
      </c>
      <c r="R290" s="52">
        <f t="shared" si="165"/>
        <v>0</v>
      </c>
      <c r="S290" s="53">
        <f t="shared" si="166"/>
        <v>0</v>
      </c>
      <c r="T290" s="54">
        <f t="shared" si="167"/>
        <v>0</v>
      </c>
      <c r="U290" s="115">
        <f>SUM(Tableau1[[#This Row],[Vente confiserie]:[Vente boisson]])</f>
        <v>0</v>
      </c>
      <c r="V290" s="55"/>
      <c r="W290" s="55"/>
      <c r="X290" s="135">
        <f>SUM(Tableau1[[#This Row],[Vente lunette]:[Location lunette]])</f>
        <v>0</v>
      </c>
      <c r="Y290" s="55"/>
      <c r="Z290" s="55"/>
      <c r="AA290" s="55"/>
      <c r="AB290" s="55"/>
      <c r="AC290" s="56">
        <f t="shared" si="196"/>
        <v>0</v>
      </c>
      <c r="AD290" s="57"/>
      <c r="AE290" s="57"/>
      <c r="AF290" s="57"/>
      <c r="AG290" s="57"/>
      <c r="AH290" s="57"/>
      <c r="AI290" s="57"/>
      <c r="AJ290" s="118">
        <f>(Tableau1[[#This Row],[Recette guichet ]]*1.1275177)-Tableau1[[#This Row],[Recette guichet ]]</f>
        <v>0</v>
      </c>
      <c r="AK290" s="57"/>
      <c r="AL290" s="56">
        <f t="shared" si="197"/>
        <v>0</v>
      </c>
      <c r="AM290" s="58"/>
      <c r="AN290" s="58"/>
      <c r="AO290" s="58"/>
      <c r="AP290" s="115">
        <f t="shared" si="168"/>
        <v>0</v>
      </c>
      <c r="AQ290" s="69"/>
      <c r="AR290" s="69"/>
      <c r="AS290" s="69"/>
      <c r="AT290" s="69"/>
      <c r="AU290" s="59">
        <f t="shared" si="169"/>
        <v>0</v>
      </c>
      <c r="AV290" s="60">
        <f t="shared" si="170"/>
        <v>0</v>
      </c>
      <c r="AW290" s="58"/>
      <c r="AX290" s="58"/>
      <c r="AY290" s="58"/>
      <c r="AZ290" s="60">
        <f t="shared" si="160"/>
        <v>0</v>
      </c>
      <c r="BA290" s="58"/>
      <c r="BB290" s="58"/>
      <c r="BC290" s="58"/>
      <c r="BD290" s="60">
        <f>SUM(Tableau1[[#This Row],[ticket/carte/abonnement périmé]:[Autres ou non précisé 5]])</f>
        <v>0</v>
      </c>
      <c r="BE290" s="58"/>
      <c r="BF290" s="58"/>
      <c r="BG290" s="58"/>
      <c r="BH290" s="61">
        <f t="shared" si="171"/>
        <v>0</v>
      </c>
      <c r="BI290" s="120"/>
      <c r="BJ290" s="120"/>
      <c r="BK290" s="62">
        <f t="shared" si="172"/>
        <v>0</v>
      </c>
      <c r="BL290" s="120"/>
      <c r="BM290" s="120"/>
      <c r="BN290" s="120"/>
      <c r="BO290" s="120"/>
      <c r="BP290" s="120"/>
      <c r="BQ290" s="63"/>
      <c r="BR290" s="52">
        <f t="shared" si="173"/>
        <v>0</v>
      </c>
      <c r="BS290" s="52">
        <f t="shared" si="174"/>
        <v>0</v>
      </c>
      <c r="BT290" s="61">
        <f t="shared" si="175"/>
        <v>0</v>
      </c>
      <c r="BU290" s="64">
        <f t="shared" si="176"/>
        <v>0</v>
      </c>
      <c r="BV290" s="119">
        <f>SUM(Tableau1[[#This Row],[Achats confiserie]:[Achats boisson]])</f>
        <v>0</v>
      </c>
      <c r="BW290" s="58"/>
      <c r="BX290" s="69"/>
      <c r="BY290" s="58"/>
      <c r="BZ290" s="56">
        <f t="shared" si="177"/>
        <v>0</v>
      </c>
      <c r="CA290" s="66"/>
      <c r="CB290" s="66"/>
      <c r="CC290" s="56">
        <f t="shared" si="178"/>
        <v>0</v>
      </c>
      <c r="CD290" s="55"/>
      <c r="CE290" s="65"/>
      <c r="CF290" s="55"/>
      <c r="CG290" s="55"/>
      <c r="CH290" s="67">
        <f t="shared" si="179"/>
        <v>0</v>
      </c>
      <c r="CI290" s="68">
        <f t="shared" si="195"/>
        <v>0</v>
      </c>
      <c r="CJ290" s="55"/>
      <c r="CK290" s="55"/>
      <c r="CL290" s="55"/>
      <c r="CM290" s="55"/>
      <c r="CN290" s="55"/>
      <c r="CO290" s="68">
        <f t="shared" si="180"/>
        <v>0</v>
      </c>
      <c r="CP290" s="75">
        <f>SUM(Tableau1[[#This Row],[Fourniture eau]:[Energie (non précisé)]])</f>
        <v>0</v>
      </c>
      <c r="CQ290" s="55"/>
      <c r="CR290" s="55"/>
      <c r="CS290" s="55"/>
      <c r="CT290" s="55"/>
      <c r="CU290" s="55"/>
      <c r="CV290" s="55">
        <v>0</v>
      </c>
      <c r="CW290" s="55"/>
      <c r="CX290" s="68">
        <f>SUM(Tableau1[[#This Row],[Sous-traitance]:[Autres ou non précisé 12]])</f>
        <v>0</v>
      </c>
      <c r="CY290" s="65"/>
      <c r="CZ290" s="65"/>
      <c r="DA290" s="65"/>
      <c r="DB290" s="65"/>
      <c r="DC290" s="55"/>
      <c r="DD290" s="68">
        <f t="shared" si="161"/>
        <v>0</v>
      </c>
      <c r="DE290" s="55"/>
      <c r="DF290" s="65"/>
      <c r="DG290" s="65"/>
      <c r="DH290" s="65"/>
      <c r="DI290" s="68">
        <f>SUM(Tableau1[[#This Row],[Entretien et réparation matériel de projection]:[Autres ou non précisé 14]])</f>
        <v>0</v>
      </c>
      <c r="DJ290" s="58"/>
      <c r="DK290" s="58"/>
      <c r="DL290" s="69"/>
      <c r="DM290" s="68">
        <f t="shared" si="181"/>
        <v>0</v>
      </c>
      <c r="DN290" s="58"/>
      <c r="DO290" s="58"/>
      <c r="DP290" s="68">
        <f t="shared" si="182"/>
        <v>0</v>
      </c>
      <c r="DQ290" s="65"/>
      <c r="DR290" s="65"/>
      <c r="DS290" s="68">
        <f t="shared" si="183"/>
        <v>0</v>
      </c>
      <c r="DT290" s="65"/>
      <c r="DU290" s="65"/>
      <c r="DV290" s="65"/>
      <c r="DW290" s="68">
        <f>SUM(Tableau1[[#This Row],[Comission et courtage sur achats]:[Autres ou honoraires
 non précisé ]])</f>
        <v>0</v>
      </c>
      <c r="DX290" s="57"/>
      <c r="DY290" s="57"/>
      <c r="DZ290" s="65"/>
      <c r="EA290" s="65"/>
      <c r="EB290" s="65"/>
      <c r="EC290" s="68">
        <f t="shared" si="184"/>
        <v>0</v>
      </c>
      <c r="ED290" s="69"/>
      <c r="EE290" s="69"/>
      <c r="EF290" s="69"/>
      <c r="EG290" s="69"/>
      <c r="EH290" s="69"/>
      <c r="EI290" s="84">
        <f>SUM(Tableau1[[#This Row],[Transports sur films]:[autres ]])</f>
        <v>0</v>
      </c>
      <c r="EJ290" s="132">
        <v>0</v>
      </c>
      <c r="EK290" s="132"/>
      <c r="EL290" s="68">
        <f t="shared" si="185"/>
        <v>0</v>
      </c>
      <c r="EM290" s="65"/>
      <c r="EN290" s="65">
        <v>0</v>
      </c>
      <c r="EO290" s="65"/>
      <c r="EP290" s="65"/>
      <c r="EQ290" s="65"/>
      <c r="ER290" s="65"/>
      <c r="ES290" s="65"/>
      <c r="ET290" s="68">
        <f t="shared" si="186"/>
        <v>0</v>
      </c>
      <c r="EU290" s="65"/>
      <c r="EV290" s="65"/>
      <c r="EW290" s="65"/>
      <c r="EX290" s="65"/>
      <c r="EY290" s="65"/>
      <c r="EZ290" s="68">
        <f t="shared" si="163"/>
        <v>0</v>
      </c>
      <c r="FA290" s="65"/>
      <c r="FB290" s="65"/>
      <c r="FC290" s="70">
        <f t="shared" si="162"/>
        <v>0</v>
      </c>
      <c r="FD290" s="65"/>
      <c r="FE290" s="71">
        <f t="shared" si="187"/>
        <v>0</v>
      </c>
      <c r="FF290" s="72">
        <f t="shared" si="188"/>
        <v>0</v>
      </c>
      <c r="FG290" s="65"/>
      <c r="FH290" s="65"/>
      <c r="FI290" s="65"/>
      <c r="FJ290" s="56">
        <f t="shared" si="189"/>
        <v>0</v>
      </c>
      <c r="FK290" s="65"/>
      <c r="FL290" s="65"/>
      <c r="FM290" s="65"/>
      <c r="FN290" s="65"/>
      <c r="FO290" s="67">
        <f t="shared" si="190"/>
        <v>0</v>
      </c>
      <c r="FP290" s="57"/>
      <c r="FQ290" s="73"/>
      <c r="FR290" s="73"/>
      <c r="FS290" s="71">
        <f t="shared" si="191"/>
        <v>0</v>
      </c>
      <c r="FT290" s="91"/>
      <c r="FU290" s="91"/>
      <c r="FV290" s="67">
        <f>SUM(Tableau1[[#This Row],[Droits d''auteurs SACEM + cotisations SACEM]:[Autres ou non préciés]])</f>
        <v>0</v>
      </c>
      <c r="FW290" s="75">
        <f t="shared" si="192"/>
        <v>0</v>
      </c>
      <c r="FX290" s="74">
        <v>0</v>
      </c>
      <c r="FY290" s="74"/>
      <c r="FZ290" s="74"/>
      <c r="GA290" s="74"/>
      <c r="GB290" s="71">
        <f t="shared" si="193"/>
        <v>0</v>
      </c>
      <c r="GC290" s="92"/>
      <c r="GD290" s="92"/>
      <c r="GE290" s="67">
        <f t="shared" si="194"/>
        <v>0</v>
      </c>
      <c r="GF290" s="66"/>
      <c r="GG290" s="66"/>
      <c r="GH290" s="66"/>
      <c r="GI290" s="66"/>
      <c r="GJ290" s="77"/>
    </row>
    <row r="291" spans="1:192" ht="18.600000000000001" customHeight="1" x14ac:dyDescent="0.25">
      <c r="A291" s="89"/>
      <c r="B291" s="17"/>
      <c r="C291" s="50"/>
      <c r="D291" s="140"/>
      <c r="E291" s="51"/>
      <c r="F291" s="139">
        <f t="shared" si="159"/>
        <v>1</v>
      </c>
      <c r="G291" s="49"/>
      <c r="H291" s="50"/>
      <c r="I291" s="122"/>
      <c r="J291" s="49"/>
      <c r="K291" s="50"/>
      <c r="L291" s="50"/>
      <c r="M291" s="90"/>
      <c r="N291" s="50"/>
      <c r="O291" s="50"/>
      <c r="P291" s="90"/>
      <c r="Q291" s="52">
        <f t="shared" si="164"/>
        <v>0</v>
      </c>
      <c r="R291" s="52">
        <f t="shared" si="165"/>
        <v>0</v>
      </c>
      <c r="S291" s="53">
        <f t="shared" si="166"/>
        <v>0</v>
      </c>
      <c r="T291" s="54">
        <f t="shared" si="167"/>
        <v>0</v>
      </c>
      <c r="U291" s="115">
        <f>SUM(Tableau1[[#This Row],[Vente confiserie]:[Vente boisson]])</f>
        <v>0</v>
      </c>
      <c r="V291" s="55"/>
      <c r="W291" s="55"/>
      <c r="X291" s="135">
        <f>SUM(Tableau1[[#This Row],[Vente lunette]:[Location lunette]])</f>
        <v>0</v>
      </c>
      <c r="Y291" s="55"/>
      <c r="Z291" s="55"/>
      <c r="AA291" s="55"/>
      <c r="AB291" s="55"/>
      <c r="AC291" s="56">
        <f t="shared" si="196"/>
        <v>0</v>
      </c>
      <c r="AD291" s="57"/>
      <c r="AE291" s="57"/>
      <c r="AF291" s="57"/>
      <c r="AG291" s="57"/>
      <c r="AH291" s="57"/>
      <c r="AI291" s="57"/>
      <c r="AJ291" s="118">
        <f>(Tableau1[[#This Row],[Recette guichet ]]*1.1275177)-Tableau1[[#This Row],[Recette guichet ]]</f>
        <v>0</v>
      </c>
      <c r="AK291" s="57"/>
      <c r="AL291" s="56">
        <f t="shared" si="197"/>
        <v>0</v>
      </c>
      <c r="AM291" s="58"/>
      <c r="AN291" s="58"/>
      <c r="AO291" s="58"/>
      <c r="AP291" s="115">
        <f t="shared" si="168"/>
        <v>0</v>
      </c>
      <c r="AQ291" s="69"/>
      <c r="AR291" s="69"/>
      <c r="AS291" s="69"/>
      <c r="AT291" s="69"/>
      <c r="AU291" s="59">
        <f t="shared" si="169"/>
        <v>0</v>
      </c>
      <c r="AV291" s="60">
        <f t="shared" si="170"/>
        <v>0</v>
      </c>
      <c r="AW291" s="58"/>
      <c r="AX291" s="58"/>
      <c r="AY291" s="58"/>
      <c r="AZ291" s="60">
        <f t="shared" si="160"/>
        <v>0</v>
      </c>
      <c r="BA291" s="58"/>
      <c r="BB291" s="58"/>
      <c r="BC291" s="58"/>
      <c r="BD291" s="60">
        <f>SUM(Tableau1[[#This Row],[ticket/carte/abonnement périmé]:[Autres ou non précisé 5]])</f>
        <v>0</v>
      </c>
      <c r="BE291" s="58"/>
      <c r="BF291" s="58"/>
      <c r="BG291" s="58"/>
      <c r="BH291" s="61">
        <f t="shared" si="171"/>
        <v>0</v>
      </c>
      <c r="BI291" s="120"/>
      <c r="BJ291" s="120"/>
      <c r="BK291" s="62">
        <f t="shared" si="172"/>
        <v>0</v>
      </c>
      <c r="BL291" s="120"/>
      <c r="BM291" s="120"/>
      <c r="BN291" s="120"/>
      <c r="BO291" s="120"/>
      <c r="BP291" s="120"/>
      <c r="BQ291" s="63"/>
      <c r="BR291" s="52">
        <f t="shared" si="173"/>
        <v>0</v>
      </c>
      <c r="BS291" s="52">
        <f t="shared" si="174"/>
        <v>0</v>
      </c>
      <c r="BT291" s="61">
        <f t="shared" si="175"/>
        <v>0</v>
      </c>
      <c r="BU291" s="64">
        <f t="shared" si="176"/>
        <v>0</v>
      </c>
      <c r="BV291" s="119">
        <f>SUM(Tableau1[[#This Row],[Achats confiserie]:[Achats boisson]])</f>
        <v>0</v>
      </c>
      <c r="BW291" s="58"/>
      <c r="BX291" s="69"/>
      <c r="BY291" s="58"/>
      <c r="BZ291" s="56">
        <f t="shared" si="177"/>
        <v>0</v>
      </c>
      <c r="CA291" s="66"/>
      <c r="CB291" s="66"/>
      <c r="CC291" s="56">
        <f t="shared" si="178"/>
        <v>0</v>
      </c>
      <c r="CD291" s="55"/>
      <c r="CE291" s="65"/>
      <c r="CF291" s="55"/>
      <c r="CG291" s="55"/>
      <c r="CH291" s="67">
        <f t="shared" si="179"/>
        <v>0</v>
      </c>
      <c r="CI291" s="68">
        <f t="shared" si="195"/>
        <v>0</v>
      </c>
      <c r="CJ291" s="55"/>
      <c r="CK291" s="55"/>
      <c r="CL291" s="55"/>
      <c r="CM291" s="55"/>
      <c r="CN291" s="55"/>
      <c r="CO291" s="68">
        <f t="shared" si="180"/>
        <v>0</v>
      </c>
      <c r="CP291" s="75">
        <f>SUM(Tableau1[[#This Row],[Fourniture eau]:[Energie (non précisé)]])</f>
        <v>0</v>
      </c>
      <c r="CQ291" s="55"/>
      <c r="CR291" s="55"/>
      <c r="CS291" s="55"/>
      <c r="CT291" s="55"/>
      <c r="CU291" s="55"/>
      <c r="CV291" s="55">
        <v>0</v>
      </c>
      <c r="CW291" s="55"/>
      <c r="CX291" s="68">
        <f>SUM(Tableau1[[#This Row],[Sous-traitance]:[Autres ou non précisé 12]])</f>
        <v>0</v>
      </c>
      <c r="CY291" s="65"/>
      <c r="CZ291" s="65"/>
      <c r="DA291" s="65"/>
      <c r="DB291" s="65"/>
      <c r="DC291" s="55"/>
      <c r="DD291" s="68">
        <f t="shared" si="161"/>
        <v>0</v>
      </c>
      <c r="DE291" s="55"/>
      <c r="DF291" s="65"/>
      <c r="DG291" s="65"/>
      <c r="DH291" s="65"/>
      <c r="DI291" s="68">
        <f>SUM(Tableau1[[#This Row],[Entretien et réparation matériel de projection]:[Autres ou non précisé 14]])</f>
        <v>0</v>
      </c>
      <c r="DJ291" s="58"/>
      <c r="DK291" s="58"/>
      <c r="DL291" s="69"/>
      <c r="DM291" s="68">
        <f t="shared" si="181"/>
        <v>0</v>
      </c>
      <c r="DN291" s="58"/>
      <c r="DO291" s="58"/>
      <c r="DP291" s="68">
        <f t="shared" si="182"/>
        <v>0</v>
      </c>
      <c r="DQ291" s="65"/>
      <c r="DR291" s="65"/>
      <c r="DS291" s="68">
        <f t="shared" si="183"/>
        <v>0</v>
      </c>
      <c r="DT291" s="65"/>
      <c r="DU291" s="65"/>
      <c r="DV291" s="65"/>
      <c r="DW291" s="68">
        <f>SUM(Tableau1[[#This Row],[Comission et courtage sur achats]:[Autres ou honoraires
 non précisé ]])</f>
        <v>0</v>
      </c>
      <c r="DX291" s="57"/>
      <c r="DY291" s="57"/>
      <c r="DZ291" s="65"/>
      <c r="EA291" s="65"/>
      <c r="EB291" s="65"/>
      <c r="EC291" s="68">
        <f t="shared" si="184"/>
        <v>0</v>
      </c>
      <c r="ED291" s="69"/>
      <c r="EE291" s="69"/>
      <c r="EF291" s="69"/>
      <c r="EG291" s="69"/>
      <c r="EH291" s="69"/>
      <c r="EI291" s="84">
        <f>SUM(Tableau1[[#This Row],[Transports sur films]:[autres ]])</f>
        <v>0</v>
      </c>
      <c r="EJ291" s="132">
        <v>0</v>
      </c>
      <c r="EK291" s="132"/>
      <c r="EL291" s="68">
        <f t="shared" si="185"/>
        <v>0</v>
      </c>
      <c r="EM291" s="65"/>
      <c r="EN291" s="65">
        <v>0</v>
      </c>
      <c r="EO291" s="65"/>
      <c r="EP291" s="65"/>
      <c r="EQ291" s="65"/>
      <c r="ER291" s="65"/>
      <c r="ES291" s="65"/>
      <c r="ET291" s="68">
        <f t="shared" si="186"/>
        <v>0</v>
      </c>
      <c r="EU291" s="65"/>
      <c r="EV291" s="65"/>
      <c r="EW291" s="65"/>
      <c r="EX291" s="65"/>
      <c r="EY291" s="65"/>
      <c r="EZ291" s="68">
        <f t="shared" si="163"/>
        <v>0</v>
      </c>
      <c r="FA291" s="65"/>
      <c r="FB291" s="65"/>
      <c r="FC291" s="70">
        <f t="shared" si="162"/>
        <v>0</v>
      </c>
      <c r="FD291" s="65"/>
      <c r="FE291" s="71">
        <f t="shared" si="187"/>
        <v>0</v>
      </c>
      <c r="FF291" s="72">
        <f t="shared" si="188"/>
        <v>0</v>
      </c>
      <c r="FG291" s="65"/>
      <c r="FH291" s="65"/>
      <c r="FI291" s="65"/>
      <c r="FJ291" s="56">
        <f t="shared" si="189"/>
        <v>0</v>
      </c>
      <c r="FK291" s="65"/>
      <c r="FL291" s="65"/>
      <c r="FM291" s="65"/>
      <c r="FN291" s="65"/>
      <c r="FO291" s="67">
        <f t="shared" si="190"/>
        <v>0</v>
      </c>
      <c r="FP291" s="57"/>
      <c r="FQ291" s="73"/>
      <c r="FR291" s="73"/>
      <c r="FS291" s="71">
        <f t="shared" si="191"/>
        <v>0</v>
      </c>
      <c r="FT291" s="91"/>
      <c r="FU291" s="91"/>
      <c r="FV291" s="67">
        <f>SUM(Tableau1[[#This Row],[Droits d''auteurs SACEM + cotisations SACEM]:[Autres ou non préciés]])</f>
        <v>0</v>
      </c>
      <c r="FW291" s="75">
        <f t="shared" si="192"/>
        <v>0</v>
      </c>
      <c r="FX291" s="74">
        <v>0</v>
      </c>
      <c r="FY291" s="74"/>
      <c r="FZ291" s="74"/>
      <c r="GA291" s="74"/>
      <c r="GB291" s="71">
        <f t="shared" si="193"/>
        <v>0</v>
      </c>
      <c r="GC291" s="92"/>
      <c r="GD291" s="92"/>
      <c r="GE291" s="67">
        <f t="shared" si="194"/>
        <v>0</v>
      </c>
      <c r="GF291" s="66"/>
      <c r="GG291" s="66"/>
      <c r="GH291" s="66"/>
      <c r="GI291" s="66"/>
      <c r="GJ291" s="77"/>
    </row>
    <row r="292" spans="1:192" ht="18.600000000000001" customHeight="1" x14ac:dyDescent="0.25">
      <c r="A292" s="89"/>
      <c r="B292" s="17"/>
      <c r="C292" s="50"/>
      <c r="D292" s="140"/>
      <c r="E292" s="51"/>
      <c r="F292" s="139">
        <f t="shared" si="159"/>
        <v>1</v>
      </c>
      <c r="G292" s="49"/>
      <c r="H292" s="50"/>
      <c r="I292" s="122"/>
      <c r="J292" s="49"/>
      <c r="K292" s="50"/>
      <c r="L292" s="50"/>
      <c r="M292" s="90"/>
      <c r="N292" s="50"/>
      <c r="O292" s="50"/>
      <c r="P292" s="90"/>
      <c r="Q292" s="52">
        <f t="shared" si="164"/>
        <v>0</v>
      </c>
      <c r="R292" s="52">
        <f t="shared" si="165"/>
        <v>0</v>
      </c>
      <c r="S292" s="53">
        <f t="shared" si="166"/>
        <v>0</v>
      </c>
      <c r="T292" s="54">
        <f t="shared" si="167"/>
        <v>0</v>
      </c>
      <c r="U292" s="115">
        <f>SUM(Tableau1[[#This Row],[Vente confiserie]:[Vente boisson]])</f>
        <v>0</v>
      </c>
      <c r="V292" s="55"/>
      <c r="W292" s="55"/>
      <c r="X292" s="135">
        <f>SUM(Tableau1[[#This Row],[Vente lunette]:[Location lunette]])</f>
        <v>0</v>
      </c>
      <c r="Y292" s="55"/>
      <c r="Z292" s="55"/>
      <c r="AA292" s="55"/>
      <c r="AB292" s="55"/>
      <c r="AC292" s="56">
        <f t="shared" si="196"/>
        <v>0</v>
      </c>
      <c r="AD292" s="57"/>
      <c r="AE292" s="57"/>
      <c r="AF292" s="57"/>
      <c r="AG292" s="57"/>
      <c r="AH292" s="57"/>
      <c r="AI292" s="57"/>
      <c r="AJ292" s="118">
        <f>(Tableau1[[#This Row],[Recette guichet ]]*1.1275177)-Tableau1[[#This Row],[Recette guichet ]]</f>
        <v>0</v>
      </c>
      <c r="AK292" s="57"/>
      <c r="AL292" s="56">
        <f t="shared" si="197"/>
        <v>0</v>
      </c>
      <c r="AM292" s="58"/>
      <c r="AN292" s="58"/>
      <c r="AO292" s="58"/>
      <c r="AP292" s="115">
        <f t="shared" si="168"/>
        <v>0</v>
      </c>
      <c r="AQ292" s="69"/>
      <c r="AR292" s="69"/>
      <c r="AS292" s="69"/>
      <c r="AT292" s="69"/>
      <c r="AU292" s="59">
        <f t="shared" si="169"/>
        <v>0</v>
      </c>
      <c r="AV292" s="60">
        <f t="shared" si="170"/>
        <v>0</v>
      </c>
      <c r="AW292" s="58"/>
      <c r="AX292" s="58"/>
      <c r="AY292" s="58"/>
      <c r="AZ292" s="60">
        <f t="shared" si="160"/>
        <v>0</v>
      </c>
      <c r="BA292" s="58"/>
      <c r="BB292" s="58"/>
      <c r="BC292" s="58"/>
      <c r="BD292" s="60">
        <f>SUM(Tableau1[[#This Row],[ticket/carte/abonnement périmé]:[Autres ou non précisé 5]])</f>
        <v>0</v>
      </c>
      <c r="BE292" s="58"/>
      <c r="BF292" s="58"/>
      <c r="BG292" s="58"/>
      <c r="BH292" s="61">
        <f t="shared" si="171"/>
        <v>0</v>
      </c>
      <c r="BI292" s="120"/>
      <c r="BJ292" s="120"/>
      <c r="BK292" s="62">
        <f t="shared" si="172"/>
        <v>0</v>
      </c>
      <c r="BL292" s="120"/>
      <c r="BM292" s="120"/>
      <c r="BN292" s="120"/>
      <c r="BO292" s="120"/>
      <c r="BP292" s="120"/>
      <c r="BQ292" s="63"/>
      <c r="BR292" s="52">
        <f t="shared" si="173"/>
        <v>0</v>
      </c>
      <c r="BS292" s="52">
        <f t="shared" si="174"/>
        <v>0</v>
      </c>
      <c r="BT292" s="61">
        <f t="shared" si="175"/>
        <v>0</v>
      </c>
      <c r="BU292" s="64">
        <f t="shared" si="176"/>
        <v>0</v>
      </c>
      <c r="BV292" s="119">
        <f>SUM(Tableau1[[#This Row],[Achats confiserie]:[Achats boisson]])</f>
        <v>0</v>
      </c>
      <c r="BW292" s="58"/>
      <c r="BX292" s="69"/>
      <c r="BY292" s="58"/>
      <c r="BZ292" s="56">
        <f t="shared" si="177"/>
        <v>0</v>
      </c>
      <c r="CA292" s="66"/>
      <c r="CB292" s="66"/>
      <c r="CC292" s="56">
        <f t="shared" si="178"/>
        <v>0</v>
      </c>
      <c r="CD292" s="55"/>
      <c r="CE292" s="65"/>
      <c r="CF292" s="55"/>
      <c r="CG292" s="55"/>
      <c r="CH292" s="67">
        <f t="shared" si="179"/>
        <v>0</v>
      </c>
      <c r="CI292" s="68">
        <f t="shared" si="195"/>
        <v>0</v>
      </c>
      <c r="CJ292" s="55"/>
      <c r="CK292" s="55"/>
      <c r="CL292" s="55"/>
      <c r="CM292" s="55"/>
      <c r="CN292" s="55"/>
      <c r="CO292" s="68">
        <f t="shared" si="180"/>
        <v>0</v>
      </c>
      <c r="CP292" s="75">
        <f>SUM(Tableau1[[#This Row],[Fourniture eau]:[Energie (non précisé)]])</f>
        <v>0</v>
      </c>
      <c r="CQ292" s="55"/>
      <c r="CR292" s="55"/>
      <c r="CS292" s="55"/>
      <c r="CT292" s="55"/>
      <c r="CU292" s="55"/>
      <c r="CV292" s="55">
        <v>0</v>
      </c>
      <c r="CW292" s="55"/>
      <c r="CX292" s="68">
        <f>SUM(Tableau1[[#This Row],[Sous-traitance]:[Autres ou non précisé 12]])</f>
        <v>0</v>
      </c>
      <c r="CY292" s="65"/>
      <c r="CZ292" s="65"/>
      <c r="DA292" s="65"/>
      <c r="DB292" s="65"/>
      <c r="DC292" s="55"/>
      <c r="DD292" s="68">
        <f t="shared" si="161"/>
        <v>0</v>
      </c>
      <c r="DE292" s="55"/>
      <c r="DF292" s="65"/>
      <c r="DG292" s="65"/>
      <c r="DH292" s="65"/>
      <c r="DI292" s="68">
        <f>SUM(Tableau1[[#This Row],[Entretien et réparation matériel de projection]:[Autres ou non précisé 14]])</f>
        <v>0</v>
      </c>
      <c r="DJ292" s="58"/>
      <c r="DK292" s="58"/>
      <c r="DL292" s="69"/>
      <c r="DM292" s="68">
        <f t="shared" si="181"/>
        <v>0</v>
      </c>
      <c r="DN292" s="58"/>
      <c r="DO292" s="58"/>
      <c r="DP292" s="68">
        <f t="shared" si="182"/>
        <v>0</v>
      </c>
      <c r="DQ292" s="65"/>
      <c r="DR292" s="65"/>
      <c r="DS292" s="68">
        <f t="shared" si="183"/>
        <v>0</v>
      </c>
      <c r="DT292" s="65"/>
      <c r="DU292" s="65"/>
      <c r="DV292" s="65"/>
      <c r="DW292" s="68">
        <f>SUM(Tableau1[[#This Row],[Comission et courtage sur achats]:[Autres ou honoraires
 non précisé ]])</f>
        <v>0</v>
      </c>
      <c r="DX292" s="57"/>
      <c r="DY292" s="57"/>
      <c r="DZ292" s="65"/>
      <c r="EA292" s="65"/>
      <c r="EB292" s="65"/>
      <c r="EC292" s="68">
        <f t="shared" si="184"/>
        <v>0</v>
      </c>
      <c r="ED292" s="69"/>
      <c r="EE292" s="69"/>
      <c r="EF292" s="69"/>
      <c r="EG292" s="69"/>
      <c r="EH292" s="69"/>
      <c r="EI292" s="84">
        <f>SUM(Tableau1[[#This Row],[Transports sur films]:[autres ]])</f>
        <v>0</v>
      </c>
      <c r="EJ292" s="132">
        <v>0</v>
      </c>
      <c r="EK292" s="132"/>
      <c r="EL292" s="68">
        <f t="shared" si="185"/>
        <v>0</v>
      </c>
      <c r="EM292" s="65"/>
      <c r="EN292" s="65">
        <v>0</v>
      </c>
      <c r="EO292" s="65"/>
      <c r="EP292" s="65"/>
      <c r="EQ292" s="65"/>
      <c r="ER292" s="65"/>
      <c r="ES292" s="65"/>
      <c r="ET292" s="68">
        <f t="shared" si="186"/>
        <v>0</v>
      </c>
      <c r="EU292" s="65"/>
      <c r="EV292" s="65"/>
      <c r="EW292" s="65"/>
      <c r="EX292" s="65"/>
      <c r="EY292" s="65"/>
      <c r="EZ292" s="68">
        <f t="shared" si="163"/>
        <v>0</v>
      </c>
      <c r="FA292" s="65"/>
      <c r="FB292" s="65"/>
      <c r="FC292" s="70">
        <f t="shared" si="162"/>
        <v>0</v>
      </c>
      <c r="FD292" s="65"/>
      <c r="FE292" s="71">
        <f t="shared" si="187"/>
        <v>0</v>
      </c>
      <c r="FF292" s="72">
        <f t="shared" si="188"/>
        <v>0</v>
      </c>
      <c r="FG292" s="65"/>
      <c r="FH292" s="65"/>
      <c r="FI292" s="65"/>
      <c r="FJ292" s="56">
        <f t="shared" si="189"/>
        <v>0</v>
      </c>
      <c r="FK292" s="65"/>
      <c r="FL292" s="65"/>
      <c r="FM292" s="65"/>
      <c r="FN292" s="65"/>
      <c r="FO292" s="67">
        <f t="shared" si="190"/>
        <v>0</v>
      </c>
      <c r="FP292" s="57"/>
      <c r="FQ292" s="73"/>
      <c r="FR292" s="73"/>
      <c r="FS292" s="71">
        <f t="shared" si="191"/>
        <v>0</v>
      </c>
      <c r="FT292" s="91"/>
      <c r="FU292" s="91"/>
      <c r="FV292" s="67">
        <f>SUM(Tableau1[[#This Row],[Droits d''auteurs SACEM + cotisations SACEM]:[Autres ou non préciés]])</f>
        <v>0</v>
      </c>
      <c r="FW292" s="75">
        <f t="shared" si="192"/>
        <v>0</v>
      </c>
      <c r="FX292" s="74">
        <v>0</v>
      </c>
      <c r="FY292" s="74"/>
      <c r="FZ292" s="74"/>
      <c r="GA292" s="74"/>
      <c r="GB292" s="71">
        <f t="shared" si="193"/>
        <v>0</v>
      </c>
      <c r="GC292" s="92"/>
      <c r="GD292" s="92"/>
      <c r="GE292" s="67">
        <f t="shared" si="194"/>
        <v>0</v>
      </c>
      <c r="GF292" s="66"/>
      <c r="GG292" s="66"/>
      <c r="GH292" s="66"/>
      <c r="GI292" s="66"/>
      <c r="GJ292" s="77"/>
    </row>
    <row r="293" spans="1:192" ht="18.600000000000001" customHeight="1" x14ac:dyDescent="0.25">
      <c r="A293" s="89"/>
      <c r="B293" s="17"/>
      <c r="C293" s="50"/>
      <c r="D293" s="140"/>
      <c r="E293" s="51"/>
      <c r="F293" s="139">
        <f t="shared" si="159"/>
        <v>1</v>
      </c>
      <c r="G293" s="49"/>
      <c r="H293" s="50"/>
      <c r="I293" s="122"/>
      <c r="J293" s="49"/>
      <c r="K293" s="50"/>
      <c r="L293" s="50"/>
      <c r="M293" s="90"/>
      <c r="N293" s="50"/>
      <c r="O293" s="50"/>
      <c r="P293" s="90"/>
      <c r="Q293" s="52">
        <f t="shared" si="164"/>
        <v>0</v>
      </c>
      <c r="R293" s="52">
        <f t="shared" si="165"/>
        <v>0</v>
      </c>
      <c r="S293" s="53">
        <f t="shared" si="166"/>
        <v>0</v>
      </c>
      <c r="T293" s="54">
        <f t="shared" si="167"/>
        <v>0</v>
      </c>
      <c r="U293" s="115">
        <f>SUM(Tableau1[[#This Row],[Vente confiserie]:[Vente boisson]])</f>
        <v>0</v>
      </c>
      <c r="V293" s="55"/>
      <c r="W293" s="55"/>
      <c r="X293" s="135">
        <f>SUM(Tableau1[[#This Row],[Vente lunette]:[Location lunette]])</f>
        <v>0</v>
      </c>
      <c r="Y293" s="55"/>
      <c r="Z293" s="55"/>
      <c r="AA293" s="55"/>
      <c r="AB293" s="55"/>
      <c r="AC293" s="56">
        <f t="shared" si="196"/>
        <v>0</v>
      </c>
      <c r="AD293" s="57"/>
      <c r="AE293" s="57"/>
      <c r="AF293" s="57"/>
      <c r="AG293" s="57"/>
      <c r="AH293" s="57"/>
      <c r="AI293" s="57"/>
      <c r="AJ293" s="118">
        <f>(Tableau1[[#This Row],[Recette guichet ]]*1.1275177)-Tableau1[[#This Row],[Recette guichet ]]</f>
        <v>0</v>
      </c>
      <c r="AK293" s="57"/>
      <c r="AL293" s="56">
        <f t="shared" si="197"/>
        <v>0</v>
      </c>
      <c r="AM293" s="58"/>
      <c r="AN293" s="58"/>
      <c r="AO293" s="58"/>
      <c r="AP293" s="115">
        <f t="shared" si="168"/>
        <v>0</v>
      </c>
      <c r="AQ293" s="69"/>
      <c r="AR293" s="69"/>
      <c r="AS293" s="69"/>
      <c r="AT293" s="69"/>
      <c r="AU293" s="59">
        <f t="shared" si="169"/>
        <v>0</v>
      </c>
      <c r="AV293" s="60">
        <f t="shared" si="170"/>
        <v>0</v>
      </c>
      <c r="AW293" s="58"/>
      <c r="AX293" s="58"/>
      <c r="AY293" s="58"/>
      <c r="AZ293" s="60">
        <f t="shared" si="160"/>
        <v>0</v>
      </c>
      <c r="BA293" s="58"/>
      <c r="BB293" s="58"/>
      <c r="BC293" s="58"/>
      <c r="BD293" s="60">
        <f>SUM(Tableau1[[#This Row],[ticket/carte/abonnement périmé]:[Autres ou non précisé 5]])</f>
        <v>0</v>
      </c>
      <c r="BE293" s="58"/>
      <c r="BF293" s="58"/>
      <c r="BG293" s="58"/>
      <c r="BH293" s="61">
        <f t="shared" si="171"/>
        <v>0</v>
      </c>
      <c r="BI293" s="120"/>
      <c r="BJ293" s="120"/>
      <c r="BK293" s="62">
        <f t="shared" si="172"/>
        <v>0</v>
      </c>
      <c r="BL293" s="120"/>
      <c r="BM293" s="120"/>
      <c r="BN293" s="120"/>
      <c r="BO293" s="120"/>
      <c r="BP293" s="120"/>
      <c r="BQ293" s="63"/>
      <c r="BR293" s="52">
        <f t="shared" si="173"/>
        <v>0</v>
      </c>
      <c r="BS293" s="52">
        <f t="shared" si="174"/>
        <v>0</v>
      </c>
      <c r="BT293" s="61">
        <f t="shared" si="175"/>
        <v>0</v>
      </c>
      <c r="BU293" s="64">
        <f t="shared" si="176"/>
        <v>0</v>
      </c>
      <c r="BV293" s="119">
        <f>SUM(Tableau1[[#This Row],[Achats confiserie]:[Achats boisson]])</f>
        <v>0</v>
      </c>
      <c r="BW293" s="58"/>
      <c r="BX293" s="69"/>
      <c r="BY293" s="58"/>
      <c r="BZ293" s="56">
        <f t="shared" si="177"/>
        <v>0</v>
      </c>
      <c r="CA293" s="66"/>
      <c r="CB293" s="66"/>
      <c r="CC293" s="56">
        <f t="shared" si="178"/>
        <v>0</v>
      </c>
      <c r="CD293" s="55"/>
      <c r="CE293" s="65"/>
      <c r="CF293" s="55"/>
      <c r="CG293" s="55"/>
      <c r="CH293" s="67">
        <f t="shared" si="179"/>
        <v>0</v>
      </c>
      <c r="CI293" s="68">
        <f t="shared" si="195"/>
        <v>0</v>
      </c>
      <c r="CJ293" s="55"/>
      <c r="CK293" s="55"/>
      <c r="CL293" s="55"/>
      <c r="CM293" s="55"/>
      <c r="CN293" s="55"/>
      <c r="CO293" s="68">
        <f t="shared" si="180"/>
        <v>0</v>
      </c>
      <c r="CP293" s="75">
        <f>SUM(Tableau1[[#This Row],[Fourniture eau]:[Energie (non précisé)]])</f>
        <v>0</v>
      </c>
      <c r="CQ293" s="55"/>
      <c r="CR293" s="55"/>
      <c r="CS293" s="55"/>
      <c r="CT293" s="55"/>
      <c r="CU293" s="55"/>
      <c r="CV293" s="55">
        <v>0</v>
      </c>
      <c r="CW293" s="55"/>
      <c r="CX293" s="68">
        <f>SUM(Tableau1[[#This Row],[Sous-traitance]:[Autres ou non précisé 12]])</f>
        <v>0</v>
      </c>
      <c r="CY293" s="65"/>
      <c r="CZ293" s="65"/>
      <c r="DA293" s="65"/>
      <c r="DB293" s="65"/>
      <c r="DC293" s="55"/>
      <c r="DD293" s="68">
        <f t="shared" si="161"/>
        <v>0</v>
      </c>
      <c r="DE293" s="55"/>
      <c r="DF293" s="65"/>
      <c r="DG293" s="65"/>
      <c r="DH293" s="65"/>
      <c r="DI293" s="68">
        <f>SUM(Tableau1[[#This Row],[Entretien et réparation matériel de projection]:[Autres ou non précisé 14]])</f>
        <v>0</v>
      </c>
      <c r="DJ293" s="58"/>
      <c r="DK293" s="58"/>
      <c r="DL293" s="69"/>
      <c r="DM293" s="68">
        <f t="shared" si="181"/>
        <v>0</v>
      </c>
      <c r="DN293" s="58"/>
      <c r="DO293" s="58"/>
      <c r="DP293" s="68">
        <f t="shared" si="182"/>
        <v>0</v>
      </c>
      <c r="DQ293" s="65"/>
      <c r="DR293" s="65"/>
      <c r="DS293" s="68">
        <f t="shared" si="183"/>
        <v>0</v>
      </c>
      <c r="DT293" s="65"/>
      <c r="DU293" s="65"/>
      <c r="DV293" s="65"/>
      <c r="DW293" s="68">
        <f>SUM(Tableau1[[#This Row],[Comission et courtage sur achats]:[Autres ou honoraires
 non précisé ]])</f>
        <v>0</v>
      </c>
      <c r="DX293" s="57"/>
      <c r="DY293" s="57"/>
      <c r="DZ293" s="65"/>
      <c r="EA293" s="65"/>
      <c r="EB293" s="65"/>
      <c r="EC293" s="68">
        <f t="shared" si="184"/>
        <v>0</v>
      </c>
      <c r="ED293" s="69"/>
      <c r="EE293" s="69"/>
      <c r="EF293" s="69"/>
      <c r="EG293" s="69"/>
      <c r="EH293" s="69"/>
      <c r="EI293" s="84">
        <f>SUM(Tableau1[[#This Row],[Transports sur films]:[autres ]])</f>
        <v>0</v>
      </c>
      <c r="EJ293" s="132">
        <v>0</v>
      </c>
      <c r="EK293" s="132"/>
      <c r="EL293" s="68">
        <f t="shared" si="185"/>
        <v>0</v>
      </c>
      <c r="EM293" s="65"/>
      <c r="EN293" s="65">
        <v>0</v>
      </c>
      <c r="EO293" s="65"/>
      <c r="EP293" s="65"/>
      <c r="EQ293" s="65"/>
      <c r="ER293" s="65"/>
      <c r="ES293" s="65"/>
      <c r="ET293" s="68">
        <f t="shared" si="186"/>
        <v>0</v>
      </c>
      <c r="EU293" s="65"/>
      <c r="EV293" s="65"/>
      <c r="EW293" s="65"/>
      <c r="EX293" s="65"/>
      <c r="EY293" s="65"/>
      <c r="EZ293" s="68">
        <f t="shared" si="163"/>
        <v>0</v>
      </c>
      <c r="FA293" s="65"/>
      <c r="FB293" s="65"/>
      <c r="FC293" s="70">
        <f t="shared" si="162"/>
        <v>0</v>
      </c>
      <c r="FD293" s="65"/>
      <c r="FE293" s="71">
        <f t="shared" si="187"/>
        <v>0</v>
      </c>
      <c r="FF293" s="72">
        <f t="shared" si="188"/>
        <v>0</v>
      </c>
      <c r="FG293" s="65"/>
      <c r="FH293" s="65"/>
      <c r="FI293" s="65"/>
      <c r="FJ293" s="56">
        <f t="shared" si="189"/>
        <v>0</v>
      </c>
      <c r="FK293" s="65"/>
      <c r="FL293" s="65"/>
      <c r="FM293" s="65"/>
      <c r="FN293" s="65"/>
      <c r="FO293" s="67">
        <f t="shared" si="190"/>
        <v>0</v>
      </c>
      <c r="FP293" s="57"/>
      <c r="FQ293" s="73"/>
      <c r="FR293" s="73"/>
      <c r="FS293" s="71">
        <f t="shared" si="191"/>
        <v>0</v>
      </c>
      <c r="FT293" s="91"/>
      <c r="FU293" s="91"/>
      <c r="FV293" s="67">
        <f>SUM(Tableau1[[#This Row],[Droits d''auteurs SACEM + cotisations SACEM]:[Autres ou non préciés]])</f>
        <v>0</v>
      </c>
      <c r="FW293" s="75">
        <f t="shared" si="192"/>
        <v>0</v>
      </c>
      <c r="FX293" s="74">
        <v>0</v>
      </c>
      <c r="FY293" s="74"/>
      <c r="FZ293" s="74"/>
      <c r="GA293" s="74"/>
      <c r="GB293" s="71">
        <f t="shared" si="193"/>
        <v>0</v>
      </c>
      <c r="GC293" s="92"/>
      <c r="GD293" s="92"/>
      <c r="GE293" s="67">
        <f t="shared" si="194"/>
        <v>0</v>
      </c>
      <c r="GF293" s="66"/>
      <c r="GG293" s="66"/>
      <c r="GH293" s="66"/>
      <c r="GI293" s="66"/>
      <c r="GJ293" s="77"/>
    </row>
    <row r="294" spans="1:192" ht="18.600000000000001" customHeight="1" x14ac:dyDescent="0.25">
      <c r="A294" s="89"/>
      <c r="B294" s="17"/>
      <c r="C294" s="50"/>
      <c r="D294" s="140"/>
      <c r="E294" s="51"/>
      <c r="F294" s="139">
        <f t="shared" si="159"/>
        <v>1</v>
      </c>
      <c r="G294" s="49"/>
      <c r="H294" s="50"/>
      <c r="I294" s="122"/>
      <c r="J294" s="49"/>
      <c r="K294" s="50"/>
      <c r="L294" s="50"/>
      <c r="M294" s="90"/>
      <c r="N294" s="50"/>
      <c r="O294" s="50"/>
      <c r="P294" s="90"/>
      <c r="Q294" s="52">
        <f t="shared" si="164"/>
        <v>0</v>
      </c>
      <c r="R294" s="52">
        <f t="shared" si="165"/>
        <v>0</v>
      </c>
      <c r="S294" s="53">
        <f t="shared" si="166"/>
        <v>0</v>
      </c>
      <c r="T294" s="54">
        <f t="shared" si="167"/>
        <v>0</v>
      </c>
      <c r="U294" s="115">
        <f>SUM(Tableau1[[#This Row],[Vente confiserie]:[Vente boisson]])</f>
        <v>0</v>
      </c>
      <c r="V294" s="55"/>
      <c r="W294" s="55"/>
      <c r="X294" s="135">
        <f>SUM(Tableau1[[#This Row],[Vente lunette]:[Location lunette]])</f>
        <v>0</v>
      </c>
      <c r="Y294" s="55"/>
      <c r="Z294" s="55"/>
      <c r="AA294" s="55"/>
      <c r="AB294" s="55"/>
      <c r="AC294" s="56">
        <f t="shared" si="196"/>
        <v>0</v>
      </c>
      <c r="AD294" s="57"/>
      <c r="AE294" s="57"/>
      <c r="AF294" s="57"/>
      <c r="AG294" s="57"/>
      <c r="AH294" s="57"/>
      <c r="AI294" s="57"/>
      <c r="AJ294" s="118">
        <f>(Tableau1[[#This Row],[Recette guichet ]]*1.1275177)-Tableau1[[#This Row],[Recette guichet ]]</f>
        <v>0</v>
      </c>
      <c r="AK294" s="57"/>
      <c r="AL294" s="56">
        <f t="shared" si="197"/>
        <v>0</v>
      </c>
      <c r="AM294" s="58"/>
      <c r="AN294" s="58"/>
      <c r="AO294" s="58"/>
      <c r="AP294" s="115">
        <f t="shared" si="168"/>
        <v>0</v>
      </c>
      <c r="AQ294" s="69"/>
      <c r="AR294" s="69"/>
      <c r="AS294" s="69"/>
      <c r="AT294" s="69"/>
      <c r="AU294" s="59">
        <f t="shared" si="169"/>
        <v>0</v>
      </c>
      <c r="AV294" s="60">
        <f t="shared" si="170"/>
        <v>0</v>
      </c>
      <c r="AW294" s="58"/>
      <c r="AX294" s="58"/>
      <c r="AY294" s="58"/>
      <c r="AZ294" s="60">
        <f t="shared" si="160"/>
        <v>0</v>
      </c>
      <c r="BA294" s="58"/>
      <c r="BB294" s="58"/>
      <c r="BC294" s="58"/>
      <c r="BD294" s="60">
        <f>SUM(Tableau1[[#This Row],[ticket/carte/abonnement périmé]:[Autres ou non précisé 5]])</f>
        <v>0</v>
      </c>
      <c r="BE294" s="58"/>
      <c r="BF294" s="58"/>
      <c r="BG294" s="58"/>
      <c r="BH294" s="61">
        <f t="shared" si="171"/>
        <v>0</v>
      </c>
      <c r="BI294" s="120"/>
      <c r="BJ294" s="120"/>
      <c r="BK294" s="62">
        <f t="shared" si="172"/>
        <v>0</v>
      </c>
      <c r="BL294" s="120"/>
      <c r="BM294" s="120"/>
      <c r="BN294" s="120"/>
      <c r="BO294" s="120"/>
      <c r="BP294" s="120"/>
      <c r="BQ294" s="63"/>
      <c r="BR294" s="52">
        <f t="shared" si="173"/>
        <v>0</v>
      </c>
      <c r="BS294" s="52">
        <f t="shared" si="174"/>
        <v>0</v>
      </c>
      <c r="BT294" s="61">
        <f t="shared" si="175"/>
        <v>0</v>
      </c>
      <c r="BU294" s="64">
        <f t="shared" si="176"/>
        <v>0</v>
      </c>
      <c r="BV294" s="119">
        <f>SUM(Tableau1[[#This Row],[Achats confiserie]:[Achats boisson]])</f>
        <v>0</v>
      </c>
      <c r="BW294" s="58"/>
      <c r="BX294" s="69"/>
      <c r="BY294" s="58"/>
      <c r="BZ294" s="56">
        <f t="shared" si="177"/>
        <v>0</v>
      </c>
      <c r="CA294" s="66"/>
      <c r="CB294" s="66"/>
      <c r="CC294" s="56">
        <f t="shared" si="178"/>
        <v>0</v>
      </c>
      <c r="CD294" s="55"/>
      <c r="CE294" s="65"/>
      <c r="CF294" s="55"/>
      <c r="CG294" s="55"/>
      <c r="CH294" s="67">
        <f t="shared" si="179"/>
        <v>0</v>
      </c>
      <c r="CI294" s="68">
        <f t="shared" si="195"/>
        <v>0</v>
      </c>
      <c r="CJ294" s="55"/>
      <c r="CK294" s="55"/>
      <c r="CL294" s="55"/>
      <c r="CM294" s="55"/>
      <c r="CN294" s="55"/>
      <c r="CO294" s="68">
        <f t="shared" si="180"/>
        <v>0</v>
      </c>
      <c r="CP294" s="75">
        <f>SUM(Tableau1[[#This Row],[Fourniture eau]:[Energie (non précisé)]])</f>
        <v>0</v>
      </c>
      <c r="CQ294" s="55"/>
      <c r="CR294" s="55"/>
      <c r="CS294" s="55"/>
      <c r="CT294" s="55"/>
      <c r="CU294" s="55"/>
      <c r="CV294" s="55">
        <v>0</v>
      </c>
      <c r="CW294" s="55"/>
      <c r="CX294" s="68">
        <f>SUM(Tableau1[[#This Row],[Sous-traitance]:[Autres ou non précisé 12]])</f>
        <v>0</v>
      </c>
      <c r="CY294" s="65"/>
      <c r="CZ294" s="65"/>
      <c r="DA294" s="65"/>
      <c r="DB294" s="65"/>
      <c r="DC294" s="55"/>
      <c r="DD294" s="68">
        <f t="shared" si="161"/>
        <v>0</v>
      </c>
      <c r="DE294" s="55"/>
      <c r="DF294" s="65"/>
      <c r="DG294" s="65"/>
      <c r="DH294" s="65"/>
      <c r="DI294" s="68">
        <f>SUM(Tableau1[[#This Row],[Entretien et réparation matériel de projection]:[Autres ou non précisé 14]])</f>
        <v>0</v>
      </c>
      <c r="DJ294" s="58"/>
      <c r="DK294" s="58"/>
      <c r="DL294" s="69"/>
      <c r="DM294" s="68">
        <f t="shared" si="181"/>
        <v>0</v>
      </c>
      <c r="DN294" s="58"/>
      <c r="DO294" s="58"/>
      <c r="DP294" s="68">
        <f t="shared" si="182"/>
        <v>0</v>
      </c>
      <c r="DQ294" s="65"/>
      <c r="DR294" s="65"/>
      <c r="DS294" s="68">
        <f t="shared" si="183"/>
        <v>0</v>
      </c>
      <c r="DT294" s="65"/>
      <c r="DU294" s="65"/>
      <c r="DV294" s="65"/>
      <c r="DW294" s="68">
        <f>SUM(Tableau1[[#This Row],[Comission et courtage sur achats]:[Autres ou honoraires
 non précisé ]])</f>
        <v>0</v>
      </c>
      <c r="DX294" s="57"/>
      <c r="DY294" s="57"/>
      <c r="DZ294" s="65"/>
      <c r="EA294" s="65"/>
      <c r="EB294" s="65"/>
      <c r="EC294" s="68">
        <f t="shared" si="184"/>
        <v>0</v>
      </c>
      <c r="ED294" s="69"/>
      <c r="EE294" s="69"/>
      <c r="EF294" s="69"/>
      <c r="EG294" s="69"/>
      <c r="EH294" s="69"/>
      <c r="EI294" s="84">
        <f>SUM(Tableau1[[#This Row],[Transports sur films]:[autres ]])</f>
        <v>0</v>
      </c>
      <c r="EJ294" s="132">
        <v>0</v>
      </c>
      <c r="EK294" s="132"/>
      <c r="EL294" s="68">
        <f t="shared" si="185"/>
        <v>0</v>
      </c>
      <c r="EM294" s="65"/>
      <c r="EN294" s="65">
        <v>0</v>
      </c>
      <c r="EO294" s="65"/>
      <c r="EP294" s="65"/>
      <c r="EQ294" s="65"/>
      <c r="ER294" s="65"/>
      <c r="ES294" s="65"/>
      <c r="ET294" s="68">
        <f t="shared" si="186"/>
        <v>0</v>
      </c>
      <c r="EU294" s="65"/>
      <c r="EV294" s="65"/>
      <c r="EW294" s="65"/>
      <c r="EX294" s="65"/>
      <c r="EY294" s="65"/>
      <c r="EZ294" s="68">
        <f t="shared" si="163"/>
        <v>0</v>
      </c>
      <c r="FA294" s="65"/>
      <c r="FB294" s="65"/>
      <c r="FC294" s="70">
        <f t="shared" si="162"/>
        <v>0</v>
      </c>
      <c r="FD294" s="65"/>
      <c r="FE294" s="71">
        <f t="shared" si="187"/>
        <v>0</v>
      </c>
      <c r="FF294" s="72">
        <f t="shared" si="188"/>
        <v>0</v>
      </c>
      <c r="FG294" s="65"/>
      <c r="FH294" s="65"/>
      <c r="FI294" s="65"/>
      <c r="FJ294" s="56">
        <f t="shared" si="189"/>
        <v>0</v>
      </c>
      <c r="FK294" s="65"/>
      <c r="FL294" s="65"/>
      <c r="FM294" s="65"/>
      <c r="FN294" s="65"/>
      <c r="FO294" s="67">
        <f t="shared" si="190"/>
        <v>0</v>
      </c>
      <c r="FP294" s="57"/>
      <c r="FQ294" s="73"/>
      <c r="FR294" s="73"/>
      <c r="FS294" s="71">
        <f t="shared" si="191"/>
        <v>0</v>
      </c>
      <c r="FT294" s="91"/>
      <c r="FU294" s="91"/>
      <c r="FV294" s="67">
        <f>SUM(Tableau1[[#This Row],[Droits d''auteurs SACEM + cotisations SACEM]:[Autres ou non préciés]])</f>
        <v>0</v>
      </c>
      <c r="FW294" s="75">
        <f t="shared" si="192"/>
        <v>0</v>
      </c>
      <c r="FX294" s="74">
        <v>0</v>
      </c>
      <c r="FY294" s="74"/>
      <c r="FZ294" s="74"/>
      <c r="GA294" s="74"/>
      <c r="GB294" s="71">
        <f t="shared" si="193"/>
        <v>0</v>
      </c>
      <c r="GC294" s="92"/>
      <c r="GD294" s="92"/>
      <c r="GE294" s="67">
        <f t="shared" si="194"/>
        <v>0</v>
      </c>
      <c r="GF294" s="66"/>
      <c r="GG294" s="66"/>
      <c r="GH294" s="66"/>
      <c r="GI294" s="66"/>
      <c r="GJ294" s="77"/>
    </row>
    <row r="295" spans="1:192" ht="18.600000000000001" customHeight="1" x14ac:dyDescent="0.25">
      <c r="A295" s="89"/>
      <c r="B295" s="17"/>
      <c r="C295" s="50"/>
      <c r="D295" s="140"/>
      <c r="E295" s="51"/>
      <c r="F295" s="139">
        <f t="shared" si="159"/>
        <v>1</v>
      </c>
      <c r="G295" s="49"/>
      <c r="H295" s="50"/>
      <c r="I295" s="122"/>
      <c r="J295" s="49"/>
      <c r="K295" s="50"/>
      <c r="L295" s="50"/>
      <c r="M295" s="90"/>
      <c r="N295" s="50"/>
      <c r="O295" s="50"/>
      <c r="P295" s="90"/>
      <c r="Q295" s="52">
        <f t="shared" si="164"/>
        <v>0</v>
      </c>
      <c r="R295" s="52">
        <f t="shared" si="165"/>
        <v>0</v>
      </c>
      <c r="S295" s="53">
        <f t="shared" si="166"/>
        <v>0</v>
      </c>
      <c r="T295" s="54">
        <f t="shared" si="167"/>
        <v>0</v>
      </c>
      <c r="U295" s="115">
        <f>SUM(Tableau1[[#This Row],[Vente confiserie]:[Vente boisson]])</f>
        <v>0</v>
      </c>
      <c r="V295" s="55"/>
      <c r="W295" s="55"/>
      <c r="X295" s="135">
        <f>SUM(Tableau1[[#This Row],[Vente lunette]:[Location lunette]])</f>
        <v>0</v>
      </c>
      <c r="Y295" s="55"/>
      <c r="Z295" s="55"/>
      <c r="AA295" s="55"/>
      <c r="AB295" s="55"/>
      <c r="AC295" s="56">
        <f t="shared" si="196"/>
        <v>0</v>
      </c>
      <c r="AD295" s="57"/>
      <c r="AE295" s="57"/>
      <c r="AF295" s="57"/>
      <c r="AG295" s="57"/>
      <c r="AH295" s="57"/>
      <c r="AI295" s="57"/>
      <c r="AJ295" s="118">
        <f>(Tableau1[[#This Row],[Recette guichet ]]*1.1275177)-Tableau1[[#This Row],[Recette guichet ]]</f>
        <v>0</v>
      </c>
      <c r="AK295" s="57"/>
      <c r="AL295" s="56">
        <f t="shared" si="197"/>
        <v>0</v>
      </c>
      <c r="AM295" s="58"/>
      <c r="AN295" s="58"/>
      <c r="AO295" s="58"/>
      <c r="AP295" s="115">
        <f t="shared" si="168"/>
        <v>0</v>
      </c>
      <c r="AQ295" s="69"/>
      <c r="AR295" s="69"/>
      <c r="AS295" s="69"/>
      <c r="AT295" s="69"/>
      <c r="AU295" s="59">
        <f t="shared" si="169"/>
        <v>0</v>
      </c>
      <c r="AV295" s="60">
        <f t="shared" si="170"/>
        <v>0</v>
      </c>
      <c r="AW295" s="58"/>
      <c r="AX295" s="58"/>
      <c r="AY295" s="58"/>
      <c r="AZ295" s="60">
        <f t="shared" si="160"/>
        <v>0</v>
      </c>
      <c r="BA295" s="58"/>
      <c r="BB295" s="58"/>
      <c r="BC295" s="58"/>
      <c r="BD295" s="60">
        <f>SUM(Tableau1[[#This Row],[ticket/carte/abonnement périmé]:[Autres ou non précisé 5]])</f>
        <v>0</v>
      </c>
      <c r="BE295" s="58"/>
      <c r="BF295" s="58"/>
      <c r="BG295" s="58"/>
      <c r="BH295" s="61">
        <f t="shared" si="171"/>
        <v>0</v>
      </c>
      <c r="BI295" s="120"/>
      <c r="BJ295" s="120"/>
      <c r="BK295" s="62">
        <f t="shared" si="172"/>
        <v>0</v>
      </c>
      <c r="BL295" s="120"/>
      <c r="BM295" s="120"/>
      <c r="BN295" s="120"/>
      <c r="BO295" s="120"/>
      <c r="BP295" s="120"/>
      <c r="BQ295" s="63"/>
      <c r="BR295" s="52">
        <f t="shared" si="173"/>
        <v>0</v>
      </c>
      <c r="BS295" s="52">
        <f t="shared" si="174"/>
        <v>0</v>
      </c>
      <c r="BT295" s="61">
        <f t="shared" si="175"/>
        <v>0</v>
      </c>
      <c r="BU295" s="64">
        <f t="shared" si="176"/>
        <v>0</v>
      </c>
      <c r="BV295" s="119">
        <f>SUM(Tableau1[[#This Row],[Achats confiserie]:[Achats boisson]])</f>
        <v>0</v>
      </c>
      <c r="BW295" s="58"/>
      <c r="BX295" s="69"/>
      <c r="BY295" s="58"/>
      <c r="BZ295" s="56">
        <f t="shared" si="177"/>
        <v>0</v>
      </c>
      <c r="CA295" s="66"/>
      <c r="CB295" s="66"/>
      <c r="CC295" s="56">
        <f t="shared" si="178"/>
        <v>0</v>
      </c>
      <c r="CD295" s="55"/>
      <c r="CE295" s="65"/>
      <c r="CF295" s="55"/>
      <c r="CG295" s="55"/>
      <c r="CH295" s="67">
        <f t="shared" si="179"/>
        <v>0</v>
      </c>
      <c r="CI295" s="68">
        <f t="shared" si="195"/>
        <v>0</v>
      </c>
      <c r="CJ295" s="55"/>
      <c r="CK295" s="55"/>
      <c r="CL295" s="55"/>
      <c r="CM295" s="55"/>
      <c r="CN295" s="55"/>
      <c r="CO295" s="68">
        <f t="shared" si="180"/>
        <v>0</v>
      </c>
      <c r="CP295" s="75">
        <f>SUM(Tableau1[[#This Row],[Fourniture eau]:[Energie (non précisé)]])</f>
        <v>0</v>
      </c>
      <c r="CQ295" s="55"/>
      <c r="CR295" s="55"/>
      <c r="CS295" s="55"/>
      <c r="CT295" s="55"/>
      <c r="CU295" s="55"/>
      <c r="CV295" s="55">
        <v>0</v>
      </c>
      <c r="CW295" s="55"/>
      <c r="CX295" s="68">
        <f>SUM(Tableau1[[#This Row],[Sous-traitance]:[Autres ou non précisé 12]])</f>
        <v>0</v>
      </c>
      <c r="CY295" s="65"/>
      <c r="CZ295" s="65"/>
      <c r="DA295" s="65"/>
      <c r="DB295" s="65"/>
      <c r="DC295" s="55"/>
      <c r="DD295" s="68">
        <f t="shared" si="161"/>
        <v>0</v>
      </c>
      <c r="DE295" s="55"/>
      <c r="DF295" s="65"/>
      <c r="DG295" s="65"/>
      <c r="DH295" s="65"/>
      <c r="DI295" s="68">
        <f>SUM(Tableau1[[#This Row],[Entretien et réparation matériel de projection]:[Autres ou non précisé 14]])</f>
        <v>0</v>
      </c>
      <c r="DJ295" s="58"/>
      <c r="DK295" s="58"/>
      <c r="DL295" s="69"/>
      <c r="DM295" s="68">
        <f t="shared" si="181"/>
        <v>0</v>
      </c>
      <c r="DN295" s="58"/>
      <c r="DO295" s="58"/>
      <c r="DP295" s="68">
        <f t="shared" si="182"/>
        <v>0</v>
      </c>
      <c r="DQ295" s="65"/>
      <c r="DR295" s="65"/>
      <c r="DS295" s="68">
        <f t="shared" si="183"/>
        <v>0</v>
      </c>
      <c r="DT295" s="65"/>
      <c r="DU295" s="65"/>
      <c r="DV295" s="65"/>
      <c r="DW295" s="68">
        <f>SUM(Tableau1[[#This Row],[Comission et courtage sur achats]:[Autres ou honoraires
 non précisé ]])</f>
        <v>0</v>
      </c>
      <c r="DX295" s="57"/>
      <c r="DY295" s="57"/>
      <c r="DZ295" s="65"/>
      <c r="EA295" s="65"/>
      <c r="EB295" s="65"/>
      <c r="EC295" s="68">
        <f t="shared" si="184"/>
        <v>0</v>
      </c>
      <c r="ED295" s="69"/>
      <c r="EE295" s="69"/>
      <c r="EF295" s="69"/>
      <c r="EG295" s="69"/>
      <c r="EH295" s="69"/>
      <c r="EI295" s="84">
        <f>SUM(Tableau1[[#This Row],[Transports sur films]:[autres ]])</f>
        <v>0</v>
      </c>
      <c r="EJ295" s="132">
        <v>0</v>
      </c>
      <c r="EK295" s="132"/>
      <c r="EL295" s="68">
        <f t="shared" si="185"/>
        <v>0</v>
      </c>
      <c r="EM295" s="65"/>
      <c r="EN295" s="65">
        <v>0</v>
      </c>
      <c r="EO295" s="65"/>
      <c r="EP295" s="65"/>
      <c r="EQ295" s="65"/>
      <c r="ER295" s="65"/>
      <c r="ES295" s="65"/>
      <c r="ET295" s="68">
        <f t="shared" si="186"/>
        <v>0</v>
      </c>
      <c r="EU295" s="65"/>
      <c r="EV295" s="65"/>
      <c r="EW295" s="65"/>
      <c r="EX295" s="65"/>
      <c r="EY295" s="65"/>
      <c r="EZ295" s="68">
        <f t="shared" si="163"/>
        <v>0</v>
      </c>
      <c r="FA295" s="65"/>
      <c r="FB295" s="65"/>
      <c r="FC295" s="70">
        <f t="shared" si="162"/>
        <v>0</v>
      </c>
      <c r="FD295" s="65"/>
      <c r="FE295" s="71">
        <f t="shared" si="187"/>
        <v>0</v>
      </c>
      <c r="FF295" s="72">
        <f t="shared" si="188"/>
        <v>0</v>
      </c>
      <c r="FG295" s="65"/>
      <c r="FH295" s="65"/>
      <c r="FI295" s="65"/>
      <c r="FJ295" s="56">
        <f t="shared" si="189"/>
        <v>0</v>
      </c>
      <c r="FK295" s="65"/>
      <c r="FL295" s="65"/>
      <c r="FM295" s="65"/>
      <c r="FN295" s="65"/>
      <c r="FO295" s="67">
        <f t="shared" si="190"/>
        <v>0</v>
      </c>
      <c r="FP295" s="57"/>
      <c r="FQ295" s="73"/>
      <c r="FR295" s="73"/>
      <c r="FS295" s="71">
        <f t="shared" si="191"/>
        <v>0</v>
      </c>
      <c r="FT295" s="91"/>
      <c r="FU295" s="91"/>
      <c r="FV295" s="67">
        <f>SUM(Tableau1[[#This Row],[Droits d''auteurs SACEM + cotisations SACEM]:[Autres ou non préciés]])</f>
        <v>0</v>
      </c>
      <c r="FW295" s="75">
        <f t="shared" si="192"/>
        <v>0</v>
      </c>
      <c r="FX295" s="74">
        <v>0</v>
      </c>
      <c r="FY295" s="74"/>
      <c r="FZ295" s="74"/>
      <c r="GA295" s="74"/>
      <c r="GB295" s="71">
        <f t="shared" si="193"/>
        <v>0</v>
      </c>
      <c r="GC295" s="92"/>
      <c r="GD295" s="92"/>
      <c r="GE295" s="67">
        <f t="shared" si="194"/>
        <v>0</v>
      </c>
      <c r="GF295" s="66"/>
      <c r="GG295" s="66"/>
      <c r="GH295" s="66"/>
      <c r="GI295" s="66"/>
      <c r="GJ295" s="77"/>
    </row>
    <row r="296" spans="1:192" ht="18.600000000000001" customHeight="1" x14ac:dyDescent="0.25">
      <c r="A296" s="89"/>
      <c r="B296" s="17"/>
      <c r="C296" s="50"/>
      <c r="D296" s="140"/>
      <c r="E296" s="51"/>
      <c r="F296" s="139">
        <f t="shared" si="159"/>
        <v>1</v>
      </c>
      <c r="G296" s="49"/>
      <c r="H296" s="50"/>
      <c r="I296" s="122"/>
      <c r="J296" s="49"/>
      <c r="K296" s="50"/>
      <c r="L296" s="50"/>
      <c r="M296" s="90"/>
      <c r="N296" s="50"/>
      <c r="O296" s="50"/>
      <c r="P296" s="90"/>
      <c r="Q296" s="52">
        <f t="shared" si="164"/>
        <v>0</v>
      </c>
      <c r="R296" s="52">
        <f t="shared" si="165"/>
        <v>0</v>
      </c>
      <c r="S296" s="53">
        <f t="shared" si="166"/>
        <v>0</v>
      </c>
      <c r="T296" s="54">
        <f t="shared" si="167"/>
        <v>0</v>
      </c>
      <c r="U296" s="115">
        <f>SUM(Tableau1[[#This Row],[Vente confiserie]:[Vente boisson]])</f>
        <v>0</v>
      </c>
      <c r="V296" s="55"/>
      <c r="W296" s="55"/>
      <c r="X296" s="135">
        <f>SUM(Tableau1[[#This Row],[Vente lunette]:[Location lunette]])</f>
        <v>0</v>
      </c>
      <c r="Y296" s="55"/>
      <c r="Z296" s="55"/>
      <c r="AA296" s="55"/>
      <c r="AB296" s="55"/>
      <c r="AC296" s="56">
        <f t="shared" si="196"/>
        <v>0</v>
      </c>
      <c r="AD296" s="57"/>
      <c r="AE296" s="57"/>
      <c r="AF296" s="57"/>
      <c r="AG296" s="57"/>
      <c r="AH296" s="57"/>
      <c r="AI296" s="57"/>
      <c r="AJ296" s="118">
        <f>(Tableau1[[#This Row],[Recette guichet ]]*1.1275177)-Tableau1[[#This Row],[Recette guichet ]]</f>
        <v>0</v>
      </c>
      <c r="AK296" s="57"/>
      <c r="AL296" s="56">
        <f t="shared" si="197"/>
        <v>0</v>
      </c>
      <c r="AM296" s="58"/>
      <c r="AN296" s="58"/>
      <c r="AO296" s="58"/>
      <c r="AP296" s="115">
        <f t="shared" si="168"/>
        <v>0</v>
      </c>
      <c r="AQ296" s="69"/>
      <c r="AR296" s="69"/>
      <c r="AS296" s="69"/>
      <c r="AT296" s="69"/>
      <c r="AU296" s="59">
        <f t="shared" si="169"/>
        <v>0</v>
      </c>
      <c r="AV296" s="60">
        <f t="shared" si="170"/>
        <v>0</v>
      </c>
      <c r="AW296" s="58"/>
      <c r="AX296" s="58"/>
      <c r="AY296" s="58"/>
      <c r="AZ296" s="60">
        <f t="shared" si="160"/>
        <v>0</v>
      </c>
      <c r="BA296" s="58"/>
      <c r="BB296" s="58"/>
      <c r="BC296" s="58"/>
      <c r="BD296" s="60">
        <f>SUM(Tableau1[[#This Row],[ticket/carte/abonnement périmé]:[Autres ou non précisé 5]])</f>
        <v>0</v>
      </c>
      <c r="BE296" s="58"/>
      <c r="BF296" s="58"/>
      <c r="BG296" s="58"/>
      <c r="BH296" s="61">
        <f t="shared" si="171"/>
        <v>0</v>
      </c>
      <c r="BI296" s="120"/>
      <c r="BJ296" s="120"/>
      <c r="BK296" s="62">
        <f t="shared" si="172"/>
        <v>0</v>
      </c>
      <c r="BL296" s="120"/>
      <c r="BM296" s="120"/>
      <c r="BN296" s="120"/>
      <c r="BO296" s="120"/>
      <c r="BP296" s="120"/>
      <c r="BQ296" s="63"/>
      <c r="BR296" s="52">
        <f t="shared" si="173"/>
        <v>0</v>
      </c>
      <c r="BS296" s="52">
        <f t="shared" si="174"/>
        <v>0</v>
      </c>
      <c r="BT296" s="61">
        <f t="shared" si="175"/>
        <v>0</v>
      </c>
      <c r="BU296" s="64">
        <f t="shared" si="176"/>
        <v>0</v>
      </c>
      <c r="BV296" s="119">
        <f>SUM(Tableau1[[#This Row],[Achats confiserie]:[Achats boisson]])</f>
        <v>0</v>
      </c>
      <c r="BW296" s="58"/>
      <c r="BX296" s="69"/>
      <c r="BY296" s="58"/>
      <c r="BZ296" s="56">
        <f t="shared" si="177"/>
        <v>0</v>
      </c>
      <c r="CA296" s="66"/>
      <c r="CB296" s="66"/>
      <c r="CC296" s="56">
        <f t="shared" si="178"/>
        <v>0</v>
      </c>
      <c r="CD296" s="55"/>
      <c r="CE296" s="65"/>
      <c r="CF296" s="55"/>
      <c r="CG296" s="55"/>
      <c r="CH296" s="67">
        <f t="shared" si="179"/>
        <v>0</v>
      </c>
      <c r="CI296" s="68">
        <f t="shared" si="195"/>
        <v>0</v>
      </c>
      <c r="CJ296" s="55"/>
      <c r="CK296" s="55"/>
      <c r="CL296" s="55"/>
      <c r="CM296" s="55"/>
      <c r="CN296" s="55"/>
      <c r="CO296" s="68">
        <f t="shared" si="180"/>
        <v>0</v>
      </c>
      <c r="CP296" s="75">
        <f>SUM(Tableau1[[#This Row],[Fourniture eau]:[Energie (non précisé)]])</f>
        <v>0</v>
      </c>
      <c r="CQ296" s="55"/>
      <c r="CR296" s="55"/>
      <c r="CS296" s="55"/>
      <c r="CT296" s="55"/>
      <c r="CU296" s="55"/>
      <c r="CV296" s="55">
        <v>0</v>
      </c>
      <c r="CW296" s="55"/>
      <c r="CX296" s="68">
        <f>SUM(Tableau1[[#This Row],[Sous-traitance]:[Autres ou non précisé 12]])</f>
        <v>0</v>
      </c>
      <c r="CY296" s="65"/>
      <c r="CZ296" s="65"/>
      <c r="DA296" s="65"/>
      <c r="DB296" s="65"/>
      <c r="DC296" s="55"/>
      <c r="DD296" s="68">
        <f t="shared" si="161"/>
        <v>0</v>
      </c>
      <c r="DE296" s="55"/>
      <c r="DF296" s="65"/>
      <c r="DG296" s="65"/>
      <c r="DH296" s="65"/>
      <c r="DI296" s="68">
        <f>SUM(Tableau1[[#This Row],[Entretien et réparation matériel de projection]:[Autres ou non précisé 14]])</f>
        <v>0</v>
      </c>
      <c r="DJ296" s="58"/>
      <c r="DK296" s="58"/>
      <c r="DL296" s="69"/>
      <c r="DM296" s="68">
        <f t="shared" si="181"/>
        <v>0</v>
      </c>
      <c r="DN296" s="58"/>
      <c r="DO296" s="58"/>
      <c r="DP296" s="68">
        <f t="shared" si="182"/>
        <v>0</v>
      </c>
      <c r="DQ296" s="65"/>
      <c r="DR296" s="65"/>
      <c r="DS296" s="68">
        <f t="shared" si="183"/>
        <v>0</v>
      </c>
      <c r="DT296" s="65"/>
      <c r="DU296" s="65"/>
      <c r="DV296" s="65"/>
      <c r="DW296" s="68">
        <f>SUM(Tableau1[[#This Row],[Comission et courtage sur achats]:[Autres ou honoraires
 non précisé ]])</f>
        <v>0</v>
      </c>
      <c r="DX296" s="57"/>
      <c r="DY296" s="57"/>
      <c r="DZ296" s="65"/>
      <c r="EA296" s="65"/>
      <c r="EB296" s="65"/>
      <c r="EC296" s="68">
        <f t="shared" si="184"/>
        <v>0</v>
      </c>
      <c r="ED296" s="69"/>
      <c r="EE296" s="69"/>
      <c r="EF296" s="69"/>
      <c r="EG296" s="69"/>
      <c r="EH296" s="69"/>
      <c r="EI296" s="84">
        <f>SUM(Tableau1[[#This Row],[Transports sur films]:[autres ]])</f>
        <v>0</v>
      </c>
      <c r="EJ296" s="132">
        <v>0</v>
      </c>
      <c r="EK296" s="132"/>
      <c r="EL296" s="68">
        <f t="shared" si="185"/>
        <v>0</v>
      </c>
      <c r="EM296" s="65"/>
      <c r="EN296" s="65">
        <v>0</v>
      </c>
      <c r="EO296" s="65"/>
      <c r="EP296" s="65"/>
      <c r="EQ296" s="65"/>
      <c r="ER296" s="65"/>
      <c r="ES296" s="65"/>
      <c r="ET296" s="68">
        <f t="shared" si="186"/>
        <v>0</v>
      </c>
      <c r="EU296" s="65"/>
      <c r="EV296" s="65"/>
      <c r="EW296" s="65"/>
      <c r="EX296" s="65"/>
      <c r="EY296" s="65"/>
      <c r="EZ296" s="68">
        <f t="shared" si="163"/>
        <v>0</v>
      </c>
      <c r="FA296" s="65"/>
      <c r="FB296" s="65"/>
      <c r="FC296" s="70">
        <f t="shared" si="162"/>
        <v>0</v>
      </c>
      <c r="FD296" s="65"/>
      <c r="FE296" s="71">
        <f t="shared" si="187"/>
        <v>0</v>
      </c>
      <c r="FF296" s="72">
        <f t="shared" si="188"/>
        <v>0</v>
      </c>
      <c r="FG296" s="65"/>
      <c r="FH296" s="65"/>
      <c r="FI296" s="65"/>
      <c r="FJ296" s="56">
        <f t="shared" si="189"/>
        <v>0</v>
      </c>
      <c r="FK296" s="65"/>
      <c r="FL296" s="65"/>
      <c r="FM296" s="65"/>
      <c r="FN296" s="65"/>
      <c r="FO296" s="67">
        <f t="shared" si="190"/>
        <v>0</v>
      </c>
      <c r="FP296" s="57"/>
      <c r="FQ296" s="73"/>
      <c r="FR296" s="73"/>
      <c r="FS296" s="71">
        <f t="shared" si="191"/>
        <v>0</v>
      </c>
      <c r="FT296" s="91"/>
      <c r="FU296" s="91"/>
      <c r="FV296" s="67">
        <f>SUM(Tableau1[[#This Row],[Droits d''auteurs SACEM + cotisations SACEM]:[Autres ou non préciés]])</f>
        <v>0</v>
      </c>
      <c r="FW296" s="75">
        <f t="shared" si="192"/>
        <v>0</v>
      </c>
      <c r="FX296" s="74">
        <v>0</v>
      </c>
      <c r="FY296" s="74"/>
      <c r="FZ296" s="74"/>
      <c r="GA296" s="74"/>
      <c r="GB296" s="71">
        <f t="shared" si="193"/>
        <v>0</v>
      </c>
      <c r="GC296" s="92"/>
      <c r="GD296" s="92"/>
      <c r="GE296" s="67">
        <f t="shared" si="194"/>
        <v>0</v>
      </c>
      <c r="GF296" s="66"/>
      <c r="GG296" s="66"/>
      <c r="GH296" s="66"/>
      <c r="GI296" s="66"/>
      <c r="GJ296" s="77"/>
    </row>
    <row r="297" spans="1:192" ht="18.600000000000001" customHeight="1" x14ac:dyDescent="0.25">
      <c r="A297" s="89"/>
      <c r="B297" s="17"/>
      <c r="C297" s="50"/>
      <c r="D297" s="140"/>
      <c r="E297" s="51"/>
      <c r="F297" s="139">
        <f t="shared" si="159"/>
        <v>1</v>
      </c>
      <c r="G297" s="49"/>
      <c r="H297" s="50"/>
      <c r="I297" s="122"/>
      <c r="J297" s="49"/>
      <c r="K297" s="50"/>
      <c r="L297" s="50"/>
      <c r="M297" s="90"/>
      <c r="N297" s="50"/>
      <c r="O297" s="50"/>
      <c r="P297" s="90"/>
      <c r="Q297" s="52">
        <f t="shared" si="164"/>
        <v>0</v>
      </c>
      <c r="R297" s="52">
        <f t="shared" si="165"/>
        <v>0</v>
      </c>
      <c r="S297" s="53">
        <f t="shared" si="166"/>
        <v>0</v>
      </c>
      <c r="T297" s="54">
        <f t="shared" si="167"/>
        <v>0</v>
      </c>
      <c r="U297" s="115">
        <f>SUM(Tableau1[[#This Row],[Vente confiserie]:[Vente boisson]])</f>
        <v>0</v>
      </c>
      <c r="V297" s="55"/>
      <c r="W297" s="55"/>
      <c r="X297" s="135">
        <f>SUM(Tableau1[[#This Row],[Vente lunette]:[Location lunette]])</f>
        <v>0</v>
      </c>
      <c r="Y297" s="55"/>
      <c r="Z297" s="55"/>
      <c r="AA297" s="55"/>
      <c r="AB297" s="55"/>
      <c r="AC297" s="56">
        <f t="shared" si="196"/>
        <v>0</v>
      </c>
      <c r="AD297" s="57"/>
      <c r="AE297" s="57"/>
      <c r="AF297" s="57"/>
      <c r="AG297" s="57"/>
      <c r="AH297" s="57"/>
      <c r="AI297" s="57"/>
      <c r="AJ297" s="118">
        <f>(Tableau1[[#This Row],[Recette guichet ]]*1.1275177)-Tableau1[[#This Row],[Recette guichet ]]</f>
        <v>0</v>
      </c>
      <c r="AK297" s="57"/>
      <c r="AL297" s="56">
        <f t="shared" si="197"/>
        <v>0</v>
      </c>
      <c r="AM297" s="58"/>
      <c r="AN297" s="58"/>
      <c r="AO297" s="58"/>
      <c r="AP297" s="115">
        <f t="shared" si="168"/>
        <v>0</v>
      </c>
      <c r="AQ297" s="69"/>
      <c r="AR297" s="69"/>
      <c r="AS297" s="69"/>
      <c r="AT297" s="69"/>
      <c r="AU297" s="59">
        <f t="shared" si="169"/>
        <v>0</v>
      </c>
      <c r="AV297" s="60">
        <f t="shared" si="170"/>
        <v>0</v>
      </c>
      <c r="AW297" s="58"/>
      <c r="AX297" s="58"/>
      <c r="AY297" s="58"/>
      <c r="AZ297" s="60">
        <f t="shared" si="160"/>
        <v>0</v>
      </c>
      <c r="BA297" s="58"/>
      <c r="BB297" s="58"/>
      <c r="BC297" s="58"/>
      <c r="BD297" s="60">
        <f>SUM(Tableau1[[#This Row],[ticket/carte/abonnement périmé]:[Autres ou non précisé 5]])</f>
        <v>0</v>
      </c>
      <c r="BE297" s="58"/>
      <c r="BF297" s="58"/>
      <c r="BG297" s="58"/>
      <c r="BH297" s="61">
        <f t="shared" si="171"/>
        <v>0</v>
      </c>
      <c r="BI297" s="120"/>
      <c r="BJ297" s="120"/>
      <c r="BK297" s="62">
        <f t="shared" si="172"/>
        <v>0</v>
      </c>
      <c r="BL297" s="120"/>
      <c r="BM297" s="120"/>
      <c r="BN297" s="120"/>
      <c r="BO297" s="120"/>
      <c r="BP297" s="120"/>
      <c r="BQ297" s="63"/>
      <c r="BR297" s="52">
        <f t="shared" si="173"/>
        <v>0</v>
      </c>
      <c r="BS297" s="52">
        <f t="shared" si="174"/>
        <v>0</v>
      </c>
      <c r="BT297" s="61">
        <f t="shared" si="175"/>
        <v>0</v>
      </c>
      <c r="BU297" s="64">
        <f t="shared" si="176"/>
        <v>0</v>
      </c>
      <c r="BV297" s="119">
        <f>SUM(Tableau1[[#This Row],[Achats confiserie]:[Achats boisson]])</f>
        <v>0</v>
      </c>
      <c r="BW297" s="58"/>
      <c r="BX297" s="69"/>
      <c r="BY297" s="58"/>
      <c r="BZ297" s="56">
        <f t="shared" si="177"/>
        <v>0</v>
      </c>
      <c r="CA297" s="66"/>
      <c r="CB297" s="66"/>
      <c r="CC297" s="56">
        <f t="shared" si="178"/>
        <v>0</v>
      </c>
      <c r="CD297" s="55"/>
      <c r="CE297" s="65"/>
      <c r="CF297" s="55"/>
      <c r="CG297" s="55"/>
      <c r="CH297" s="67">
        <f t="shared" si="179"/>
        <v>0</v>
      </c>
      <c r="CI297" s="68">
        <f t="shared" si="195"/>
        <v>0</v>
      </c>
      <c r="CJ297" s="55"/>
      <c r="CK297" s="55"/>
      <c r="CL297" s="55"/>
      <c r="CM297" s="55"/>
      <c r="CN297" s="55"/>
      <c r="CO297" s="68">
        <f t="shared" si="180"/>
        <v>0</v>
      </c>
      <c r="CP297" s="75">
        <f>SUM(Tableau1[[#This Row],[Fourniture eau]:[Energie (non précisé)]])</f>
        <v>0</v>
      </c>
      <c r="CQ297" s="55"/>
      <c r="CR297" s="55"/>
      <c r="CS297" s="55"/>
      <c r="CT297" s="55"/>
      <c r="CU297" s="55"/>
      <c r="CV297" s="55">
        <v>0</v>
      </c>
      <c r="CW297" s="55"/>
      <c r="CX297" s="68">
        <f>SUM(Tableau1[[#This Row],[Sous-traitance]:[Autres ou non précisé 12]])</f>
        <v>0</v>
      </c>
      <c r="CY297" s="65"/>
      <c r="CZ297" s="65"/>
      <c r="DA297" s="65"/>
      <c r="DB297" s="65"/>
      <c r="DC297" s="55"/>
      <c r="DD297" s="68">
        <f t="shared" si="161"/>
        <v>0</v>
      </c>
      <c r="DE297" s="55"/>
      <c r="DF297" s="65"/>
      <c r="DG297" s="65"/>
      <c r="DH297" s="65"/>
      <c r="DI297" s="68">
        <f>SUM(Tableau1[[#This Row],[Entretien et réparation matériel de projection]:[Autres ou non précisé 14]])</f>
        <v>0</v>
      </c>
      <c r="DJ297" s="58"/>
      <c r="DK297" s="58"/>
      <c r="DL297" s="69"/>
      <c r="DM297" s="68">
        <f t="shared" si="181"/>
        <v>0</v>
      </c>
      <c r="DN297" s="58"/>
      <c r="DO297" s="58"/>
      <c r="DP297" s="68">
        <f t="shared" si="182"/>
        <v>0</v>
      </c>
      <c r="DQ297" s="65"/>
      <c r="DR297" s="65"/>
      <c r="DS297" s="68">
        <f t="shared" si="183"/>
        <v>0</v>
      </c>
      <c r="DT297" s="65"/>
      <c r="DU297" s="65"/>
      <c r="DV297" s="65"/>
      <c r="DW297" s="68">
        <f>SUM(Tableau1[[#This Row],[Comission et courtage sur achats]:[Autres ou honoraires
 non précisé ]])</f>
        <v>0</v>
      </c>
      <c r="DX297" s="57"/>
      <c r="DY297" s="57"/>
      <c r="DZ297" s="65"/>
      <c r="EA297" s="65"/>
      <c r="EB297" s="65"/>
      <c r="EC297" s="68">
        <f t="shared" si="184"/>
        <v>0</v>
      </c>
      <c r="ED297" s="69"/>
      <c r="EE297" s="69"/>
      <c r="EF297" s="69"/>
      <c r="EG297" s="69"/>
      <c r="EH297" s="69"/>
      <c r="EI297" s="84">
        <f>SUM(Tableau1[[#This Row],[Transports sur films]:[autres ]])</f>
        <v>0</v>
      </c>
      <c r="EJ297" s="132">
        <v>0</v>
      </c>
      <c r="EK297" s="132"/>
      <c r="EL297" s="68">
        <f t="shared" si="185"/>
        <v>0</v>
      </c>
      <c r="EM297" s="65"/>
      <c r="EN297" s="65">
        <v>0</v>
      </c>
      <c r="EO297" s="65"/>
      <c r="EP297" s="65"/>
      <c r="EQ297" s="65"/>
      <c r="ER297" s="65"/>
      <c r="ES297" s="65"/>
      <c r="ET297" s="68">
        <f t="shared" si="186"/>
        <v>0</v>
      </c>
      <c r="EU297" s="65"/>
      <c r="EV297" s="65"/>
      <c r="EW297" s="65"/>
      <c r="EX297" s="65"/>
      <c r="EY297" s="65"/>
      <c r="EZ297" s="68">
        <f t="shared" si="163"/>
        <v>0</v>
      </c>
      <c r="FA297" s="65"/>
      <c r="FB297" s="65"/>
      <c r="FC297" s="70">
        <f t="shared" si="162"/>
        <v>0</v>
      </c>
      <c r="FD297" s="65"/>
      <c r="FE297" s="71">
        <f t="shared" si="187"/>
        <v>0</v>
      </c>
      <c r="FF297" s="72">
        <f t="shared" si="188"/>
        <v>0</v>
      </c>
      <c r="FG297" s="65"/>
      <c r="FH297" s="65"/>
      <c r="FI297" s="65"/>
      <c r="FJ297" s="56">
        <f t="shared" si="189"/>
        <v>0</v>
      </c>
      <c r="FK297" s="65"/>
      <c r="FL297" s="65"/>
      <c r="FM297" s="65"/>
      <c r="FN297" s="65"/>
      <c r="FO297" s="67">
        <f t="shared" si="190"/>
        <v>0</v>
      </c>
      <c r="FP297" s="57"/>
      <c r="FQ297" s="73"/>
      <c r="FR297" s="73"/>
      <c r="FS297" s="71">
        <f t="shared" si="191"/>
        <v>0</v>
      </c>
      <c r="FT297" s="91"/>
      <c r="FU297" s="91"/>
      <c r="FV297" s="67">
        <f>SUM(Tableau1[[#This Row],[Droits d''auteurs SACEM + cotisations SACEM]:[Autres ou non préciés]])</f>
        <v>0</v>
      </c>
      <c r="FW297" s="75">
        <f t="shared" si="192"/>
        <v>0</v>
      </c>
      <c r="FX297" s="74">
        <v>0</v>
      </c>
      <c r="FY297" s="74"/>
      <c r="FZ297" s="74"/>
      <c r="GA297" s="74"/>
      <c r="GB297" s="71">
        <f t="shared" si="193"/>
        <v>0</v>
      </c>
      <c r="GC297" s="92"/>
      <c r="GD297" s="92"/>
      <c r="GE297" s="67">
        <f t="shared" si="194"/>
        <v>0</v>
      </c>
      <c r="GF297" s="66"/>
      <c r="GG297" s="66"/>
      <c r="GH297" s="66"/>
      <c r="GI297" s="66"/>
      <c r="GJ297" s="77"/>
    </row>
    <row r="298" spans="1:192" ht="18.600000000000001" customHeight="1" x14ac:dyDescent="0.25">
      <c r="A298" s="89"/>
      <c r="B298" s="17"/>
      <c r="C298" s="50"/>
      <c r="D298" s="140"/>
      <c r="E298" s="51"/>
      <c r="F298" s="139">
        <f t="shared" ref="F298:F361" si="198">DATEDIF(D298,E298,"m")+1</f>
        <v>1</v>
      </c>
      <c r="G298" s="49"/>
      <c r="H298" s="50"/>
      <c r="I298" s="122"/>
      <c r="J298" s="49"/>
      <c r="K298" s="50"/>
      <c r="L298" s="50"/>
      <c r="M298" s="90"/>
      <c r="N298" s="50"/>
      <c r="O298" s="50"/>
      <c r="P298" s="90"/>
      <c r="Q298" s="52">
        <f t="shared" si="164"/>
        <v>0</v>
      </c>
      <c r="R298" s="52">
        <f t="shared" si="165"/>
        <v>0</v>
      </c>
      <c r="S298" s="53">
        <f t="shared" si="166"/>
        <v>0</v>
      </c>
      <c r="T298" s="54">
        <f t="shared" si="167"/>
        <v>0</v>
      </c>
      <c r="U298" s="115">
        <f>SUM(Tableau1[[#This Row],[Vente confiserie]:[Vente boisson]])</f>
        <v>0</v>
      </c>
      <c r="V298" s="55"/>
      <c r="W298" s="55"/>
      <c r="X298" s="135">
        <f>SUM(Tableau1[[#This Row],[Vente lunette]:[Location lunette]])</f>
        <v>0</v>
      </c>
      <c r="Y298" s="55"/>
      <c r="Z298" s="55"/>
      <c r="AA298" s="55"/>
      <c r="AB298" s="55"/>
      <c r="AC298" s="56">
        <f t="shared" si="196"/>
        <v>0</v>
      </c>
      <c r="AD298" s="57"/>
      <c r="AE298" s="57"/>
      <c r="AF298" s="57"/>
      <c r="AG298" s="57"/>
      <c r="AH298" s="57"/>
      <c r="AI298" s="57"/>
      <c r="AJ298" s="118">
        <f>(Tableau1[[#This Row],[Recette guichet ]]*1.1275177)-Tableau1[[#This Row],[Recette guichet ]]</f>
        <v>0</v>
      </c>
      <c r="AK298" s="57"/>
      <c r="AL298" s="56">
        <f t="shared" si="197"/>
        <v>0</v>
      </c>
      <c r="AM298" s="58"/>
      <c r="AN298" s="58"/>
      <c r="AO298" s="58"/>
      <c r="AP298" s="115">
        <f t="shared" si="168"/>
        <v>0</v>
      </c>
      <c r="AQ298" s="69"/>
      <c r="AR298" s="69"/>
      <c r="AS298" s="69"/>
      <c r="AT298" s="69"/>
      <c r="AU298" s="59">
        <f t="shared" si="169"/>
        <v>0</v>
      </c>
      <c r="AV298" s="60">
        <f t="shared" si="170"/>
        <v>0</v>
      </c>
      <c r="AW298" s="58"/>
      <c r="AX298" s="58"/>
      <c r="AY298" s="58"/>
      <c r="AZ298" s="60">
        <f t="shared" si="160"/>
        <v>0</v>
      </c>
      <c r="BA298" s="58"/>
      <c r="BB298" s="58"/>
      <c r="BC298" s="58"/>
      <c r="BD298" s="60">
        <f>SUM(Tableau1[[#This Row],[ticket/carte/abonnement périmé]:[Autres ou non précisé 5]])</f>
        <v>0</v>
      </c>
      <c r="BE298" s="58"/>
      <c r="BF298" s="58"/>
      <c r="BG298" s="58"/>
      <c r="BH298" s="61">
        <f t="shared" si="171"/>
        <v>0</v>
      </c>
      <c r="BI298" s="120"/>
      <c r="BJ298" s="120"/>
      <c r="BK298" s="62">
        <f t="shared" si="172"/>
        <v>0</v>
      </c>
      <c r="BL298" s="120"/>
      <c r="BM298" s="120"/>
      <c r="BN298" s="120"/>
      <c r="BO298" s="120"/>
      <c r="BP298" s="120"/>
      <c r="BQ298" s="63"/>
      <c r="BR298" s="52">
        <f t="shared" si="173"/>
        <v>0</v>
      </c>
      <c r="BS298" s="52">
        <f t="shared" si="174"/>
        <v>0</v>
      </c>
      <c r="BT298" s="61">
        <f t="shared" si="175"/>
        <v>0</v>
      </c>
      <c r="BU298" s="64">
        <f t="shared" si="176"/>
        <v>0</v>
      </c>
      <c r="BV298" s="119">
        <f>SUM(Tableau1[[#This Row],[Achats confiserie]:[Achats boisson]])</f>
        <v>0</v>
      </c>
      <c r="BW298" s="58"/>
      <c r="BX298" s="69"/>
      <c r="BY298" s="58"/>
      <c r="BZ298" s="56">
        <f t="shared" si="177"/>
        <v>0</v>
      </c>
      <c r="CA298" s="66"/>
      <c r="CB298" s="66"/>
      <c r="CC298" s="56">
        <f t="shared" si="178"/>
        <v>0</v>
      </c>
      <c r="CD298" s="55"/>
      <c r="CE298" s="65"/>
      <c r="CF298" s="55"/>
      <c r="CG298" s="55"/>
      <c r="CH298" s="67">
        <f t="shared" si="179"/>
        <v>0</v>
      </c>
      <c r="CI298" s="68">
        <f t="shared" si="195"/>
        <v>0</v>
      </c>
      <c r="CJ298" s="55"/>
      <c r="CK298" s="55"/>
      <c r="CL298" s="55"/>
      <c r="CM298" s="55"/>
      <c r="CN298" s="55"/>
      <c r="CO298" s="68">
        <f t="shared" si="180"/>
        <v>0</v>
      </c>
      <c r="CP298" s="75">
        <f>SUM(Tableau1[[#This Row],[Fourniture eau]:[Energie (non précisé)]])</f>
        <v>0</v>
      </c>
      <c r="CQ298" s="55"/>
      <c r="CR298" s="55"/>
      <c r="CS298" s="55"/>
      <c r="CT298" s="55"/>
      <c r="CU298" s="55"/>
      <c r="CV298" s="55">
        <v>0</v>
      </c>
      <c r="CW298" s="55"/>
      <c r="CX298" s="68">
        <f>SUM(Tableau1[[#This Row],[Sous-traitance]:[Autres ou non précisé 12]])</f>
        <v>0</v>
      </c>
      <c r="CY298" s="65"/>
      <c r="CZ298" s="65"/>
      <c r="DA298" s="65"/>
      <c r="DB298" s="65"/>
      <c r="DC298" s="55"/>
      <c r="DD298" s="68">
        <f t="shared" si="161"/>
        <v>0</v>
      </c>
      <c r="DE298" s="55"/>
      <c r="DF298" s="65"/>
      <c r="DG298" s="65"/>
      <c r="DH298" s="65"/>
      <c r="DI298" s="68">
        <f>SUM(Tableau1[[#This Row],[Entretien et réparation matériel de projection]:[Autres ou non précisé 14]])</f>
        <v>0</v>
      </c>
      <c r="DJ298" s="58"/>
      <c r="DK298" s="58"/>
      <c r="DL298" s="69"/>
      <c r="DM298" s="68">
        <f t="shared" si="181"/>
        <v>0</v>
      </c>
      <c r="DN298" s="58"/>
      <c r="DO298" s="58"/>
      <c r="DP298" s="68">
        <f t="shared" si="182"/>
        <v>0</v>
      </c>
      <c r="DQ298" s="65"/>
      <c r="DR298" s="65"/>
      <c r="DS298" s="68">
        <f t="shared" si="183"/>
        <v>0</v>
      </c>
      <c r="DT298" s="65"/>
      <c r="DU298" s="65"/>
      <c r="DV298" s="65"/>
      <c r="DW298" s="68">
        <f>SUM(Tableau1[[#This Row],[Comission et courtage sur achats]:[Autres ou honoraires
 non précisé ]])</f>
        <v>0</v>
      </c>
      <c r="DX298" s="57"/>
      <c r="DY298" s="57"/>
      <c r="DZ298" s="65"/>
      <c r="EA298" s="65"/>
      <c r="EB298" s="65"/>
      <c r="EC298" s="68">
        <f t="shared" si="184"/>
        <v>0</v>
      </c>
      <c r="ED298" s="69"/>
      <c r="EE298" s="69"/>
      <c r="EF298" s="69"/>
      <c r="EG298" s="69"/>
      <c r="EH298" s="69"/>
      <c r="EI298" s="84">
        <f>SUM(Tableau1[[#This Row],[Transports sur films]:[autres ]])</f>
        <v>0</v>
      </c>
      <c r="EJ298" s="132">
        <v>0</v>
      </c>
      <c r="EK298" s="132"/>
      <c r="EL298" s="68">
        <f t="shared" si="185"/>
        <v>0</v>
      </c>
      <c r="EM298" s="65"/>
      <c r="EN298" s="65">
        <v>0</v>
      </c>
      <c r="EO298" s="65"/>
      <c r="EP298" s="65"/>
      <c r="EQ298" s="65"/>
      <c r="ER298" s="65"/>
      <c r="ES298" s="65"/>
      <c r="ET298" s="68">
        <f t="shared" si="186"/>
        <v>0</v>
      </c>
      <c r="EU298" s="65"/>
      <c r="EV298" s="65"/>
      <c r="EW298" s="65"/>
      <c r="EX298" s="65"/>
      <c r="EY298" s="65"/>
      <c r="EZ298" s="68">
        <f t="shared" si="163"/>
        <v>0</v>
      </c>
      <c r="FA298" s="65"/>
      <c r="FB298" s="65"/>
      <c r="FC298" s="70">
        <f t="shared" si="162"/>
        <v>0</v>
      </c>
      <c r="FD298" s="65"/>
      <c r="FE298" s="71">
        <f t="shared" si="187"/>
        <v>0</v>
      </c>
      <c r="FF298" s="72">
        <f t="shared" si="188"/>
        <v>0</v>
      </c>
      <c r="FG298" s="65"/>
      <c r="FH298" s="65"/>
      <c r="FI298" s="65"/>
      <c r="FJ298" s="56">
        <f t="shared" si="189"/>
        <v>0</v>
      </c>
      <c r="FK298" s="65"/>
      <c r="FL298" s="65"/>
      <c r="FM298" s="65"/>
      <c r="FN298" s="65"/>
      <c r="FO298" s="67">
        <f t="shared" si="190"/>
        <v>0</v>
      </c>
      <c r="FP298" s="57"/>
      <c r="FQ298" s="73"/>
      <c r="FR298" s="73"/>
      <c r="FS298" s="71">
        <f t="shared" si="191"/>
        <v>0</v>
      </c>
      <c r="FT298" s="91"/>
      <c r="FU298" s="91"/>
      <c r="FV298" s="67">
        <f>SUM(Tableau1[[#This Row],[Droits d''auteurs SACEM + cotisations SACEM]:[Autres ou non préciés]])</f>
        <v>0</v>
      </c>
      <c r="FW298" s="75">
        <f t="shared" si="192"/>
        <v>0</v>
      </c>
      <c r="FX298" s="74">
        <v>0</v>
      </c>
      <c r="FY298" s="74"/>
      <c r="FZ298" s="74"/>
      <c r="GA298" s="74"/>
      <c r="GB298" s="71">
        <f t="shared" si="193"/>
        <v>0</v>
      </c>
      <c r="GC298" s="92"/>
      <c r="GD298" s="92"/>
      <c r="GE298" s="67">
        <f t="shared" si="194"/>
        <v>0</v>
      </c>
      <c r="GF298" s="66"/>
      <c r="GG298" s="66"/>
      <c r="GH298" s="66"/>
      <c r="GI298" s="66"/>
      <c r="GJ298" s="77"/>
    </row>
    <row r="299" spans="1:192" ht="18.600000000000001" customHeight="1" x14ac:dyDescent="0.25">
      <c r="A299" s="89"/>
      <c r="B299" s="17"/>
      <c r="C299" s="50"/>
      <c r="D299" s="140"/>
      <c r="E299" s="51"/>
      <c r="F299" s="139">
        <f t="shared" si="198"/>
        <v>1</v>
      </c>
      <c r="G299" s="49"/>
      <c r="H299" s="50"/>
      <c r="I299" s="122"/>
      <c r="J299" s="49"/>
      <c r="K299" s="50"/>
      <c r="L299" s="50"/>
      <c r="M299" s="90"/>
      <c r="N299" s="50"/>
      <c r="O299" s="50"/>
      <c r="P299" s="90"/>
      <c r="Q299" s="52">
        <f t="shared" si="164"/>
        <v>0</v>
      </c>
      <c r="R299" s="52">
        <f t="shared" si="165"/>
        <v>0</v>
      </c>
      <c r="S299" s="53">
        <f t="shared" si="166"/>
        <v>0</v>
      </c>
      <c r="T299" s="54">
        <f t="shared" si="167"/>
        <v>0</v>
      </c>
      <c r="U299" s="115">
        <f>SUM(Tableau1[[#This Row],[Vente confiserie]:[Vente boisson]])</f>
        <v>0</v>
      </c>
      <c r="V299" s="55"/>
      <c r="W299" s="55"/>
      <c r="X299" s="135">
        <f>SUM(Tableau1[[#This Row],[Vente lunette]:[Location lunette]])</f>
        <v>0</v>
      </c>
      <c r="Y299" s="55"/>
      <c r="Z299" s="55"/>
      <c r="AA299" s="55"/>
      <c r="AB299" s="55"/>
      <c r="AC299" s="56">
        <f t="shared" si="196"/>
        <v>0</v>
      </c>
      <c r="AD299" s="57"/>
      <c r="AE299" s="57"/>
      <c r="AF299" s="57"/>
      <c r="AG299" s="57"/>
      <c r="AH299" s="57"/>
      <c r="AI299" s="57"/>
      <c r="AJ299" s="118">
        <f>(Tableau1[[#This Row],[Recette guichet ]]*1.1275177)-Tableau1[[#This Row],[Recette guichet ]]</f>
        <v>0</v>
      </c>
      <c r="AK299" s="57"/>
      <c r="AL299" s="56">
        <f t="shared" si="197"/>
        <v>0</v>
      </c>
      <c r="AM299" s="58"/>
      <c r="AN299" s="58"/>
      <c r="AO299" s="58"/>
      <c r="AP299" s="115">
        <f t="shared" si="168"/>
        <v>0</v>
      </c>
      <c r="AQ299" s="69"/>
      <c r="AR299" s="69"/>
      <c r="AS299" s="69"/>
      <c r="AT299" s="69"/>
      <c r="AU299" s="59">
        <f t="shared" si="169"/>
        <v>0</v>
      </c>
      <c r="AV299" s="60">
        <f t="shared" si="170"/>
        <v>0</v>
      </c>
      <c r="AW299" s="58"/>
      <c r="AX299" s="58"/>
      <c r="AY299" s="58"/>
      <c r="AZ299" s="60">
        <f t="shared" si="160"/>
        <v>0</v>
      </c>
      <c r="BA299" s="58"/>
      <c r="BB299" s="58"/>
      <c r="BC299" s="58"/>
      <c r="BD299" s="60">
        <f>SUM(Tableau1[[#This Row],[ticket/carte/abonnement périmé]:[Autres ou non précisé 5]])</f>
        <v>0</v>
      </c>
      <c r="BE299" s="58"/>
      <c r="BF299" s="58"/>
      <c r="BG299" s="58"/>
      <c r="BH299" s="61">
        <f t="shared" si="171"/>
        <v>0</v>
      </c>
      <c r="BI299" s="120"/>
      <c r="BJ299" s="120"/>
      <c r="BK299" s="62">
        <f t="shared" si="172"/>
        <v>0</v>
      </c>
      <c r="BL299" s="120"/>
      <c r="BM299" s="120"/>
      <c r="BN299" s="120"/>
      <c r="BO299" s="120"/>
      <c r="BP299" s="120"/>
      <c r="BQ299" s="63"/>
      <c r="BR299" s="52">
        <f t="shared" si="173"/>
        <v>0</v>
      </c>
      <c r="BS299" s="52">
        <f t="shared" si="174"/>
        <v>0</v>
      </c>
      <c r="BT299" s="61">
        <f t="shared" si="175"/>
        <v>0</v>
      </c>
      <c r="BU299" s="64">
        <f t="shared" si="176"/>
        <v>0</v>
      </c>
      <c r="BV299" s="119">
        <f>SUM(Tableau1[[#This Row],[Achats confiserie]:[Achats boisson]])</f>
        <v>0</v>
      </c>
      <c r="BW299" s="58"/>
      <c r="BX299" s="69"/>
      <c r="BY299" s="58"/>
      <c r="BZ299" s="56">
        <f t="shared" si="177"/>
        <v>0</v>
      </c>
      <c r="CA299" s="66"/>
      <c r="CB299" s="66"/>
      <c r="CC299" s="56">
        <f t="shared" si="178"/>
        <v>0</v>
      </c>
      <c r="CD299" s="55"/>
      <c r="CE299" s="65"/>
      <c r="CF299" s="55"/>
      <c r="CG299" s="55"/>
      <c r="CH299" s="67">
        <f t="shared" si="179"/>
        <v>0</v>
      </c>
      <c r="CI299" s="68">
        <f t="shared" si="195"/>
        <v>0</v>
      </c>
      <c r="CJ299" s="55"/>
      <c r="CK299" s="55"/>
      <c r="CL299" s="55"/>
      <c r="CM299" s="55"/>
      <c r="CN299" s="55"/>
      <c r="CO299" s="68">
        <f t="shared" si="180"/>
        <v>0</v>
      </c>
      <c r="CP299" s="75">
        <f>SUM(Tableau1[[#This Row],[Fourniture eau]:[Energie (non précisé)]])</f>
        <v>0</v>
      </c>
      <c r="CQ299" s="55"/>
      <c r="CR299" s="55"/>
      <c r="CS299" s="55"/>
      <c r="CT299" s="55"/>
      <c r="CU299" s="55"/>
      <c r="CV299" s="55">
        <v>0</v>
      </c>
      <c r="CW299" s="55"/>
      <c r="CX299" s="68">
        <f>SUM(Tableau1[[#This Row],[Sous-traitance]:[Autres ou non précisé 12]])</f>
        <v>0</v>
      </c>
      <c r="CY299" s="65"/>
      <c r="CZ299" s="65"/>
      <c r="DA299" s="65"/>
      <c r="DB299" s="65"/>
      <c r="DC299" s="55"/>
      <c r="DD299" s="68">
        <f t="shared" si="161"/>
        <v>0</v>
      </c>
      <c r="DE299" s="55"/>
      <c r="DF299" s="65"/>
      <c r="DG299" s="65"/>
      <c r="DH299" s="65"/>
      <c r="DI299" s="68">
        <f>SUM(Tableau1[[#This Row],[Entretien et réparation matériel de projection]:[Autres ou non précisé 14]])</f>
        <v>0</v>
      </c>
      <c r="DJ299" s="58"/>
      <c r="DK299" s="58"/>
      <c r="DL299" s="69"/>
      <c r="DM299" s="68">
        <f t="shared" si="181"/>
        <v>0</v>
      </c>
      <c r="DN299" s="58"/>
      <c r="DO299" s="58"/>
      <c r="DP299" s="68">
        <f t="shared" si="182"/>
        <v>0</v>
      </c>
      <c r="DQ299" s="65"/>
      <c r="DR299" s="65"/>
      <c r="DS299" s="68">
        <f t="shared" si="183"/>
        <v>0</v>
      </c>
      <c r="DT299" s="65"/>
      <c r="DU299" s="65"/>
      <c r="DV299" s="65"/>
      <c r="DW299" s="68">
        <f>SUM(Tableau1[[#This Row],[Comission et courtage sur achats]:[Autres ou honoraires
 non précisé ]])</f>
        <v>0</v>
      </c>
      <c r="DX299" s="57"/>
      <c r="DY299" s="57"/>
      <c r="DZ299" s="65"/>
      <c r="EA299" s="65"/>
      <c r="EB299" s="65"/>
      <c r="EC299" s="68">
        <f t="shared" si="184"/>
        <v>0</v>
      </c>
      <c r="ED299" s="69"/>
      <c r="EE299" s="69"/>
      <c r="EF299" s="69"/>
      <c r="EG299" s="69"/>
      <c r="EH299" s="69"/>
      <c r="EI299" s="84">
        <f>SUM(Tableau1[[#This Row],[Transports sur films]:[autres ]])</f>
        <v>0</v>
      </c>
      <c r="EJ299" s="132">
        <v>0</v>
      </c>
      <c r="EK299" s="132"/>
      <c r="EL299" s="68">
        <f t="shared" si="185"/>
        <v>0</v>
      </c>
      <c r="EM299" s="65"/>
      <c r="EN299" s="65">
        <v>0</v>
      </c>
      <c r="EO299" s="65"/>
      <c r="EP299" s="65"/>
      <c r="EQ299" s="65"/>
      <c r="ER299" s="65"/>
      <c r="ES299" s="65"/>
      <c r="ET299" s="68">
        <f t="shared" si="186"/>
        <v>0</v>
      </c>
      <c r="EU299" s="65"/>
      <c r="EV299" s="65"/>
      <c r="EW299" s="65"/>
      <c r="EX299" s="65"/>
      <c r="EY299" s="65"/>
      <c r="EZ299" s="68">
        <f t="shared" si="163"/>
        <v>0</v>
      </c>
      <c r="FA299" s="65"/>
      <c r="FB299" s="65"/>
      <c r="FC299" s="70">
        <f t="shared" si="162"/>
        <v>0</v>
      </c>
      <c r="FD299" s="65"/>
      <c r="FE299" s="71">
        <f t="shared" si="187"/>
        <v>0</v>
      </c>
      <c r="FF299" s="72">
        <f t="shared" si="188"/>
        <v>0</v>
      </c>
      <c r="FG299" s="65"/>
      <c r="FH299" s="65"/>
      <c r="FI299" s="65"/>
      <c r="FJ299" s="56">
        <f t="shared" si="189"/>
        <v>0</v>
      </c>
      <c r="FK299" s="65"/>
      <c r="FL299" s="65"/>
      <c r="FM299" s="65"/>
      <c r="FN299" s="65"/>
      <c r="FO299" s="67">
        <f t="shared" si="190"/>
        <v>0</v>
      </c>
      <c r="FP299" s="57"/>
      <c r="FQ299" s="73"/>
      <c r="FR299" s="73"/>
      <c r="FS299" s="71">
        <f t="shared" si="191"/>
        <v>0</v>
      </c>
      <c r="FT299" s="91"/>
      <c r="FU299" s="91"/>
      <c r="FV299" s="67">
        <f>SUM(Tableau1[[#This Row],[Droits d''auteurs SACEM + cotisations SACEM]:[Autres ou non préciés]])</f>
        <v>0</v>
      </c>
      <c r="FW299" s="75">
        <f t="shared" si="192"/>
        <v>0</v>
      </c>
      <c r="FX299" s="74">
        <v>0</v>
      </c>
      <c r="FY299" s="74"/>
      <c r="FZ299" s="74"/>
      <c r="GA299" s="74"/>
      <c r="GB299" s="71">
        <f t="shared" si="193"/>
        <v>0</v>
      </c>
      <c r="GC299" s="92"/>
      <c r="GD299" s="92"/>
      <c r="GE299" s="67">
        <f t="shared" si="194"/>
        <v>0</v>
      </c>
      <c r="GF299" s="66"/>
      <c r="GG299" s="66"/>
      <c r="GH299" s="66"/>
      <c r="GI299" s="66"/>
      <c r="GJ299" s="77"/>
    </row>
    <row r="300" spans="1:192" ht="18.600000000000001" customHeight="1" x14ac:dyDescent="0.25">
      <c r="A300" s="89"/>
      <c r="B300" s="17"/>
      <c r="C300" s="50"/>
      <c r="D300" s="140"/>
      <c r="E300" s="51"/>
      <c r="F300" s="139">
        <f t="shared" si="198"/>
        <v>1</v>
      </c>
      <c r="G300" s="49"/>
      <c r="H300" s="50"/>
      <c r="I300" s="122"/>
      <c r="J300" s="49"/>
      <c r="K300" s="50"/>
      <c r="L300" s="50"/>
      <c r="M300" s="90"/>
      <c r="N300" s="50"/>
      <c r="O300" s="50"/>
      <c r="P300" s="90"/>
      <c r="Q300" s="52">
        <f t="shared" si="164"/>
        <v>0</v>
      </c>
      <c r="R300" s="52">
        <f t="shared" si="165"/>
        <v>0</v>
      </c>
      <c r="S300" s="53">
        <f t="shared" si="166"/>
        <v>0</v>
      </c>
      <c r="T300" s="54">
        <f t="shared" si="167"/>
        <v>0</v>
      </c>
      <c r="U300" s="115">
        <f>SUM(Tableau1[[#This Row],[Vente confiserie]:[Vente boisson]])</f>
        <v>0</v>
      </c>
      <c r="V300" s="55"/>
      <c r="W300" s="55"/>
      <c r="X300" s="135">
        <f>SUM(Tableau1[[#This Row],[Vente lunette]:[Location lunette]])</f>
        <v>0</v>
      </c>
      <c r="Y300" s="55"/>
      <c r="Z300" s="55"/>
      <c r="AA300" s="55"/>
      <c r="AB300" s="55"/>
      <c r="AC300" s="56">
        <f t="shared" si="196"/>
        <v>0</v>
      </c>
      <c r="AD300" s="57"/>
      <c r="AE300" s="57"/>
      <c r="AF300" s="57"/>
      <c r="AG300" s="57"/>
      <c r="AH300" s="57"/>
      <c r="AI300" s="57"/>
      <c r="AJ300" s="118">
        <f>(Tableau1[[#This Row],[Recette guichet ]]*1.1275177)-Tableau1[[#This Row],[Recette guichet ]]</f>
        <v>0</v>
      </c>
      <c r="AK300" s="57"/>
      <c r="AL300" s="56">
        <f t="shared" si="197"/>
        <v>0</v>
      </c>
      <c r="AM300" s="58"/>
      <c r="AN300" s="58"/>
      <c r="AO300" s="58"/>
      <c r="AP300" s="115">
        <f t="shared" si="168"/>
        <v>0</v>
      </c>
      <c r="AQ300" s="69"/>
      <c r="AR300" s="69"/>
      <c r="AS300" s="69"/>
      <c r="AT300" s="69"/>
      <c r="AU300" s="59">
        <f t="shared" si="169"/>
        <v>0</v>
      </c>
      <c r="AV300" s="60">
        <f t="shared" si="170"/>
        <v>0</v>
      </c>
      <c r="AW300" s="58"/>
      <c r="AX300" s="58"/>
      <c r="AY300" s="58"/>
      <c r="AZ300" s="60">
        <f t="shared" si="160"/>
        <v>0</v>
      </c>
      <c r="BA300" s="58"/>
      <c r="BB300" s="58"/>
      <c r="BC300" s="58"/>
      <c r="BD300" s="60">
        <f>SUM(Tableau1[[#This Row],[ticket/carte/abonnement périmé]:[Autres ou non précisé 5]])</f>
        <v>0</v>
      </c>
      <c r="BE300" s="58"/>
      <c r="BF300" s="58"/>
      <c r="BG300" s="58"/>
      <c r="BH300" s="61">
        <f t="shared" si="171"/>
        <v>0</v>
      </c>
      <c r="BI300" s="120"/>
      <c r="BJ300" s="120"/>
      <c r="BK300" s="62">
        <f t="shared" si="172"/>
        <v>0</v>
      </c>
      <c r="BL300" s="120"/>
      <c r="BM300" s="120"/>
      <c r="BN300" s="120"/>
      <c r="BO300" s="120"/>
      <c r="BP300" s="120"/>
      <c r="BQ300" s="63"/>
      <c r="BR300" s="52">
        <f t="shared" si="173"/>
        <v>0</v>
      </c>
      <c r="BS300" s="52">
        <f t="shared" si="174"/>
        <v>0</v>
      </c>
      <c r="BT300" s="61">
        <f t="shared" si="175"/>
        <v>0</v>
      </c>
      <c r="BU300" s="64">
        <f t="shared" si="176"/>
        <v>0</v>
      </c>
      <c r="BV300" s="119">
        <f>SUM(Tableau1[[#This Row],[Achats confiserie]:[Achats boisson]])</f>
        <v>0</v>
      </c>
      <c r="BW300" s="58"/>
      <c r="BX300" s="69"/>
      <c r="BY300" s="58"/>
      <c r="BZ300" s="56">
        <f t="shared" si="177"/>
        <v>0</v>
      </c>
      <c r="CA300" s="66"/>
      <c r="CB300" s="66"/>
      <c r="CC300" s="56">
        <f t="shared" si="178"/>
        <v>0</v>
      </c>
      <c r="CD300" s="55"/>
      <c r="CE300" s="65"/>
      <c r="CF300" s="55"/>
      <c r="CG300" s="55"/>
      <c r="CH300" s="67">
        <f t="shared" si="179"/>
        <v>0</v>
      </c>
      <c r="CI300" s="68">
        <f t="shared" si="195"/>
        <v>0</v>
      </c>
      <c r="CJ300" s="55"/>
      <c r="CK300" s="55"/>
      <c r="CL300" s="55"/>
      <c r="CM300" s="55"/>
      <c r="CN300" s="55"/>
      <c r="CO300" s="68">
        <f t="shared" si="180"/>
        <v>0</v>
      </c>
      <c r="CP300" s="75">
        <f>SUM(Tableau1[[#This Row],[Fourniture eau]:[Energie (non précisé)]])</f>
        <v>0</v>
      </c>
      <c r="CQ300" s="55"/>
      <c r="CR300" s="55"/>
      <c r="CS300" s="55"/>
      <c r="CT300" s="55"/>
      <c r="CU300" s="55"/>
      <c r="CV300" s="55">
        <v>0</v>
      </c>
      <c r="CW300" s="55"/>
      <c r="CX300" s="68">
        <f>SUM(Tableau1[[#This Row],[Sous-traitance]:[Autres ou non précisé 12]])</f>
        <v>0</v>
      </c>
      <c r="CY300" s="65"/>
      <c r="CZ300" s="65"/>
      <c r="DA300" s="65"/>
      <c r="DB300" s="65"/>
      <c r="DC300" s="55"/>
      <c r="DD300" s="68">
        <f t="shared" si="161"/>
        <v>0</v>
      </c>
      <c r="DE300" s="55"/>
      <c r="DF300" s="65"/>
      <c r="DG300" s="65"/>
      <c r="DH300" s="65"/>
      <c r="DI300" s="68">
        <f>SUM(Tableau1[[#This Row],[Entretien et réparation matériel de projection]:[Autres ou non précisé 14]])</f>
        <v>0</v>
      </c>
      <c r="DJ300" s="58"/>
      <c r="DK300" s="58"/>
      <c r="DL300" s="69"/>
      <c r="DM300" s="68">
        <f t="shared" si="181"/>
        <v>0</v>
      </c>
      <c r="DN300" s="58"/>
      <c r="DO300" s="58"/>
      <c r="DP300" s="68">
        <f t="shared" si="182"/>
        <v>0</v>
      </c>
      <c r="DQ300" s="65"/>
      <c r="DR300" s="65"/>
      <c r="DS300" s="68">
        <f t="shared" si="183"/>
        <v>0</v>
      </c>
      <c r="DT300" s="65"/>
      <c r="DU300" s="65"/>
      <c r="DV300" s="65"/>
      <c r="DW300" s="68">
        <f>SUM(Tableau1[[#This Row],[Comission et courtage sur achats]:[Autres ou honoraires
 non précisé ]])</f>
        <v>0</v>
      </c>
      <c r="DX300" s="57"/>
      <c r="DY300" s="57"/>
      <c r="DZ300" s="65"/>
      <c r="EA300" s="65"/>
      <c r="EB300" s="65"/>
      <c r="EC300" s="68">
        <f t="shared" si="184"/>
        <v>0</v>
      </c>
      <c r="ED300" s="69"/>
      <c r="EE300" s="69"/>
      <c r="EF300" s="69"/>
      <c r="EG300" s="69"/>
      <c r="EH300" s="69"/>
      <c r="EI300" s="84">
        <f>SUM(Tableau1[[#This Row],[Transports sur films]:[autres ]])</f>
        <v>0</v>
      </c>
      <c r="EJ300" s="132">
        <v>0</v>
      </c>
      <c r="EK300" s="132"/>
      <c r="EL300" s="68">
        <f t="shared" si="185"/>
        <v>0</v>
      </c>
      <c r="EM300" s="65"/>
      <c r="EN300" s="65">
        <v>0</v>
      </c>
      <c r="EO300" s="65"/>
      <c r="EP300" s="65"/>
      <c r="EQ300" s="65"/>
      <c r="ER300" s="65"/>
      <c r="ES300" s="65"/>
      <c r="ET300" s="68">
        <f t="shared" si="186"/>
        <v>0</v>
      </c>
      <c r="EU300" s="65"/>
      <c r="EV300" s="65"/>
      <c r="EW300" s="65"/>
      <c r="EX300" s="65"/>
      <c r="EY300" s="65"/>
      <c r="EZ300" s="68">
        <f t="shared" si="163"/>
        <v>0</v>
      </c>
      <c r="FA300" s="65"/>
      <c r="FB300" s="65"/>
      <c r="FC300" s="70">
        <f t="shared" si="162"/>
        <v>0</v>
      </c>
      <c r="FD300" s="65"/>
      <c r="FE300" s="71">
        <f t="shared" si="187"/>
        <v>0</v>
      </c>
      <c r="FF300" s="72">
        <f t="shared" si="188"/>
        <v>0</v>
      </c>
      <c r="FG300" s="65"/>
      <c r="FH300" s="65"/>
      <c r="FI300" s="65"/>
      <c r="FJ300" s="56">
        <f t="shared" si="189"/>
        <v>0</v>
      </c>
      <c r="FK300" s="65"/>
      <c r="FL300" s="65"/>
      <c r="FM300" s="65"/>
      <c r="FN300" s="65"/>
      <c r="FO300" s="67">
        <f t="shared" si="190"/>
        <v>0</v>
      </c>
      <c r="FP300" s="57"/>
      <c r="FQ300" s="73"/>
      <c r="FR300" s="73"/>
      <c r="FS300" s="71">
        <f t="shared" si="191"/>
        <v>0</v>
      </c>
      <c r="FT300" s="91"/>
      <c r="FU300" s="91"/>
      <c r="FV300" s="67">
        <f>SUM(Tableau1[[#This Row],[Droits d''auteurs SACEM + cotisations SACEM]:[Autres ou non préciés]])</f>
        <v>0</v>
      </c>
      <c r="FW300" s="75">
        <f t="shared" si="192"/>
        <v>0</v>
      </c>
      <c r="FX300" s="74">
        <v>0</v>
      </c>
      <c r="FY300" s="74"/>
      <c r="FZ300" s="74"/>
      <c r="GA300" s="74"/>
      <c r="GB300" s="71">
        <f t="shared" si="193"/>
        <v>0</v>
      </c>
      <c r="GC300" s="92"/>
      <c r="GD300" s="92"/>
      <c r="GE300" s="67">
        <f t="shared" si="194"/>
        <v>0</v>
      </c>
      <c r="GF300" s="66"/>
      <c r="GG300" s="66"/>
      <c r="GH300" s="66"/>
      <c r="GI300" s="66"/>
      <c r="GJ300" s="77"/>
    </row>
    <row r="301" spans="1:192" ht="18.600000000000001" customHeight="1" x14ac:dyDescent="0.25">
      <c r="A301" s="89"/>
      <c r="B301" s="17"/>
      <c r="C301" s="50"/>
      <c r="D301" s="140"/>
      <c r="E301" s="51"/>
      <c r="F301" s="139">
        <f t="shared" si="198"/>
        <v>1</v>
      </c>
      <c r="G301" s="49"/>
      <c r="H301" s="50"/>
      <c r="I301" s="122"/>
      <c r="J301" s="49"/>
      <c r="K301" s="50"/>
      <c r="L301" s="50"/>
      <c r="M301" s="90"/>
      <c r="N301" s="50"/>
      <c r="O301" s="50"/>
      <c r="P301" s="90"/>
      <c r="Q301" s="52">
        <f t="shared" si="164"/>
        <v>0</v>
      </c>
      <c r="R301" s="52">
        <f t="shared" si="165"/>
        <v>0</v>
      </c>
      <c r="S301" s="53">
        <f t="shared" si="166"/>
        <v>0</v>
      </c>
      <c r="T301" s="54">
        <f t="shared" si="167"/>
        <v>0</v>
      </c>
      <c r="U301" s="115">
        <f>SUM(Tableau1[[#This Row],[Vente confiserie]:[Vente boisson]])</f>
        <v>0</v>
      </c>
      <c r="V301" s="55"/>
      <c r="W301" s="55"/>
      <c r="X301" s="135">
        <f>SUM(Tableau1[[#This Row],[Vente lunette]:[Location lunette]])</f>
        <v>0</v>
      </c>
      <c r="Y301" s="55"/>
      <c r="Z301" s="55"/>
      <c r="AA301" s="55"/>
      <c r="AB301" s="55"/>
      <c r="AC301" s="56">
        <f t="shared" si="196"/>
        <v>0</v>
      </c>
      <c r="AD301" s="57"/>
      <c r="AE301" s="57"/>
      <c r="AF301" s="57"/>
      <c r="AG301" s="57"/>
      <c r="AH301" s="57"/>
      <c r="AI301" s="57"/>
      <c r="AJ301" s="118">
        <f>(Tableau1[[#This Row],[Recette guichet ]]*1.1275177)-Tableau1[[#This Row],[Recette guichet ]]</f>
        <v>0</v>
      </c>
      <c r="AK301" s="57"/>
      <c r="AL301" s="56">
        <f t="shared" si="197"/>
        <v>0</v>
      </c>
      <c r="AM301" s="58"/>
      <c r="AN301" s="58"/>
      <c r="AO301" s="58"/>
      <c r="AP301" s="115">
        <f t="shared" si="168"/>
        <v>0</v>
      </c>
      <c r="AQ301" s="69"/>
      <c r="AR301" s="69"/>
      <c r="AS301" s="69"/>
      <c r="AT301" s="69"/>
      <c r="AU301" s="59">
        <f t="shared" si="169"/>
        <v>0</v>
      </c>
      <c r="AV301" s="60">
        <f t="shared" si="170"/>
        <v>0</v>
      </c>
      <c r="AW301" s="58"/>
      <c r="AX301" s="58"/>
      <c r="AY301" s="58"/>
      <c r="AZ301" s="60">
        <f t="shared" si="160"/>
        <v>0</v>
      </c>
      <c r="BA301" s="58"/>
      <c r="BB301" s="58"/>
      <c r="BC301" s="58"/>
      <c r="BD301" s="60">
        <f>SUM(Tableau1[[#This Row],[ticket/carte/abonnement périmé]:[Autres ou non précisé 5]])</f>
        <v>0</v>
      </c>
      <c r="BE301" s="58"/>
      <c r="BF301" s="58"/>
      <c r="BG301" s="58"/>
      <c r="BH301" s="61">
        <f t="shared" si="171"/>
        <v>0</v>
      </c>
      <c r="BI301" s="120"/>
      <c r="BJ301" s="120"/>
      <c r="BK301" s="62">
        <f t="shared" si="172"/>
        <v>0</v>
      </c>
      <c r="BL301" s="120"/>
      <c r="BM301" s="120"/>
      <c r="BN301" s="120"/>
      <c r="BO301" s="120"/>
      <c r="BP301" s="120"/>
      <c r="BQ301" s="63"/>
      <c r="BR301" s="52">
        <f t="shared" si="173"/>
        <v>0</v>
      </c>
      <c r="BS301" s="52">
        <f t="shared" si="174"/>
        <v>0</v>
      </c>
      <c r="BT301" s="61">
        <f t="shared" si="175"/>
        <v>0</v>
      </c>
      <c r="BU301" s="64">
        <f t="shared" si="176"/>
        <v>0</v>
      </c>
      <c r="BV301" s="119">
        <f>SUM(Tableau1[[#This Row],[Achats confiserie]:[Achats boisson]])</f>
        <v>0</v>
      </c>
      <c r="BW301" s="58"/>
      <c r="BX301" s="69"/>
      <c r="BY301" s="58"/>
      <c r="BZ301" s="56">
        <f t="shared" si="177"/>
        <v>0</v>
      </c>
      <c r="CA301" s="66"/>
      <c r="CB301" s="66"/>
      <c r="CC301" s="56">
        <f t="shared" si="178"/>
        <v>0</v>
      </c>
      <c r="CD301" s="55"/>
      <c r="CE301" s="65"/>
      <c r="CF301" s="55"/>
      <c r="CG301" s="55"/>
      <c r="CH301" s="67">
        <f t="shared" si="179"/>
        <v>0</v>
      </c>
      <c r="CI301" s="68">
        <f t="shared" si="195"/>
        <v>0</v>
      </c>
      <c r="CJ301" s="55"/>
      <c r="CK301" s="55"/>
      <c r="CL301" s="55"/>
      <c r="CM301" s="55"/>
      <c r="CN301" s="55"/>
      <c r="CO301" s="68">
        <f t="shared" si="180"/>
        <v>0</v>
      </c>
      <c r="CP301" s="75">
        <f>SUM(Tableau1[[#This Row],[Fourniture eau]:[Energie (non précisé)]])</f>
        <v>0</v>
      </c>
      <c r="CQ301" s="55"/>
      <c r="CR301" s="55"/>
      <c r="CS301" s="55"/>
      <c r="CT301" s="55"/>
      <c r="CU301" s="55"/>
      <c r="CV301" s="55">
        <v>0</v>
      </c>
      <c r="CW301" s="55"/>
      <c r="CX301" s="68">
        <f>SUM(Tableau1[[#This Row],[Sous-traitance]:[Autres ou non précisé 12]])</f>
        <v>0</v>
      </c>
      <c r="CY301" s="65"/>
      <c r="CZ301" s="65"/>
      <c r="DA301" s="65"/>
      <c r="DB301" s="65"/>
      <c r="DC301" s="55"/>
      <c r="DD301" s="68">
        <f t="shared" si="161"/>
        <v>0</v>
      </c>
      <c r="DE301" s="55"/>
      <c r="DF301" s="65"/>
      <c r="DG301" s="65"/>
      <c r="DH301" s="65"/>
      <c r="DI301" s="68">
        <f>SUM(Tableau1[[#This Row],[Entretien et réparation matériel de projection]:[Autres ou non précisé 14]])</f>
        <v>0</v>
      </c>
      <c r="DJ301" s="58"/>
      <c r="DK301" s="58"/>
      <c r="DL301" s="69"/>
      <c r="DM301" s="68">
        <f t="shared" si="181"/>
        <v>0</v>
      </c>
      <c r="DN301" s="58"/>
      <c r="DO301" s="58"/>
      <c r="DP301" s="68">
        <f t="shared" si="182"/>
        <v>0</v>
      </c>
      <c r="DQ301" s="65"/>
      <c r="DR301" s="65"/>
      <c r="DS301" s="68">
        <f t="shared" si="183"/>
        <v>0</v>
      </c>
      <c r="DT301" s="65"/>
      <c r="DU301" s="65"/>
      <c r="DV301" s="65"/>
      <c r="DW301" s="68">
        <f>SUM(Tableau1[[#This Row],[Comission et courtage sur achats]:[Autres ou honoraires
 non précisé ]])</f>
        <v>0</v>
      </c>
      <c r="DX301" s="57"/>
      <c r="DY301" s="57"/>
      <c r="DZ301" s="65"/>
      <c r="EA301" s="65"/>
      <c r="EB301" s="65"/>
      <c r="EC301" s="68">
        <f t="shared" si="184"/>
        <v>0</v>
      </c>
      <c r="ED301" s="69"/>
      <c r="EE301" s="69"/>
      <c r="EF301" s="69"/>
      <c r="EG301" s="69"/>
      <c r="EH301" s="69"/>
      <c r="EI301" s="84">
        <f>SUM(Tableau1[[#This Row],[Transports sur films]:[autres ]])</f>
        <v>0</v>
      </c>
      <c r="EJ301" s="132">
        <v>0</v>
      </c>
      <c r="EK301" s="132"/>
      <c r="EL301" s="68">
        <f t="shared" si="185"/>
        <v>0</v>
      </c>
      <c r="EM301" s="65"/>
      <c r="EN301" s="65">
        <v>0</v>
      </c>
      <c r="EO301" s="65"/>
      <c r="EP301" s="65"/>
      <c r="EQ301" s="65"/>
      <c r="ER301" s="65"/>
      <c r="ES301" s="65"/>
      <c r="ET301" s="68">
        <f t="shared" si="186"/>
        <v>0</v>
      </c>
      <c r="EU301" s="65"/>
      <c r="EV301" s="65"/>
      <c r="EW301" s="65"/>
      <c r="EX301" s="65"/>
      <c r="EY301" s="65"/>
      <c r="EZ301" s="68">
        <f t="shared" si="163"/>
        <v>0</v>
      </c>
      <c r="FA301" s="65"/>
      <c r="FB301" s="65"/>
      <c r="FC301" s="70">
        <f t="shared" si="162"/>
        <v>0</v>
      </c>
      <c r="FD301" s="65"/>
      <c r="FE301" s="71">
        <f t="shared" si="187"/>
        <v>0</v>
      </c>
      <c r="FF301" s="72">
        <f t="shared" si="188"/>
        <v>0</v>
      </c>
      <c r="FG301" s="65"/>
      <c r="FH301" s="65"/>
      <c r="FI301" s="65"/>
      <c r="FJ301" s="56">
        <f t="shared" si="189"/>
        <v>0</v>
      </c>
      <c r="FK301" s="65"/>
      <c r="FL301" s="65"/>
      <c r="FM301" s="65"/>
      <c r="FN301" s="65"/>
      <c r="FO301" s="67">
        <f t="shared" si="190"/>
        <v>0</v>
      </c>
      <c r="FP301" s="57"/>
      <c r="FQ301" s="73"/>
      <c r="FR301" s="73"/>
      <c r="FS301" s="71">
        <f t="shared" si="191"/>
        <v>0</v>
      </c>
      <c r="FT301" s="91"/>
      <c r="FU301" s="91"/>
      <c r="FV301" s="67">
        <f>SUM(Tableau1[[#This Row],[Droits d''auteurs SACEM + cotisations SACEM]:[Autres ou non préciés]])</f>
        <v>0</v>
      </c>
      <c r="FW301" s="75">
        <f t="shared" si="192"/>
        <v>0</v>
      </c>
      <c r="FX301" s="74">
        <v>0</v>
      </c>
      <c r="FY301" s="74"/>
      <c r="FZ301" s="74"/>
      <c r="GA301" s="74"/>
      <c r="GB301" s="71">
        <f t="shared" si="193"/>
        <v>0</v>
      </c>
      <c r="GC301" s="92"/>
      <c r="GD301" s="92"/>
      <c r="GE301" s="67">
        <f t="shared" si="194"/>
        <v>0</v>
      </c>
      <c r="GF301" s="66"/>
      <c r="GG301" s="66"/>
      <c r="GH301" s="66"/>
      <c r="GI301" s="66"/>
      <c r="GJ301" s="77"/>
    </row>
    <row r="302" spans="1:192" ht="18.600000000000001" customHeight="1" x14ac:dyDescent="0.25">
      <c r="A302" s="89"/>
      <c r="B302" s="17"/>
      <c r="C302" s="50"/>
      <c r="D302" s="140"/>
      <c r="E302" s="51"/>
      <c r="F302" s="139">
        <f t="shared" si="198"/>
        <v>1</v>
      </c>
      <c r="G302" s="49"/>
      <c r="H302" s="50"/>
      <c r="I302" s="122"/>
      <c r="J302" s="49"/>
      <c r="K302" s="50"/>
      <c r="L302" s="50"/>
      <c r="M302" s="90"/>
      <c r="N302" s="50"/>
      <c r="O302" s="50"/>
      <c r="P302" s="90"/>
      <c r="Q302" s="52">
        <f t="shared" si="164"/>
        <v>0</v>
      </c>
      <c r="R302" s="52">
        <f t="shared" si="165"/>
        <v>0</v>
      </c>
      <c r="S302" s="53">
        <f t="shared" si="166"/>
        <v>0</v>
      </c>
      <c r="T302" s="54">
        <f t="shared" si="167"/>
        <v>0</v>
      </c>
      <c r="U302" s="115">
        <f>SUM(Tableau1[[#This Row],[Vente confiserie]:[Vente boisson]])</f>
        <v>0</v>
      </c>
      <c r="V302" s="55"/>
      <c r="W302" s="55"/>
      <c r="X302" s="135">
        <f>SUM(Tableau1[[#This Row],[Vente lunette]:[Location lunette]])</f>
        <v>0</v>
      </c>
      <c r="Y302" s="55"/>
      <c r="Z302" s="55"/>
      <c r="AA302" s="55"/>
      <c r="AB302" s="55"/>
      <c r="AC302" s="56">
        <f t="shared" si="196"/>
        <v>0</v>
      </c>
      <c r="AD302" s="57"/>
      <c r="AE302" s="57"/>
      <c r="AF302" s="57"/>
      <c r="AG302" s="57"/>
      <c r="AH302" s="57"/>
      <c r="AI302" s="57"/>
      <c r="AJ302" s="118">
        <f>(Tableau1[[#This Row],[Recette guichet ]]*1.1275177)-Tableau1[[#This Row],[Recette guichet ]]</f>
        <v>0</v>
      </c>
      <c r="AK302" s="57"/>
      <c r="AL302" s="56">
        <f t="shared" si="197"/>
        <v>0</v>
      </c>
      <c r="AM302" s="58"/>
      <c r="AN302" s="58"/>
      <c r="AO302" s="58"/>
      <c r="AP302" s="115">
        <f t="shared" si="168"/>
        <v>0</v>
      </c>
      <c r="AQ302" s="69"/>
      <c r="AR302" s="69"/>
      <c r="AS302" s="69"/>
      <c r="AT302" s="69"/>
      <c r="AU302" s="59">
        <f t="shared" si="169"/>
        <v>0</v>
      </c>
      <c r="AV302" s="60">
        <f t="shared" si="170"/>
        <v>0</v>
      </c>
      <c r="AW302" s="58"/>
      <c r="AX302" s="58"/>
      <c r="AY302" s="58"/>
      <c r="AZ302" s="60">
        <f t="shared" si="160"/>
        <v>0</v>
      </c>
      <c r="BA302" s="58"/>
      <c r="BB302" s="58"/>
      <c r="BC302" s="58"/>
      <c r="BD302" s="60">
        <f>SUM(Tableau1[[#This Row],[ticket/carte/abonnement périmé]:[Autres ou non précisé 5]])</f>
        <v>0</v>
      </c>
      <c r="BE302" s="58"/>
      <c r="BF302" s="58"/>
      <c r="BG302" s="58"/>
      <c r="BH302" s="61">
        <f t="shared" si="171"/>
        <v>0</v>
      </c>
      <c r="BI302" s="120"/>
      <c r="BJ302" s="120"/>
      <c r="BK302" s="62">
        <f t="shared" si="172"/>
        <v>0</v>
      </c>
      <c r="BL302" s="120"/>
      <c r="BM302" s="120"/>
      <c r="BN302" s="120"/>
      <c r="BO302" s="120"/>
      <c r="BP302" s="120"/>
      <c r="BQ302" s="63"/>
      <c r="BR302" s="52">
        <f t="shared" si="173"/>
        <v>0</v>
      </c>
      <c r="BS302" s="52">
        <f t="shared" si="174"/>
        <v>0</v>
      </c>
      <c r="BT302" s="61">
        <f t="shared" si="175"/>
        <v>0</v>
      </c>
      <c r="BU302" s="64">
        <f t="shared" si="176"/>
        <v>0</v>
      </c>
      <c r="BV302" s="119">
        <f>SUM(Tableau1[[#This Row],[Achats confiserie]:[Achats boisson]])</f>
        <v>0</v>
      </c>
      <c r="BW302" s="58"/>
      <c r="BX302" s="69"/>
      <c r="BY302" s="58"/>
      <c r="BZ302" s="56">
        <f t="shared" si="177"/>
        <v>0</v>
      </c>
      <c r="CA302" s="66"/>
      <c r="CB302" s="66"/>
      <c r="CC302" s="56">
        <f t="shared" si="178"/>
        <v>0</v>
      </c>
      <c r="CD302" s="55"/>
      <c r="CE302" s="65"/>
      <c r="CF302" s="55"/>
      <c r="CG302" s="55"/>
      <c r="CH302" s="67">
        <f t="shared" si="179"/>
        <v>0</v>
      </c>
      <c r="CI302" s="68">
        <f t="shared" si="195"/>
        <v>0</v>
      </c>
      <c r="CJ302" s="55"/>
      <c r="CK302" s="55"/>
      <c r="CL302" s="55"/>
      <c r="CM302" s="55"/>
      <c r="CN302" s="55"/>
      <c r="CO302" s="68">
        <f t="shared" si="180"/>
        <v>0</v>
      </c>
      <c r="CP302" s="75">
        <f>SUM(Tableau1[[#This Row],[Fourniture eau]:[Energie (non précisé)]])</f>
        <v>0</v>
      </c>
      <c r="CQ302" s="55"/>
      <c r="CR302" s="55"/>
      <c r="CS302" s="55"/>
      <c r="CT302" s="55"/>
      <c r="CU302" s="55"/>
      <c r="CV302" s="55">
        <v>0</v>
      </c>
      <c r="CW302" s="55"/>
      <c r="CX302" s="68">
        <f>SUM(Tableau1[[#This Row],[Sous-traitance]:[Autres ou non précisé 12]])</f>
        <v>0</v>
      </c>
      <c r="CY302" s="65"/>
      <c r="CZ302" s="65"/>
      <c r="DA302" s="65"/>
      <c r="DB302" s="65"/>
      <c r="DC302" s="55"/>
      <c r="DD302" s="68">
        <f t="shared" si="161"/>
        <v>0</v>
      </c>
      <c r="DE302" s="55"/>
      <c r="DF302" s="65"/>
      <c r="DG302" s="65"/>
      <c r="DH302" s="65"/>
      <c r="DI302" s="68">
        <f>SUM(Tableau1[[#This Row],[Entretien et réparation matériel de projection]:[Autres ou non précisé 14]])</f>
        <v>0</v>
      </c>
      <c r="DJ302" s="58"/>
      <c r="DK302" s="58"/>
      <c r="DL302" s="69"/>
      <c r="DM302" s="68">
        <f t="shared" si="181"/>
        <v>0</v>
      </c>
      <c r="DN302" s="58"/>
      <c r="DO302" s="58"/>
      <c r="DP302" s="68">
        <f t="shared" si="182"/>
        <v>0</v>
      </c>
      <c r="DQ302" s="65"/>
      <c r="DR302" s="65"/>
      <c r="DS302" s="68">
        <f t="shared" si="183"/>
        <v>0</v>
      </c>
      <c r="DT302" s="65"/>
      <c r="DU302" s="65"/>
      <c r="DV302" s="65"/>
      <c r="DW302" s="68">
        <f>SUM(Tableau1[[#This Row],[Comission et courtage sur achats]:[Autres ou honoraires
 non précisé ]])</f>
        <v>0</v>
      </c>
      <c r="DX302" s="57"/>
      <c r="DY302" s="57"/>
      <c r="DZ302" s="65"/>
      <c r="EA302" s="65"/>
      <c r="EB302" s="65"/>
      <c r="EC302" s="68">
        <f t="shared" si="184"/>
        <v>0</v>
      </c>
      <c r="ED302" s="69"/>
      <c r="EE302" s="69"/>
      <c r="EF302" s="69"/>
      <c r="EG302" s="69"/>
      <c r="EH302" s="69"/>
      <c r="EI302" s="84">
        <f>SUM(Tableau1[[#This Row],[Transports sur films]:[autres ]])</f>
        <v>0</v>
      </c>
      <c r="EJ302" s="132">
        <v>0</v>
      </c>
      <c r="EK302" s="132"/>
      <c r="EL302" s="68">
        <f t="shared" si="185"/>
        <v>0</v>
      </c>
      <c r="EM302" s="65"/>
      <c r="EN302" s="65">
        <v>0</v>
      </c>
      <c r="EO302" s="65"/>
      <c r="EP302" s="65"/>
      <c r="EQ302" s="65"/>
      <c r="ER302" s="65"/>
      <c r="ES302" s="65"/>
      <c r="ET302" s="68">
        <f t="shared" si="186"/>
        <v>0</v>
      </c>
      <c r="EU302" s="65"/>
      <c r="EV302" s="65"/>
      <c r="EW302" s="65"/>
      <c r="EX302" s="65"/>
      <c r="EY302" s="65"/>
      <c r="EZ302" s="68">
        <f t="shared" si="163"/>
        <v>0</v>
      </c>
      <c r="FA302" s="65"/>
      <c r="FB302" s="65"/>
      <c r="FC302" s="70">
        <f t="shared" si="162"/>
        <v>0</v>
      </c>
      <c r="FD302" s="65"/>
      <c r="FE302" s="71">
        <f t="shared" si="187"/>
        <v>0</v>
      </c>
      <c r="FF302" s="72">
        <f t="shared" si="188"/>
        <v>0</v>
      </c>
      <c r="FG302" s="65"/>
      <c r="FH302" s="65"/>
      <c r="FI302" s="65"/>
      <c r="FJ302" s="56">
        <f t="shared" si="189"/>
        <v>0</v>
      </c>
      <c r="FK302" s="65"/>
      <c r="FL302" s="65"/>
      <c r="FM302" s="65"/>
      <c r="FN302" s="65"/>
      <c r="FO302" s="67">
        <f t="shared" si="190"/>
        <v>0</v>
      </c>
      <c r="FP302" s="57"/>
      <c r="FQ302" s="73"/>
      <c r="FR302" s="73"/>
      <c r="FS302" s="71">
        <f t="shared" si="191"/>
        <v>0</v>
      </c>
      <c r="FT302" s="91"/>
      <c r="FU302" s="91"/>
      <c r="FV302" s="67">
        <f>SUM(Tableau1[[#This Row],[Droits d''auteurs SACEM + cotisations SACEM]:[Autres ou non préciés]])</f>
        <v>0</v>
      </c>
      <c r="FW302" s="75">
        <f t="shared" si="192"/>
        <v>0</v>
      </c>
      <c r="FX302" s="74">
        <v>0</v>
      </c>
      <c r="FY302" s="74"/>
      <c r="FZ302" s="74"/>
      <c r="GA302" s="74"/>
      <c r="GB302" s="71">
        <f t="shared" si="193"/>
        <v>0</v>
      </c>
      <c r="GC302" s="92"/>
      <c r="GD302" s="92"/>
      <c r="GE302" s="67">
        <f t="shared" si="194"/>
        <v>0</v>
      </c>
      <c r="GF302" s="66"/>
      <c r="GG302" s="66"/>
      <c r="GH302" s="66"/>
      <c r="GI302" s="66"/>
      <c r="GJ302" s="77"/>
    </row>
    <row r="303" spans="1:192" ht="18.600000000000001" customHeight="1" x14ac:dyDescent="0.25">
      <c r="A303" s="89"/>
      <c r="B303" s="17"/>
      <c r="C303" s="50"/>
      <c r="D303" s="140"/>
      <c r="E303" s="51"/>
      <c r="F303" s="139">
        <f t="shared" si="198"/>
        <v>1</v>
      </c>
      <c r="G303" s="49"/>
      <c r="H303" s="50"/>
      <c r="I303" s="122"/>
      <c r="J303" s="49"/>
      <c r="K303" s="50"/>
      <c r="L303" s="50"/>
      <c r="M303" s="90"/>
      <c r="N303" s="50"/>
      <c r="O303" s="50"/>
      <c r="P303" s="90"/>
      <c r="Q303" s="52">
        <f t="shared" si="164"/>
        <v>0</v>
      </c>
      <c r="R303" s="52">
        <f t="shared" si="165"/>
        <v>0</v>
      </c>
      <c r="S303" s="53">
        <f t="shared" si="166"/>
        <v>0</v>
      </c>
      <c r="T303" s="54">
        <f t="shared" si="167"/>
        <v>0</v>
      </c>
      <c r="U303" s="115">
        <f>SUM(Tableau1[[#This Row],[Vente confiserie]:[Vente boisson]])</f>
        <v>0</v>
      </c>
      <c r="V303" s="55"/>
      <c r="W303" s="55"/>
      <c r="X303" s="135">
        <f>SUM(Tableau1[[#This Row],[Vente lunette]:[Location lunette]])</f>
        <v>0</v>
      </c>
      <c r="Y303" s="55"/>
      <c r="Z303" s="55"/>
      <c r="AA303" s="55"/>
      <c r="AB303" s="55"/>
      <c r="AC303" s="56">
        <f t="shared" si="196"/>
        <v>0</v>
      </c>
      <c r="AD303" s="57"/>
      <c r="AE303" s="57"/>
      <c r="AF303" s="57"/>
      <c r="AG303" s="57"/>
      <c r="AH303" s="57"/>
      <c r="AI303" s="57"/>
      <c r="AJ303" s="118">
        <f>(Tableau1[[#This Row],[Recette guichet ]]*1.1275177)-Tableau1[[#This Row],[Recette guichet ]]</f>
        <v>0</v>
      </c>
      <c r="AK303" s="57"/>
      <c r="AL303" s="56">
        <f t="shared" si="197"/>
        <v>0</v>
      </c>
      <c r="AM303" s="58"/>
      <c r="AN303" s="58"/>
      <c r="AO303" s="58"/>
      <c r="AP303" s="115">
        <f t="shared" si="168"/>
        <v>0</v>
      </c>
      <c r="AQ303" s="69"/>
      <c r="AR303" s="69"/>
      <c r="AS303" s="69"/>
      <c r="AT303" s="69"/>
      <c r="AU303" s="59">
        <f t="shared" si="169"/>
        <v>0</v>
      </c>
      <c r="AV303" s="60">
        <f t="shared" si="170"/>
        <v>0</v>
      </c>
      <c r="AW303" s="58"/>
      <c r="AX303" s="58"/>
      <c r="AY303" s="58"/>
      <c r="AZ303" s="60">
        <f t="shared" si="160"/>
        <v>0</v>
      </c>
      <c r="BA303" s="58"/>
      <c r="BB303" s="58"/>
      <c r="BC303" s="58"/>
      <c r="BD303" s="60">
        <f>SUM(Tableau1[[#This Row],[ticket/carte/abonnement périmé]:[Autres ou non précisé 5]])</f>
        <v>0</v>
      </c>
      <c r="BE303" s="58"/>
      <c r="BF303" s="58"/>
      <c r="BG303" s="58"/>
      <c r="BH303" s="61">
        <f t="shared" si="171"/>
        <v>0</v>
      </c>
      <c r="BI303" s="120"/>
      <c r="BJ303" s="120"/>
      <c r="BK303" s="62">
        <f t="shared" si="172"/>
        <v>0</v>
      </c>
      <c r="BL303" s="120"/>
      <c r="BM303" s="120"/>
      <c r="BN303" s="120"/>
      <c r="BO303" s="120"/>
      <c r="BP303" s="120"/>
      <c r="BQ303" s="63"/>
      <c r="BR303" s="52">
        <f t="shared" si="173"/>
        <v>0</v>
      </c>
      <c r="BS303" s="52">
        <f t="shared" si="174"/>
        <v>0</v>
      </c>
      <c r="BT303" s="61">
        <f t="shared" si="175"/>
        <v>0</v>
      </c>
      <c r="BU303" s="64">
        <f t="shared" si="176"/>
        <v>0</v>
      </c>
      <c r="BV303" s="119">
        <f>SUM(Tableau1[[#This Row],[Achats confiserie]:[Achats boisson]])</f>
        <v>0</v>
      </c>
      <c r="BW303" s="58"/>
      <c r="BX303" s="69"/>
      <c r="BY303" s="58"/>
      <c r="BZ303" s="56">
        <f t="shared" si="177"/>
        <v>0</v>
      </c>
      <c r="CA303" s="66"/>
      <c r="CB303" s="66"/>
      <c r="CC303" s="56">
        <f t="shared" si="178"/>
        <v>0</v>
      </c>
      <c r="CD303" s="55"/>
      <c r="CE303" s="65"/>
      <c r="CF303" s="55"/>
      <c r="CG303" s="55"/>
      <c r="CH303" s="67">
        <f t="shared" si="179"/>
        <v>0</v>
      </c>
      <c r="CI303" s="68">
        <f t="shared" si="195"/>
        <v>0</v>
      </c>
      <c r="CJ303" s="55"/>
      <c r="CK303" s="55"/>
      <c r="CL303" s="55"/>
      <c r="CM303" s="55"/>
      <c r="CN303" s="55"/>
      <c r="CO303" s="68">
        <f t="shared" si="180"/>
        <v>0</v>
      </c>
      <c r="CP303" s="75">
        <f>SUM(Tableau1[[#This Row],[Fourniture eau]:[Energie (non précisé)]])</f>
        <v>0</v>
      </c>
      <c r="CQ303" s="55"/>
      <c r="CR303" s="55"/>
      <c r="CS303" s="55"/>
      <c r="CT303" s="55"/>
      <c r="CU303" s="55"/>
      <c r="CV303" s="55">
        <v>0</v>
      </c>
      <c r="CW303" s="55"/>
      <c r="CX303" s="68">
        <f>SUM(Tableau1[[#This Row],[Sous-traitance]:[Autres ou non précisé 12]])</f>
        <v>0</v>
      </c>
      <c r="CY303" s="65"/>
      <c r="CZ303" s="65"/>
      <c r="DA303" s="65"/>
      <c r="DB303" s="65"/>
      <c r="DC303" s="55"/>
      <c r="DD303" s="68">
        <f t="shared" si="161"/>
        <v>0</v>
      </c>
      <c r="DE303" s="55"/>
      <c r="DF303" s="65"/>
      <c r="DG303" s="65"/>
      <c r="DH303" s="65"/>
      <c r="DI303" s="68">
        <f>SUM(Tableau1[[#This Row],[Entretien et réparation matériel de projection]:[Autres ou non précisé 14]])</f>
        <v>0</v>
      </c>
      <c r="DJ303" s="58"/>
      <c r="DK303" s="58"/>
      <c r="DL303" s="69"/>
      <c r="DM303" s="68">
        <f t="shared" si="181"/>
        <v>0</v>
      </c>
      <c r="DN303" s="58"/>
      <c r="DO303" s="58"/>
      <c r="DP303" s="68">
        <f t="shared" si="182"/>
        <v>0</v>
      </c>
      <c r="DQ303" s="65"/>
      <c r="DR303" s="65"/>
      <c r="DS303" s="68">
        <f t="shared" si="183"/>
        <v>0</v>
      </c>
      <c r="DT303" s="65"/>
      <c r="DU303" s="65"/>
      <c r="DV303" s="65"/>
      <c r="DW303" s="68">
        <f>SUM(Tableau1[[#This Row],[Comission et courtage sur achats]:[Autres ou honoraires
 non précisé ]])</f>
        <v>0</v>
      </c>
      <c r="DX303" s="57"/>
      <c r="DY303" s="57"/>
      <c r="DZ303" s="65"/>
      <c r="EA303" s="65"/>
      <c r="EB303" s="65"/>
      <c r="EC303" s="68">
        <f t="shared" si="184"/>
        <v>0</v>
      </c>
      <c r="ED303" s="69"/>
      <c r="EE303" s="69"/>
      <c r="EF303" s="69"/>
      <c r="EG303" s="69"/>
      <c r="EH303" s="69"/>
      <c r="EI303" s="84">
        <f>SUM(Tableau1[[#This Row],[Transports sur films]:[autres ]])</f>
        <v>0</v>
      </c>
      <c r="EJ303" s="132">
        <v>0</v>
      </c>
      <c r="EK303" s="132"/>
      <c r="EL303" s="68">
        <f t="shared" si="185"/>
        <v>0</v>
      </c>
      <c r="EM303" s="65"/>
      <c r="EN303" s="65">
        <v>0</v>
      </c>
      <c r="EO303" s="65"/>
      <c r="EP303" s="65"/>
      <c r="EQ303" s="65"/>
      <c r="ER303" s="65"/>
      <c r="ES303" s="65"/>
      <c r="ET303" s="68">
        <f t="shared" si="186"/>
        <v>0</v>
      </c>
      <c r="EU303" s="65"/>
      <c r="EV303" s="65"/>
      <c r="EW303" s="65"/>
      <c r="EX303" s="65"/>
      <c r="EY303" s="65"/>
      <c r="EZ303" s="68">
        <f t="shared" si="163"/>
        <v>0</v>
      </c>
      <c r="FA303" s="65"/>
      <c r="FB303" s="65"/>
      <c r="FC303" s="70">
        <f t="shared" si="162"/>
        <v>0</v>
      </c>
      <c r="FD303" s="65"/>
      <c r="FE303" s="71">
        <f t="shared" si="187"/>
        <v>0</v>
      </c>
      <c r="FF303" s="72">
        <f t="shared" si="188"/>
        <v>0</v>
      </c>
      <c r="FG303" s="65"/>
      <c r="FH303" s="65"/>
      <c r="FI303" s="65"/>
      <c r="FJ303" s="56">
        <f t="shared" si="189"/>
        <v>0</v>
      </c>
      <c r="FK303" s="65"/>
      <c r="FL303" s="65"/>
      <c r="FM303" s="65"/>
      <c r="FN303" s="65"/>
      <c r="FO303" s="67">
        <f t="shared" si="190"/>
        <v>0</v>
      </c>
      <c r="FP303" s="57"/>
      <c r="FQ303" s="73"/>
      <c r="FR303" s="73"/>
      <c r="FS303" s="71">
        <f t="shared" si="191"/>
        <v>0</v>
      </c>
      <c r="FT303" s="91"/>
      <c r="FU303" s="91"/>
      <c r="FV303" s="67">
        <f>SUM(Tableau1[[#This Row],[Droits d''auteurs SACEM + cotisations SACEM]:[Autres ou non préciés]])</f>
        <v>0</v>
      </c>
      <c r="FW303" s="75">
        <f t="shared" si="192"/>
        <v>0</v>
      </c>
      <c r="FX303" s="74">
        <v>0</v>
      </c>
      <c r="FY303" s="74"/>
      <c r="FZ303" s="74"/>
      <c r="GA303" s="74"/>
      <c r="GB303" s="71">
        <f t="shared" si="193"/>
        <v>0</v>
      </c>
      <c r="GC303" s="92"/>
      <c r="GD303" s="92"/>
      <c r="GE303" s="67">
        <f t="shared" si="194"/>
        <v>0</v>
      </c>
      <c r="GF303" s="66"/>
      <c r="GG303" s="66"/>
      <c r="GH303" s="66"/>
      <c r="GI303" s="66"/>
      <c r="GJ303" s="77"/>
    </row>
    <row r="304" spans="1:192" ht="18.600000000000001" customHeight="1" x14ac:dyDescent="0.25">
      <c r="A304" s="89"/>
      <c r="B304" s="17"/>
      <c r="C304" s="50"/>
      <c r="D304" s="140"/>
      <c r="E304" s="51"/>
      <c r="F304" s="139">
        <f t="shared" si="198"/>
        <v>1</v>
      </c>
      <c r="G304" s="49"/>
      <c r="H304" s="50"/>
      <c r="I304" s="122"/>
      <c r="J304" s="49"/>
      <c r="K304" s="50"/>
      <c r="L304" s="50"/>
      <c r="M304" s="90"/>
      <c r="N304" s="50"/>
      <c r="O304" s="50"/>
      <c r="P304" s="90"/>
      <c r="Q304" s="52">
        <f t="shared" si="164"/>
        <v>0</v>
      </c>
      <c r="R304" s="52">
        <f t="shared" si="165"/>
        <v>0</v>
      </c>
      <c r="S304" s="53">
        <f t="shared" si="166"/>
        <v>0</v>
      </c>
      <c r="T304" s="54">
        <f t="shared" si="167"/>
        <v>0</v>
      </c>
      <c r="U304" s="115">
        <f>SUM(Tableau1[[#This Row],[Vente confiserie]:[Vente boisson]])</f>
        <v>0</v>
      </c>
      <c r="V304" s="55"/>
      <c r="W304" s="55"/>
      <c r="X304" s="135">
        <f>SUM(Tableau1[[#This Row],[Vente lunette]:[Location lunette]])</f>
        <v>0</v>
      </c>
      <c r="Y304" s="55"/>
      <c r="Z304" s="55"/>
      <c r="AA304" s="55"/>
      <c r="AB304" s="55"/>
      <c r="AC304" s="56">
        <f t="shared" si="196"/>
        <v>0</v>
      </c>
      <c r="AD304" s="57"/>
      <c r="AE304" s="57"/>
      <c r="AF304" s="57"/>
      <c r="AG304" s="57"/>
      <c r="AH304" s="57"/>
      <c r="AI304" s="57"/>
      <c r="AJ304" s="118">
        <f>(Tableau1[[#This Row],[Recette guichet ]]*1.1275177)-Tableau1[[#This Row],[Recette guichet ]]</f>
        <v>0</v>
      </c>
      <c r="AK304" s="57"/>
      <c r="AL304" s="56">
        <f t="shared" si="197"/>
        <v>0</v>
      </c>
      <c r="AM304" s="58"/>
      <c r="AN304" s="58"/>
      <c r="AO304" s="58"/>
      <c r="AP304" s="115">
        <f t="shared" si="168"/>
        <v>0</v>
      </c>
      <c r="AQ304" s="69"/>
      <c r="AR304" s="69"/>
      <c r="AS304" s="69"/>
      <c r="AT304" s="69"/>
      <c r="AU304" s="59">
        <f t="shared" si="169"/>
        <v>0</v>
      </c>
      <c r="AV304" s="60">
        <f t="shared" si="170"/>
        <v>0</v>
      </c>
      <c r="AW304" s="58"/>
      <c r="AX304" s="58"/>
      <c r="AY304" s="58"/>
      <c r="AZ304" s="60">
        <f t="shared" si="160"/>
        <v>0</v>
      </c>
      <c r="BA304" s="58"/>
      <c r="BB304" s="58"/>
      <c r="BC304" s="58"/>
      <c r="BD304" s="60">
        <f>SUM(Tableau1[[#This Row],[ticket/carte/abonnement périmé]:[Autres ou non précisé 5]])</f>
        <v>0</v>
      </c>
      <c r="BE304" s="58"/>
      <c r="BF304" s="58"/>
      <c r="BG304" s="58"/>
      <c r="BH304" s="61">
        <f t="shared" si="171"/>
        <v>0</v>
      </c>
      <c r="BI304" s="120"/>
      <c r="BJ304" s="120"/>
      <c r="BK304" s="62">
        <f t="shared" si="172"/>
        <v>0</v>
      </c>
      <c r="BL304" s="120"/>
      <c r="BM304" s="120"/>
      <c r="BN304" s="120"/>
      <c r="BO304" s="120"/>
      <c r="BP304" s="120"/>
      <c r="BQ304" s="63"/>
      <c r="BR304" s="52">
        <f t="shared" si="173"/>
        <v>0</v>
      </c>
      <c r="BS304" s="52">
        <f t="shared" si="174"/>
        <v>0</v>
      </c>
      <c r="BT304" s="61">
        <f t="shared" si="175"/>
        <v>0</v>
      </c>
      <c r="BU304" s="64">
        <f t="shared" si="176"/>
        <v>0</v>
      </c>
      <c r="BV304" s="119">
        <f>SUM(Tableau1[[#This Row],[Achats confiserie]:[Achats boisson]])</f>
        <v>0</v>
      </c>
      <c r="BW304" s="58"/>
      <c r="BX304" s="69"/>
      <c r="BY304" s="58"/>
      <c r="BZ304" s="56">
        <f t="shared" si="177"/>
        <v>0</v>
      </c>
      <c r="CA304" s="66"/>
      <c r="CB304" s="66"/>
      <c r="CC304" s="56">
        <f t="shared" si="178"/>
        <v>0</v>
      </c>
      <c r="CD304" s="55"/>
      <c r="CE304" s="65"/>
      <c r="CF304" s="55"/>
      <c r="CG304" s="55"/>
      <c r="CH304" s="67">
        <f t="shared" si="179"/>
        <v>0</v>
      </c>
      <c r="CI304" s="68">
        <f t="shared" si="195"/>
        <v>0</v>
      </c>
      <c r="CJ304" s="55"/>
      <c r="CK304" s="55"/>
      <c r="CL304" s="55"/>
      <c r="CM304" s="55"/>
      <c r="CN304" s="55"/>
      <c r="CO304" s="68">
        <f t="shared" si="180"/>
        <v>0</v>
      </c>
      <c r="CP304" s="75">
        <f>SUM(Tableau1[[#This Row],[Fourniture eau]:[Energie (non précisé)]])</f>
        <v>0</v>
      </c>
      <c r="CQ304" s="55"/>
      <c r="CR304" s="55"/>
      <c r="CS304" s="55"/>
      <c r="CT304" s="55"/>
      <c r="CU304" s="55"/>
      <c r="CV304" s="55">
        <v>0</v>
      </c>
      <c r="CW304" s="55"/>
      <c r="CX304" s="68">
        <f>SUM(Tableau1[[#This Row],[Sous-traitance]:[Autres ou non précisé 12]])</f>
        <v>0</v>
      </c>
      <c r="CY304" s="65"/>
      <c r="CZ304" s="65"/>
      <c r="DA304" s="65"/>
      <c r="DB304" s="65"/>
      <c r="DC304" s="55"/>
      <c r="DD304" s="68">
        <f t="shared" si="161"/>
        <v>0</v>
      </c>
      <c r="DE304" s="55"/>
      <c r="DF304" s="65"/>
      <c r="DG304" s="65"/>
      <c r="DH304" s="65"/>
      <c r="DI304" s="68">
        <f>SUM(Tableau1[[#This Row],[Entretien et réparation matériel de projection]:[Autres ou non précisé 14]])</f>
        <v>0</v>
      </c>
      <c r="DJ304" s="58"/>
      <c r="DK304" s="58"/>
      <c r="DL304" s="69"/>
      <c r="DM304" s="68">
        <f t="shared" si="181"/>
        <v>0</v>
      </c>
      <c r="DN304" s="58"/>
      <c r="DO304" s="58"/>
      <c r="DP304" s="68">
        <f t="shared" si="182"/>
        <v>0</v>
      </c>
      <c r="DQ304" s="65"/>
      <c r="DR304" s="65"/>
      <c r="DS304" s="68">
        <f t="shared" si="183"/>
        <v>0</v>
      </c>
      <c r="DT304" s="65"/>
      <c r="DU304" s="65"/>
      <c r="DV304" s="65"/>
      <c r="DW304" s="68">
        <f>SUM(Tableau1[[#This Row],[Comission et courtage sur achats]:[Autres ou honoraires
 non précisé ]])</f>
        <v>0</v>
      </c>
      <c r="DX304" s="57"/>
      <c r="DY304" s="57"/>
      <c r="DZ304" s="65"/>
      <c r="EA304" s="65"/>
      <c r="EB304" s="65"/>
      <c r="EC304" s="68">
        <f t="shared" si="184"/>
        <v>0</v>
      </c>
      <c r="ED304" s="69"/>
      <c r="EE304" s="69"/>
      <c r="EF304" s="69"/>
      <c r="EG304" s="69"/>
      <c r="EH304" s="69"/>
      <c r="EI304" s="84">
        <f>SUM(Tableau1[[#This Row],[Transports sur films]:[autres ]])</f>
        <v>0</v>
      </c>
      <c r="EJ304" s="132">
        <v>0</v>
      </c>
      <c r="EK304" s="132"/>
      <c r="EL304" s="68">
        <f t="shared" si="185"/>
        <v>0</v>
      </c>
      <c r="EM304" s="65"/>
      <c r="EN304" s="65">
        <v>0</v>
      </c>
      <c r="EO304" s="65"/>
      <c r="EP304" s="65"/>
      <c r="EQ304" s="65"/>
      <c r="ER304" s="65"/>
      <c r="ES304" s="65"/>
      <c r="ET304" s="68">
        <f t="shared" si="186"/>
        <v>0</v>
      </c>
      <c r="EU304" s="65"/>
      <c r="EV304" s="65"/>
      <c r="EW304" s="65"/>
      <c r="EX304" s="65"/>
      <c r="EY304" s="65"/>
      <c r="EZ304" s="68">
        <f t="shared" si="163"/>
        <v>0</v>
      </c>
      <c r="FA304" s="65"/>
      <c r="FB304" s="65"/>
      <c r="FC304" s="70">
        <f t="shared" si="162"/>
        <v>0</v>
      </c>
      <c r="FD304" s="65"/>
      <c r="FE304" s="71">
        <f t="shared" si="187"/>
        <v>0</v>
      </c>
      <c r="FF304" s="72">
        <f t="shared" si="188"/>
        <v>0</v>
      </c>
      <c r="FG304" s="65"/>
      <c r="FH304" s="65"/>
      <c r="FI304" s="65"/>
      <c r="FJ304" s="56">
        <f t="shared" si="189"/>
        <v>0</v>
      </c>
      <c r="FK304" s="65"/>
      <c r="FL304" s="65"/>
      <c r="FM304" s="65"/>
      <c r="FN304" s="65"/>
      <c r="FO304" s="67">
        <f t="shared" si="190"/>
        <v>0</v>
      </c>
      <c r="FP304" s="57"/>
      <c r="FQ304" s="73"/>
      <c r="FR304" s="73"/>
      <c r="FS304" s="71">
        <f t="shared" si="191"/>
        <v>0</v>
      </c>
      <c r="FT304" s="91"/>
      <c r="FU304" s="91"/>
      <c r="FV304" s="67">
        <f>SUM(Tableau1[[#This Row],[Droits d''auteurs SACEM + cotisations SACEM]:[Autres ou non préciés]])</f>
        <v>0</v>
      </c>
      <c r="FW304" s="75">
        <f t="shared" si="192"/>
        <v>0</v>
      </c>
      <c r="FX304" s="74">
        <v>0</v>
      </c>
      <c r="FY304" s="74"/>
      <c r="FZ304" s="74"/>
      <c r="GA304" s="74"/>
      <c r="GB304" s="71">
        <f t="shared" si="193"/>
        <v>0</v>
      </c>
      <c r="GC304" s="92"/>
      <c r="GD304" s="92"/>
      <c r="GE304" s="67">
        <f t="shared" si="194"/>
        <v>0</v>
      </c>
      <c r="GF304" s="66"/>
      <c r="GG304" s="66"/>
      <c r="GH304" s="66"/>
      <c r="GI304" s="66"/>
      <c r="GJ304" s="77"/>
    </row>
    <row r="305" spans="1:192" ht="18.600000000000001" customHeight="1" x14ac:dyDescent="0.25">
      <c r="A305" s="89"/>
      <c r="B305" s="17"/>
      <c r="C305" s="50"/>
      <c r="D305" s="140"/>
      <c r="E305" s="51"/>
      <c r="F305" s="139">
        <f t="shared" si="198"/>
        <v>1</v>
      </c>
      <c r="G305" s="49"/>
      <c r="H305" s="50"/>
      <c r="I305" s="122"/>
      <c r="J305" s="49"/>
      <c r="K305" s="50"/>
      <c r="L305" s="50"/>
      <c r="M305" s="90"/>
      <c r="N305" s="50"/>
      <c r="O305" s="50"/>
      <c r="P305" s="90"/>
      <c r="Q305" s="52">
        <f t="shared" si="164"/>
        <v>0</v>
      </c>
      <c r="R305" s="52">
        <f t="shared" si="165"/>
        <v>0</v>
      </c>
      <c r="S305" s="53">
        <f t="shared" si="166"/>
        <v>0</v>
      </c>
      <c r="T305" s="54">
        <f t="shared" si="167"/>
        <v>0</v>
      </c>
      <c r="U305" s="115">
        <f>SUM(Tableau1[[#This Row],[Vente confiserie]:[Vente boisson]])</f>
        <v>0</v>
      </c>
      <c r="V305" s="55"/>
      <c r="W305" s="55"/>
      <c r="X305" s="135">
        <f>SUM(Tableau1[[#This Row],[Vente lunette]:[Location lunette]])</f>
        <v>0</v>
      </c>
      <c r="Y305" s="55"/>
      <c r="Z305" s="55"/>
      <c r="AA305" s="55"/>
      <c r="AB305" s="55"/>
      <c r="AC305" s="56">
        <f t="shared" si="196"/>
        <v>0</v>
      </c>
      <c r="AD305" s="57"/>
      <c r="AE305" s="57"/>
      <c r="AF305" s="57"/>
      <c r="AG305" s="57"/>
      <c r="AH305" s="57"/>
      <c r="AI305" s="57"/>
      <c r="AJ305" s="118">
        <f>(Tableau1[[#This Row],[Recette guichet ]]*1.1275177)-Tableau1[[#This Row],[Recette guichet ]]</f>
        <v>0</v>
      </c>
      <c r="AK305" s="57"/>
      <c r="AL305" s="56">
        <f t="shared" si="197"/>
        <v>0</v>
      </c>
      <c r="AM305" s="58"/>
      <c r="AN305" s="58"/>
      <c r="AO305" s="58"/>
      <c r="AP305" s="115">
        <f t="shared" si="168"/>
        <v>0</v>
      </c>
      <c r="AQ305" s="69"/>
      <c r="AR305" s="69"/>
      <c r="AS305" s="69"/>
      <c r="AT305" s="69"/>
      <c r="AU305" s="59">
        <f t="shared" si="169"/>
        <v>0</v>
      </c>
      <c r="AV305" s="60">
        <f t="shared" si="170"/>
        <v>0</v>
      </c>
      <c r="AW305" s="58"/>
      <c r="AX305" s="58"/>
      <c r="AY305" s="58"/>
      <c r="AZ305" s="60">
        <f t="shared" si="160"/>
        <v>0</v>
      </c>
      <c r="BA305" s="58"/>
      <c r="BB305" s="58"/>
      <c r="BC305" s="58"/>
      <c r="BD305" s="60">
        <f>SUM(Tableau1[[#This Row],[ticket/carte/abonnement périmé]:[Autres ou non précisé 5]])</f>
        <v>0</v>
      </c>
      <c r="BE305" s="58"/>
      <c r="BF305" s="58"/>
      <c r="BG305" s="58"/>
      <c r="BH305" s="61">
        <f t="shared" si="171"/>
        <v>0</v>
      </c>
      <c r="BI305" s="120"/>
      <c r="BJ305" s="120"/>
      <c r="BK305" s="62">
        <f t="shared" si="172"/>
        <v>0</v>
      </c>
      <c r="BL305" s="120"/>
      <c r="BM305" s="120"/>
      <c r="BN305" s="120"/>
      <c r="BO305" s="120"/>
      <c r="BP305" s="120"/>
      <c r="BQ305" s="63"/>
      <c r="BR305" s="52">
        <f t="shared" si="173"/>
        <v>0</v>
      </c>
      <c r="BS305" s="52">
        <f t="shared" si="174"/>
        <v>0</v>
      </c>
      <c r="BT305" s="61">
        <f t="shared" si="175"/>
        <v>0</v>
      </c>
      <c r="BU305" s="64">
        <f t="shared" si="176"/>
        <v>0</v>
      </c>
      <c r="BV305" s="119">
        <f>SUM(Tableau1[[#This Row],[Achats confiserie]:[Achats boisson]])</f>
        <v>0</v>
      </c>
      <c r="BW305" s="58"/>
      <c r="BX305" s="69"/>
      <c r="BY305" s="58"/>
      <c r="BZ305" s="56">
        <f t="shared" si="177"/>
        <v>0</v>
      </c>
      <c r="CA305" s="66"/>
      <c r="CB305" s="66"/>
      <c r="CC305" s="56">
        <f t="shared" si="178"/>
        <v>0</v>
      </c>
      <c r="CD305" s="55"/>
      <c r="CE305" s="65"/>
      <c r="CF305" s="55"/>
      <c r="CG305" s="55"/>
      <c r="CH305" s="67">
        <f t="shared" si="179"/>
        <v>0</v>
      </c>
      <c r="CI305" s="68">
        <f t="shared" si="195"/>
        <v>0</v>
      </c>
      <c r="CJ305" s="55"/>
      <c r="CK305" s="55"/>
      <c r="CL305" s="55"/>
      <c r="CM305" s="55"/>
      <c r="CN305" s="55"/>
      <c r="CO305" s="68">
        <f t="shared" si="180"/>
        <v>0</v>
      </c>
      <c r="CP305" s="75">
        <f>SUM(Tableau1[[#This Row],[Fourniture eau]:[Energie (non précisé)]])</f>
        <v>0</v>
      </c>
      <c r="CQ305" s="55"/>
      <c r="CR305" s="55"/>
      <c r="CS305" s="55"/>
      <c r="CT305" s="55"/>
      <c r="CU305" s="55"/>
      <c r="CV305" s="55">
        <v>0</v>
      </c>
      <c r="CW305" s="55"/>
      <c r="CX305" s="68">
        <f>SUM(Tableau1[[#This Row],[Sous-traitance]:[Autres ou non précisé 12]])</f>
        <v>0</v>
      </c>
      <c r="CY305" s="65"/>
      <c r="CZ305" s="65"/>
      <c r="DA305" s="65"/>
      <c r="DB305" s="65"/>
      <c r="DC305" s="55"/>
      <c r="DD305" s="68">
        <f t="shared" si="161"/>
        <v>0</v>
      </c>
      <c r="DE305" s="55"/>
      <c r="DF305" s="65"/>
      <c r="DG305" s="65"/>
      <c r="DH305" s="65"/>
      <c r="DI305" s="68">
        <f>SUM(Tableau1[[#This Row],[Entretien et réparation matériel de projection]:[Autres ou non précisé 14]])</f>
        <v>0</v>
      </c>
      <c r="DJ305" s="58"/>
      <c r="DK305" s="58"/>
      <c r="DL305" s="69"/>
      <c r="DM305" s="68">
        <f t="shared" si="181"/>
        <v>0</v>
      </c>
      <c r="DN305" s="58"/>
      <c r="DO305" s="58"/>
      <c r="DP305" s="68">
        <f t="shared" si="182"/>
        <v>0</v>
      </c>
      <c r="DQ305" s="65"/>
      <c r="DR305" s="65"/>
      <c r="DS305" s="68">
        <f t="shared" si="183"/>
        <v>0</v>
      </c>
      <c r="DT305" s="65"/>
      <c r="DU305" s="65"/>
      <c r="DV305" s="65"/>
      <c r="DW305" s="68">
        <f>SUM(Tableau1[[#This Row],[Comission et courtage sur achats]:[Autres ou honoraires
 non précisé ]])</f>
        <v>0</v>
      </c>
      <c r="DX305" s="57"/>
      <c r="DY305" s="57"/>
      <c r="DZ305" s="65"/>
      <c r="EA305" s="65"/>
      <c r="EB305" s="65"/>
      <c r="EC305" s="68">
        <f t="shared" si="184"/>
        <v>0</v>
      </c>
      <c r="ED305" s="69"/>
      <c r="EE305" s="69"/>
      <c r="EF305" s="69"/>
      <c r="EG305" s="69"/>
      <c r="EH305" s="69"/>
      <c r="EI305" s="84">
        <f>SUM(Tableau1[[#This Row],[Transports sur films]:[autres ]])</f>
        <v>0</v>
      </c>
      <c r="EJ305" s="132">
        <v>0</v>
      </c>
      <c r="EK305" s="132"/>
      <c r="EL305" s="68">
        <f t="shared" si="185"/>
        <v>0</v>
      </c>
      <c r="EM305" s="65"/>
      <c r="EN305" s="65">
        <v>0</v>
      </c>
      <c r="EO305" s="65"/>
      <c r="EP305" s="65"/>
      <c r="EQ305" s="65"/>
      <c r="ER305" s="65"/>
      <c r="ES305" s="65"/>
      <c r="ET305" s="68">
        <f t="shared" si="186"/>
        <v>0</v>
      </c>
      <c r="EU305" s="65"/>
      <c r="EV305" s="65"/>
      <c r="EW305" s="65"/>
      <c r="EX305" s="65"/>
      <c r="EY305" s="65"/>
      <c r="EZ305" s="68">
        <f t="shared" si="163"/>
        <v>0</v>
      </c>
      <c r="FA305" s="65"/>
      <c r="FB305" s="65"/>
      <c r="FC305" s="70">
        <f t="shared" si="162"/>
        <v>0</v>
      </c>
      <c r="FD305" s="65"/>
      <c r="FE305" s="71">
        <f t="shared" si="187"/>
        <v>0</v>
      </c>
      <c r="FF305" s="72">
        <f t="shared" si="188"/>
        <v>0</v>
      </c>
      <c r="FG305" s="65"/>
      <c r="FH305" s="65"/>
      <c r="FI305" s="65"/>
      <c r="FJ305" s="56">
        <f t="shared" si="189"/>
        <v>0</v>
      </c>
      <c r="FK305" s="65"/>
      <c r="FL305" s="65"/>
      <c r="FM305" s="65"/>
      <c r="FN305" s="65"/>
      <c r="FO305" s="67">
        <f t="shared" si="190"/>
        <v>0</v>
      </c>
      <c r="FP305" s="57"/>
      <c r="FQ305" s="73"/>
      <c r="FR305" s="73"/>
      <c r="FS305" s="71">
        <f t="shared" si="191"/>
        <v>0</v>
      </c>
      <c r="FT305" s="91"/>
      <c r="FU305" s="91"/>
      <c r="FV305" s="67">
        <f>SUM(Tableau1[[#This Row],[Droits d''auteurs SACEM + cotisations SACEM]:[Autres ou non préciés]])</f>
        <v>0</v>
      </c>
      <c r="FW305" s="75">
        <f t="shared" si="192"/>
        <v>0</v>
      </c>
      <c r="FX305" s="74">
        <v>0</v>
      </c>
      <c r="FY305" s="74"/>
      <c r="FZ305" s="74"/>
      <c r="GA305" s="74"/>
      <c r="GB305" s="71">
        <f t="shared" si="193"/>
        <v>0</v>
      </c>
      <c r="GC305" s="92"/>
      <c r="GD305" s="92"/>
      <c r="GE305" s="67">
        <f t="shared" si="194"/>
        <v>0</v>
      </c>
      <c r="GF305" s="66"/>
      <c r="GG305" s="66"/>
      <c r="GH305" s="66"/>
      <c r="GI305" s="66"/>
      <c r="GJ305" s="77"/>
    </row>
    <row r="306" spans="1:192" ht="18.600000000000001" customHeight="1" x14ac:dyDescent="0.25">
      <c r="A306" s="89"/>
      <c r="B306" s="17"/>
      <c r="C306" s="50"/>
      <c r="D306" s="140"/>
      <c r="E306" s="51"/>
      <c r="F306" s="139">
        <f t="shared" si="198"/>
        <v>1</v>
      </c>
      <c r="G306" s="49"/>
      <c r="H306" s="50"/>
      <c r="I306" s="122"/>
      <c r="J306" s="49"/>
      <c r="K306" s="50"/>
      <c r="L306" s="50"/>
      <c r="M306" s="90"/>
      <c r="N306" s="50"/>
      <c r="O306" s="50"/>
      <c r="P306" s="90"/>
      <c r="Q306" s="52">
        <f t="shared" si="164"/>
        <v>0</v>
      </c>
      <c r="R306" s="52">
        <f t="shared" si="165"/>
        <v>0</v>
      </c>
      <c r="S306" s="53">
        <f t="shared" si="166"/>
        <v>0</v>
      </c>
      <c r="T306" s="54">
        <f t="shared" si="167"/>
        <v>0</v>
      </c>
      <c r="U306" s="115">
        <f>SUM(Tableau1[[#This Row],[Vente confiserie]:[Vente boisson]])</f>
        <v>0</v>
      </c>
      <c r="V306" s="55"/>
      <c r="W306" s="55"/>
      <c r="X306" s="135">
        <f>SUM(Tableau1[[#This Row],[Vente lunette]:[Location lunette]])</f>
        <v>0</v>
      </c>
      <c r="Y306" s="55"/>
      <c r="Z306" s="55"/>
      <c r="AA306" s="55"/>
      <c r="AB306" s="55"/>
      <c r="AC306" s="56">
        <f t="shared" si="196"/>
        <v>0</v>
      </c>
      <c r="AD306" s="57"/>
      <c r="AE306" s="57"/>
      <c r="AF306" s="57"/>
      <c r="AG306" s="57"/>
      <c r="AH306" s="57"/>
      <c r="AI306" s="57"/>
      <c r="AJ306" s="118">
        <f>(Tableau1[[#This Row],[Recette guichet ]]*1.1275177)-Tableau1[[#This Row],[Recette guichet ]]</f>
        <v>0</v>
      </c>
      <c r="AK306" s="57"/>
      <c r="AL306" s="56">
        <f t="shared" si="197"/>
        <v>0</v>
      </c>
      <c r="AM306" s="58"/>
      <c r="AN306" s="58"/>
      <c r="AO306" s="58"/>
      <c r="AP306" s="115">
        <f t="shared" si="168"/>
        <v>0</v>
      </c>
      <c r="AQ306" s="69"/>
      <c r="AR306" s="69"/>
      <c r="AS306" s="69"/>
      <c r="AT306" s="69"/>
      <c r="AU306" s="59">
        <f t="shared" si="169"/>
        <v>0</v>
      </c>
      <c r="AV306" s="60">
        <f t="shared" si="170"/>
        <v>0</v>
      </c>
      <c r="AW306" s="58"/>
      <c r="AX306" s="58"/>
      <c r="AY306" s="58"/>
      <c r="AZ306" s="60">
        <f t="shared" si="160"/>
        <v>0</v>
      </c>
      <c r="BA306" s="58"/>
      <c r="BB306" s="58"/>
      <c r="BC306" s="58"/>
      <c r="BD306" s="60">
        <f>SUM(Tableau1[[#This Row],[ticket/carte/abonnement périmé]:[Autres ou non précisé 5]])</f>
        <v>0</v>
      </c>
      <c r="BE306" s="58"/>
      <c r="BF306" s="58"/>
      <c r="BG306" s="58"/>
      <c r="BH306" s="61">
        <f t="shared" si="171"/>
        <v>0</v>
      </c>
      <c r="BI306" s="120"/>
      <c r="BJ306" s="120"/>
      <c r="BK306" s="62">
        <f t="shared" si="172"/>
        <v>0</v>
      </c>
      <c r="BL306" s="120"/>
      <c r="BM306" s="120"/>
      <c r="BN306" s="120"/>
      <c r="BO306" s="120"/>
      <c r="BP306" s="120"/>
      <c r="BQ306" s="63"/>
      <c r="BR306" s="52">
        <f t="shared" si="173"/>
        <v>0</v>
      </c>
      <c r="BS306" s="52">
        <f t="shared" si="174"/>
        <v>0</v>
      </c>
      <c r="BT306" s="61">
        <f t="shared" si="175"/>
        <v>0</v>
      </c>
      <c r="BU306" s="64">
        <f t="shared" si="176"/>
        <v>0</v>
      </c>
      <c r="BV306" s="119">
        <f>SUM(Tableau1[[#This Row],[Achats confiserie]:[Achats boisson]])</f>
        <v>0</v>
      </c>
      <c r="BW306" s="58"/>
      <c r="BX306" s="69"/>
      <c r="BY306" s="58"/>
      <c r="BZ306" s="56">
        <f t="shared" si="177"/>
        <v>0</v>
      </c>
      <c r="CA306" s="66"/>
      <c r="CB306" s="66"/>
      <c r="CC306" s="56">
        <f t="shared" si="178"/>
        <v>0</v>
      </c>
      <c r="CD306" s="55"/>
      <c r="CE306" s="65"/>
      <c r="CF306" s="55"/>
      <c r="CG306" s="55"/>
      <c r="CH306" s="67">
        <f t="shared" si="179"/>
        <v>0</v>
      </c>
      <c r="CI306" s="68">
        <f t="shared" si="195"/>
        <v>0</v>
      </c>
      <c r="CJ306" s="55"/>
      <c r="CK306" s="55"/>
      <c r="CL306" s="55"/>
      <c r="CM306" s="55"/>
      <c r="CN306" s="55"/>
      <c r="CO306" s="68">
        <f t="shared" si="180"/>
        <v>0</v>
      </c>
      <c r="CP306" s="75">
        <f>SUM(Tableau1[[#This Row],[Fourniture eau]:[Energie (non précisé)]])</f>
        <v>0</v>
      </c>
      <c r="CQ306" s="55"/>
      <c r="CR306" s="55"/>
      <c r="CS306" s="55"/>
      <c r="CT306" s="55"/>
      <c r="CU306" s="55"/>
      <c r="CV306" s="55">
        <v>0</v>
      </c>
      <c r="CW306" s="55"/>
      <c r="CX306" s="68">
        <f>SUM(Tableau1[[#This Row],[Sous-traitance]:[Autres ou non précisé 12]])</f>
        <v>0</v>
      </c>
      <c r="CY306" s="65"/>
      <c r="CZ306" s="65"/>
      <c r="DA306" s="65"/>
      <c r="DB306" s="65"/>
      <c r="DC306" s="55"/>
      <c r="DD306" s="68">
        <f t="shared" si="161"/>
        <v>0</v>
      </c>
      <c r="DE306" s="55"/>
      <c r="DF306" s="65"/>
      <c r="DG306" s="65"/>
      <c r="DH306" s="65"/>
      <c r="DI306" s="68">
        <f>SUM(Tableau1[[#This Row],[Entretien et réparation matériel de projection]:[Autres ou non précisé 14]])</f>
        <v>0</v>
      </c>
      <c r="DJ306" s="58"/>
      <c r="DK306" s="58"/>
      <c r="DL306" s="69"/>
      <c r="DM306" s="68">
        <f t="shared" si="181"/>
        <v>0</v>
      </c>
      <c r="DN306" s="58"/>
      <c r="DO306" s="58"/>
      <c r="DP306" s="68">
        <f t="shared" si="182"/>
        <v>0</v>
      </c>
      <c r="DQ306" s="65"/>
      <c r="DR306" s="65"/>
      <c r="DS306" s="68">
        <f t="shared" si="183"/>
        <v>0</v>
      </c>
      <c r="DT306" s="65"/>
      <c r="DU306" s="65"/>
      <c r="DV306" s="65"/>
      <c r="DW306" s="68">
        <f>SUM(Tableau1[[#This Row],[Comission et courtage sur achats]:[Autres ou honoraires
 non précisé ]])</f>
        <v>0</v>
      </c>
      <c r="DX306" s="57"/>
      <c r="DY306" s="57"/>
      <c r="DZ306" s="65"/>
      <c r="EA306" s="65"/>
      <c r="EB306" s="65"/>
      <c r="EC306" s="68">
        <f t="shared" si="184"/>
        <v>0</v>
      </c>
      <c r="ED306" s="69"/>
      <c r="EE306" s="69"/>
      <c r="EF306" s="69"/>
      <c r="EG306" s="69"/>
      <c r="EH306" s="69"/>
      <c r="EI306" s="84">
        <f>SUM(Tableau1[[#This Row],[Transports sur films]:[autres ]])</f>
        <v>0</v>
      </c>
      <c r="EJ306" s="132">
        <v>0</v>
      </c>
      <c r="EK306" s="132"/>
      <c r="EL306" s="68">
        <f t="shared" si="185"/>
        <v>0</v>
      </c>
      <c r="EM306" s="65"/>
      <c r="EN306" s="65">
        <v>0</v>
      </c>
      <c r="EO306" s="65"/>
      <c r="EP306" s="65"/>
      <c r="EQ306" s="65"/>
      <c r="ER306" s="65"/>
      <c r="ES306" s="65"/>
      <c r="ET306" s="68">
        <f t="shared" si="186"/>
        <v>0</v>
      </c>
      <c r="EU306" s="65"/>
      <c r="EV306" s="65"/>
      <c r="EW306" s="65"/>
      <c r="EX306" s="65"/>
      <c r="EY306" s="65"/>
      <c r="EZ306" s="68">
        <f t="shared" si="163"/>
        <v>0</v>
      </c>
      <c r="FA306" s="65"/>
      <c r="FB306" s="65"/>
      <c r="FC306" s="70">
        <f t="shared" si="162"/>
        <v>0</v>
      </c>
      <c r="FD306" s="65"/>
      <c r="FE306" s="71">
        <f t="shared" si="187"/>
        <v>0</v>
      </c>
      <c r="FF306" s="72">
        <f t="shared" si="188"/>
        <v>0</v>
      </c>
      <c r="FG306" s="65"/>
      <c r="FH306" s="65"/>
      <c r="FI306" s="65"/>
      <c r="FJ306" s="56">
        <f t="shared" si="189"/>
        <v>0</v>
      </c>
      <c r="FK306" s="65"/>
      <c r="FL306" s="65"/>
      <c r="FM306" s="65"/>
      <c r="FN306" s="65"/>
      <c r="FO306" s="67">
        <f t="shared" si="190"/>
        <v>0</v>
      </c>
      <c r="FP306" s="57"/>
      <c r="FQ306" s="73"/>
      <c r="FR306" s="73"/>
      <c r="FS306" s="71">
        <f t="shared" si="191"/>
        <v>0</v>
      </c>
      <c r="FT306" s="91"/>
      <c r="FU306" s="91"/>
      <c r="FV306" s="67">
        <f>SUM(Tableau1[[#This Row],[Droits d''auteurs SACEM + cotisations SACEM]:[Autres ou non préciés]])</f>
        <v>0</v>
      </c>
      <c r="FW306" s="75">
        <f t="shared" si="192"/>
        <v>0</v>
      </c>
      <c r="FX306" s="74">
        <v>0</v>
      </c>
      <c r="FY306" s="74"/>
      <c r="FZ306" s="74"/>
      <c r="GA306" s="74"/>
      <c r="GB306" s="71">
        <f t="shared" si="193"/>
        <v>0</v>
      </c>
      <c r="GC306" s="92"/>
      <c r="GD306" s="92"/>
      <c r="GE306" s="67">
        <f t="shared" si="194"/>
        <v>0</v>
      </c>
      <c r="GF306" s="66"/>
      <c r="GG306" s="66"/>
      <c r="GH306" s="66"/>
      <c r="GI306" s="66"/>
      <c r="GJ306" s="77"/>
    </row>
    <row r="307" spans="1:192" ht="18.600000000000001" customHeight="1" x14ac:dyDescent="0.25">
      <c r="A307" s="89"/>
      <c r="B307" s="17"/>
      <c r="C307" s="50"/>
      <c r="D307" s="140"/>
      <c r="E307" s="51"/>
      <c r="F307" s="139">
        <f t="shared" si="198"/>
        <v>1</v>
      </c>
      <c r="G307" s="49"/>
      <c r="H307" s="50"/>
      <c r="I307" s="122"/>
      <c r="J307" s="49"/>
      <c r="K307" s="50"/>
      <c r="L307" s="50"/>
      <c r="M307" s="90"/>
      <c r="N307" s="50"/>
      <c r="O307" s="50"/>
      <c r="P307" s="90"/>
      <c r="Q307" s="52">
        <f t="shared" si="164"/>
        <v>0</v>
      </c>
      <c r="R307" s="52">
        <f t="shared" si="165"/>
        <v>0</v>
      </c>
      <c r="S307" s="53">
        <f t="shared" si="166"/>
        <v>0</v>
      </c>
      <c r="T307" s="54">
        <f t="shared" si="167"/>
        <v>0</v>
      </c>
      <c r="U307" s="115">
        <f>SUM(Tableau1[[#This Row],[Vente confiserie]:[Vente boisson]])</f>
        <v>0</v>
      </c>
      <c r="V307" s="55"/>
      <c r="W307" s="55"/>
      <c r="X307" s="135">
        <f>SUM(Tableau1[[#This Row],[Vente lunette]:[Location lunette]])</f>
        <v>0</v>
      </c>
      <c r="Y307" s="55"/>
      <c r="Z307" s="55"/>
      <c r="AA307" s="55"/>
      <c r="AB307" s="55"/>
      <c r="AC307" s="56">
        <f t="shared" si="196"/>
        <v>0</v>
      </c>
      <c r="AD307" s="57"/>
      <c r="AE307" s="57"/>
      <c r="AF307" s="57"/>
      <c r="AG307" s="57"/>
      <c r="AH307" s="57"/>
      <c r="AI307" s="57"/>
      <c r="AJ307" s="118">
        <f>(Tableau1[[#This Row],[Recette guichet ]]*1.1275177)-Tableau1[[#This Row],[Recette guichet ]]</f>
        <v>0</v>
      </c>
      <c r="AK307" s="57"/>
      <c r="AL307" s="56">
        <f t="shared" si="197"/>
        <v>0</v>
      </c>
      <c r="AM307" s="58"/>
      <c r="AN307" s="58"/>
      <c r="AO307" s="58"/>
      <c r="AP307" s="115">
        <f t="shared" si="168"/>
        <v>0</v>
      </c>
      <c r="AQ307" s="69"/>
      <c r="AR307" s="69"/>
      <c r="AS307" s="69"/>
      <c r="AT307" s="69"/>
      <c r="AU307" s="59">
        <f t="shared" si="169"/>
        <v>0</v>
      </c>
      <c r="AV307" s="60">
        <f t="shared" si="170"/>
        <v>0</v>
      </c>
      <c r="AW307" s="58"/>
      <c r="AX307" s="58"/>
      <c r="AY307" s="58"/>
      <c r="AZ307" s="60">
        <f t="shared" si="160"/>
        <v>0</v>
      </c>
      <c r="BA307" s="58"/>
      <c r="BB307" s="58"/>
      <c r="BC307" s="58"/>
      <c r="BD307" s="60">
        <f>SUM(Tableau1[[#This Row],[ticket/carte/abonnement périmé]:[Autres ou non précisé 5]])</f>
        <v>0</v>
      </c>
      <c r="BE307" s="58"/>
      <c r="BF307" s="58"/>
      <c r="BG307" s="58"/>
      <c r="BH307" s="61">
        <f t="shared" si="171"/>
        <v>0</v>
      </c>
      <c r="BI307" s="120"/>
      <c r="BJ307" s="120"/>
      <c r="BK307" s="62">
        <f t="shared" si="172"/>
        <v>0</v>
      </c>
      <c r="BL307" s="120"/>
      <c r="BM307" s="120"/>
      <c r="BN307" s="120"/>
      <c r="BO307" s="120"/>
      <c r="BP307" s="120"/>
      <c r="BQ307" s="63"/>
      <c r="BR307" s="52">
        <f t="shared" si="173"/>
        <v>0</v>
      </c>
      <c r="BS307" s="52">
        <f t="shared" si="174"/>
        <v>0</v>
      </c>
      <c r="BT307" s="61">
        <f t="shared" si="175"/>
        <v>0</v>
      </c>
      <c r="BU307" s="64">
        <f t="shared" si="176"/>
        <v>0</v>
      </c>
      <c r="BV307" s="119">
        <f>SUM(Tableau1[[#This Row],[Achats confiserie]:[Achats boisson]])</f>
        <v>0</v>
      </c>
      <c r="BW307" s="58"/>
      <c r="BX307" s="69"/>
      <c r="BY307" s="58"/>
      <c r="BZ307" s="56">
        <f t="shared" si="177"/>
        <v>0</v>
      </c>
      <c r="CA307" s="66"/>
      <c r="CB307" s="66"/>
      <c r="CC307" s="56">
        <f t="shared" si="178"/>
        <v>0</v>
      </c>
      <c r="CD307" s="55"/>
      <c r="CE307" s="65"/>
      <c r="CF307" s="55"/>
      <c r="CG307" s="55"/>
      <c r="CH307" s="67">
        <f t="shared" si="179"/>
        <v>0</v>
      </c>
      <c r="CI307" s="68">
        <f t="shared" si="195"/>
        <v>0</v>
      </c>
      <c r="CJ307" s="55"/>
      <c r="CK307" s="55"/>
      <c r="CL307" s="55"/>
      <c r="CM307" s="55"/>
      <c r="CN307" s="55"/>
      <c r="CO307" s="68">
        <f t="shared" si="180"/>
        <v>0</v>
      </c>
      <c r="CP307" s="75">
        <f>SUM(Tableau1[[#This Row],[Fourniture eau]:[Energie (non précisé)]])</f>
        <v>0</v>
      </c>
      <c r="CQ307" s="55"/>
      <c r="CR307" s="55"/>
      <c r="CS307" s="55"/>
      <c r="CT307" s="55"/>
      <c r="CU307" s="55"/>
      <c r="CV307" s="55">
        <v>0</v>
      </c>
      <c r="CW307" s="55"/>
      <c r="CX307" s="68">
        <f>SUM(Tableau1[[#This Row],[Sous-traitance]:[Autres ou non précisé 12]])</f>
        <v>0</v>
      </c>
      <c r="CY307" s="65"/>
      <c r="CZ307" s="65"/>
      <c r="DA307" s="65"/>
      <c r="DB307" s="65"/>
      <c r="DC307" s="55"/>
      <c r="DD307" s="68">
        <f t="shared" si="161"/>
        <v>0</v>
      </c>
      <c r="DE307" s="55"/>
      <c r="DF307" s="65"/>
      <c r="DG307" s="65"/>
      <c r="DH307" s="65"/>
      <c r="DI307" s="68">
        <f>SUM(Tableau1[[#This Row],[Entretien et réparation matériel de projection]:[Autres ou non précisé 14]])</f>
        <v>0</v>
      </c>
      <c r="DJ307" s="58"/>
      <c r="DK307" s="58"/>
      <c r="DL307" s="69"/>
      <c r="DM307" s="68">
        <f t="shared" si="181"/>
        <v>0</v>
      </c>
      <c r="DN307" s="58"/>
      <c r="DO307" s="58"/>
      <c r="DP307" s="68">
        <f t="shared" si="182"/>
        <v>0</v>
      </c>
      <c r="DQ307" s="65"/>
      <c r="DR307" s="65"/>
      <c r="DS307" s="68">
        <f t="shared" si="183"/>
        <v>0</v>
      </c>
      <c r="DT307" s="65"/>
      <c r="DU307" s="65"/>
      <c r="DV307" s="65"/>
      <c r="DW307" s="68">
        <f>SUM(Tableau1[[#This Row],[Comission et courtage sur achats]:[Autres ou honoraires
 non précisé ]])</f>
        <v>0</v>
      </c>
      <c r="DX307" s="57"/>
      <c r="DY307" s="57"/>
      <c r="DZ307" s="65"/>
      <c r="EA307" s="65"/>
      <c r="EB307" s="65"/>
      <c r="EC307" s="68">
        <f t="shared" si="184"/>
        <v>0</v>
      </c>
      <c r="ED307" s="69"/>
      <c r="EE307" s="69"/>
      <c r="EF307" s="69"/>
      <c r="EG307" s="69"/>
      <c r="EH307" s="69"/>
      <c r="EI307" s="84">
        <f>SUM(Tableau1[[#This Row],[Transports sur films]:[autres ]])</f>
        <v>0</v>
      </c>
      <c r="EJ307" s="132">
        <v>0</v>
      </c>
      <c r="EK307" s="132"/>
      <c r="EL307" s="68">
        <f t="shared" si="185"/>
        <v>0</v>
      </c>
      <c r="EM307" s="65"/>
      <c r="EN307" s="65">
        <v>0</v>
      </c>
      <c r="EO307" s="65"/>
      <c r="EP307" s="65"/>
      <c r="EQ307" s="65"/>
      <c r="ER307" s="65"/>
      <c r="ES307" s="65"/>
      <c r="ET307" s="68">
        <f t="shared" si="186"/>
        <v>0</v>
      </c>
      <c r="EU307" s="65"/>
      <c r="EV307" s="65"/>
      <c r="EW307" s="65"/>
      <c r="EX307" s="65"/>
      <c r="EY307" s="65"/>
      <c r="EZ307" s="68">
        <f t="shared" si="163"/>
        <v>0</v>
      </c>
      <c r="FA307" s="65"/>
      <c r="FB307" s="65"/>
      <c r="FC307" s="70">
        <f t="shared" si="162"/>
        <v>0</v>
      </c>
      <c r="FD307" s="65"/>
      <c r="FE307" s="71">
        <f t="shared" si="187"/>
        <v>0</v>
      </c>
      <c r="FF307" s="72">
        <f t="shared" si="188"/>
        <v>0</v>
      </c>
      <c r="FG307" s="65"/>
      <c r="FH307" s="65"/>
      <c r="FI307" s="65"/>
      <c r="FJ307" s="56">
        <f t="shared" si="189"/>
        <v>0</v>
      </c>
      <c r="FK307" s="65"/>
      <c r="FL307" s="65"/>
      <c r="FM307" s="65"/>
      <c r="FN307" s="65"/>
      <c r="FO307" s="67">
        <f t="shared" si="190"/>
        <v>0</v>
      </c>
      <c r="FP307" s="57"/>
      <c r="FQ307" s="73"/>
      <c r="FR307" s="73"/>
      <c r="FS307" s="71">
        <f t="shared" si="191"/>
        <v>0</v>
      </c>
      <c r="FT307" s="91"/>
      <c r="FU307" s="91"/>
      <c r="FV307" s="67">
        <f>SUM(Tableau1[[#This Row],[Droits d''auteurs SACEM + cotisations SACEM]:[Autres ou non préciés]])</f>
        <v>0</v>
      </c>
      <c r="FW307" s="75">
        <f t="shared" si="192"/>
        <v>0</v>
      </c>
      <c r="FX307" s="74">
        <v>0</v>
      </c>
      <c r="FY307" s="74"/>
      <c r="FZ307" s="74"/>
      <c r="GA307" s="74"/>
      <c r="GB307" s="71">
        <f t="shared" si="193"/>
        <v>0</v>
      </c>
      <c r="GC307" s="92"/>
      <c r="GD307" s="92"/>
      <c r="GE307" s="67">
        <f t="shared" si="194"/>
        <v>0</v>
      </c>
      <c r="GF307" s="66"/>
      <c r="GG307" s="66"/>
      <c r="GH307" s="66"/>
      <c r="GI307" s="66"/>
      <c r="GJ307" s="77"/>
    </row>
    <row r="308" spans="1:192" ht="18.600000000000001" customHeight="1" x14ac:dyDescent="0.25">
      <c r="A308" s="89"/>
      <c r="B308" s="17"/>
      <c r="C308" s="50"/>
      <c r="D308" s="140"/>
      <c r="E308" s="51"/>
      <c r="F308" s="139">
        <f t="shared" si="198"/>
        <v>1</v>
      </c>
      <c r="G308" s="49"/>
      <c r="H308" s="50"/>
      <c r="I308" s="122"/>
      <c r="J308" s="49"/>
      <c r="K308" s="50"/>
      <c r="L308" s="50"/>
      <c r="M308" s="90"/>
      <c r="N308" s="50"/>
      <c r="O308" s="50"/>
      <c r="P308" s="90"/>
      <c r="Q308" s="52">
        <f t="shared" si="164"/>
        <v>0</v>
      </c>
      <c r="R308" s="52">
        <f t="shared" si="165"/>
        <v>0</v>
      </c>
      <c r="S308" s="53">
        <f t="shared" si="166"/>
        <v>0</v>
      </c>
      <c r="T308" s="54">
        <f t="shared" si="167"/>
        <v>0</v>
      </c>
      <c r="U308" s="115">
        <f>SUM(Tableau1[[#This Row],[Vente confiserie]:[Vente boisson]])</f>
        <v>0</v>
      </c>
      <c r="V308" s="55"/>
      <c r="W308" s="55"/>
      <c r="X308" s="135">
        <f>SUM(Tableau1[[#This Row],[Vente lunette]:[Location lunette]])</f>
        <v>0</v>
      </c>
      <c r="Y308" s="55"/>
      <c r="Z308" s="55"/>
      <c r="AA308" s="55"/>
      <c r="AB308" s="55"/>
      <c r="AC308" s="56">
        <f t="shared" si="196"/>
        <v>0</v>
      </c>
      <c r="AD308" s="57"/>
      <c r="AE308" s="57"/>
      <c r="AF308" s="57"/>
      <c r="AG308" s="57"/>
      <c r="AH308" s="57"/>
      <c r="AI308" s="57"/>
      <c r="AJ308" s="118">
        <f>(Tableau1[[#This Row],[Recette guichet ]]*1.1275177)-Tableau1[[#This Row],[Recette guichet ]]</f>
        <v>0</v>
      </c>
      <c r="AK308" s="57"/>
      <c r="AL308" s="56">
        <f t="shared" si="197"/>
        <v>0</v>
      </c>
      <c r="AM308" s="58"/>
      <c r="AN308" s="58"/>
      <c r="AO308" s="58"/>
      <c r="AP308" s="115">
        <f t="shared" si="168"/>
        <v>0</v>
      </c>
      <c r="AQ308" s="69"/>
      <c r="AR308" s="69"/>
      <c r="AS308" s="69"/>
      <c r="AT308" s="69"/>
      <c r="AU308" s="59">
        <f t="shared" si="169"/>
        <v>0</v>
      </c>
      <c r="AV308" s="60">
        <f t="shared" si="170"/>
        <v>0</v>
      </c>
      <c r="AW308" s="58"/>
      <c r="AX308" s="58"/>
      <c r="AY308" s="58"/>
      <c r="AZ308" s="60">
        <f t="shared" si="160"/>
        <v>0</v>
      </c>
      <c r="BA308" s="58"/>
      <c r="BB308" s="58"/>
      <c r="BC308" s="58"/>
      <c r="BD308" s="60">
        <f>SUM(Tableau1[[#This Row],[ticket/carte/abonnement périmé]:[Autres ou non précisé 5]])</f>
        <v>0</v>
      </c>
      <c r="BE308" s="58"/>
      <c r="BF308" s="58"/>
      <c r="BG308" s="58"/>
      <c r="BH308" s="61">
        <f t="shared" si="171"/>
        <v>0</v>
      </c>
      <c r="BI308" s="120"/>
      <c r="BJ308" s="120"/>
      <c r="BK308" s="62">
        <f t="shared" si="172"/>
        <v>0</v>
      </c>
      <c r="BL308" s="120"/>
      <c r="BM308" s="120"/>
      <c r="BN308" s="120"/>
      <c r="BO308" s="120"/>
      <c r="BP308" s="120"/>
      <c r="BQ308" s="63"/>
      <c r="BR308" s="52">
        <f t="shared" si="173"/>
        <v>0</v>
      </c>
      <c r="BS308" s="52">
        <f t="shared" si="174"/>
        <v>0</v>
      </c>
      <c r="BT308" s="61">
        <f t="shared" si="175"/>
        <v>0</v>
      </c>
      <c r="BU308" s="64">
        <f t="shared" si="176"/>
        <v>0</v>
      </c>
      <c r="BV308" s="119">
        <f>SUM(Tableau1[[#This Row],[Achats confiserie]:[Achats boisson]])</f>
        <v>0</v>
      </c>
      <c r="BW308" s="58"/>
      <c r="BX308" s="69"/>
      <c r="BY308" s="58"/>
      <c r="BZ308" s="56">
        <f t="shared" si="177"/>
        <v>0</v>
      </c>
      <c r="CA308" s="66"/>
      <c r="CB308" s="66"/>
      <c r="CC308" s="56">
        <f t="shared" si="178"/>
        <v>0</v>
      </c>
      <c r="CD308" s="55"/>
      <c r="CE308" s="65"/>
      <c r="CF308" s="55"/>
      <c r="CG308" s="55"/>
      <c r="CH308" s="67">
        <f t="shared" si="179"/>
        <v>0</v>
      </c>
      <c r="CI308" s="68">
        <f t="shared" si="195"/>
        <v>0</v>
      </c>
      <c r="CJ308" s="55"/>
      <c r="CK308" s="55"/>
      <c r="CL308" s="55"/>
      <c r="CM308" s="55"/>
      <c r="CN308" s="55"/>
      <c r="CO308" s="68">
        <f t="shared" si="180"/>
        <v>0</v>
      </c>
      <c r="CP308" s="75">
        <f>SUM(Tableau1[[#This Row],[Fourniture eau]:[Energie (non précisé)]])</f>
        <v>0</v>
      </c>
      <c r="CQ308" s="55"/>
      <c r="CR308" s="55"/>
      <c r="CS308" s="55"/>
      <c r="CT308" s="55"/>
      <c r="CU308" s="55"/>
      <c r="CV308" s="55">
        <v>0</v>
      </c>
      <c r="CW308" s="55"/>
      <c r="CX308" s="68">
        <f>SUM(Tableau1[[#This Row],[Sous-traitance]:[Autres ou non précisé 12]])</f>
        <v>0</v>
      </c>
      <c r="CY308" s="65"/>
      <c r="CZ308" s="65"/>
      <c r="DA308" s="65"/>
      <c r="DB308" s="65"/>
      <c r="DC308" s="55"/>
      <c r="DD308" s="68">
        <f t="shared" si="161"/>
        <v>0</v>
      </c>
      <c r="DE308" s="55"/>
      <c r="DF308" s="65"/>
      <c r="DG308" s="65"/>
      <c r="DH308" s="65"/>
      <c r="DI308" s="68">
        <f>SUM(Tableau1[[#This Row],[Entretien et réparation matériel de projection]:[Autres ou non précisé 14]])</f>
        <v>0</v>
      </c>
      <c r="DJ308" s="58"/>
      <c r="DK308" s="58"/>
      <c r="DL308" s="69"/>
      <c r="DM308" s="68">
        <f t="shared" si="181"/>
        <v>0</v>
      </c>
      <c r="DN308" s="58"/>
      <c r="DO308" s="58"/>
      <c r="DP308" s="68">
        <f t="shared" si="182"/>
        <v>0</v>
      </c>
      <c r="DQ308" s="65"/>
      <c r="DR308" s="65"/>
      <c r="DS308" s="68">
        <f t="shared" si="183"/>
        <v>0</v>
      </c>
      <c r="DT308" s="65"/>
      <c r="DU308" s="65"/>
      <c r="DV308" s="65"/>
      <c r="DW308" s="68">
        <f>SUM(Tableau1[[#This Row],[Comission et courtage sur achats]:[Autres ou honoraires
 non précisé ]])</f>
        <v>0</v>
      </c>
      <c r="DX308" s="57"/>
      <c r="DY308" s="57"/>
      <c r="DZ308" s="65"/>
      <c r="EA308" s="65"/>
      <c r="EB308" s="65"/>
      <c r="EC308" s="68">
        <f t="shared" si="184"/>
        <v>0</v>
      </c>
      <c r="ED308" s="69"/>
      <c r="EE308" s="69"/>
      <c r="EF308" s="69"/>
      <c r="EG308" s="69"/>
      <c r="EH308" s="69"/>
      <c r="EI308" s="84">
        <f>SUM(Tableau1[[#This Row],[Transports sur films]:[autres ]])</f>
        <v>0</v>
      </c>
      <c r="EJ308" s="132">
        <v>0</v>
      </c>
      <c r="EK308" s="132"/>
      <c r="EL308" s="68">
        <f t="shared" si="185"/>
        <v>0</v>
      </c>
      <c r="EM308" s="65"/>
      <c r="EN308" s="65">
        <v>0</v>
      </c>
      <c r="EO308" s="65"/>
      <c r="EP308" s="65"/>
      <c r="EQ308" s="65"/>
      <c r="ER308" s="65"/>
      <c r="ES308" s="65"/>
      <c r="ET308" s="68">
        <f t="shared" si="186"/>
        <v>0</v>
      </c>
      <c r="EU308" s="65"/>
      <c r="EV308" s="65"/>
      <c r="EW308" s="65"/>
      <c r="EX308" s="65"/>
      <c r="EY308" s="65"/>
      <c r="EZ308" s="68">
        <f t="shared" si="163"/>
        <v>0</v>
      </c>
      <c r="FA308" s="65"/>
      <c r="FB308" s="65"/>
      <c r="FC308" s="70">
        <f t="shared" si="162"/>
        <v>0</v>
      </c>
      <c r="FD308" s="65"/>
      <c r="FE308" s="71">
        <f t="shared" si="187"/>
        <v>0</v>
      </c>
      <c r="FF308" s="72">
        <f t="shared" si="188"/>
        <v>0</v>
      </c>
      <c r="FG308" s="65"/>
      <c r="FH308" s="65"/>
      <c r="FI308" s="65"/>
      <c r="FJ308" s="56">
        <f t="shared" si="189"/>
        <v>0</v>
      </c>
      <c r="FK308" s="65"/>
      <c r="FL308" s="65"/>
      <c r="FM308" s="65"/>
      <c r="FN308" s="65"/>
      <c r="FO308" s="67">
        <f t="shared" si="190"/>
        <v>0</v>
      </c>
      <c r="FP308" s="57"/>
      <c r="FQ308" s="73"/>
      <c r="FR308" s="73"/>
      <c r="FS308" s="71">
        <f t="shared" si="191"/>
        <v>0</v>
      </c>
      <c r="FT308" s="91"/>
      <c r="FU308" s="91"/>
      <c r="FV308" s="67">
        <f>SUM(Tableau1[[#This Row],[Droits d''auteurs SACEM + cotisations SACEM]:[Autres ou non préciés]])</f>
        <v>0</v>
      </c>
      <c r="FW308" s="75">
        <f t="shared" si="192"/>
        <v>0</v>
      </c>
      <c r="FX308" s="74">
        <v>0</v>
      </c>
      <c r="FY308" s="74"/>
      <c r="FZ308" s="74"/>
      <c r="GA308" s="74"/>
      <c r="GB308" s="71">
        <f t="shared" si="193"/>
        <v>0</v>
      </c>
      <c r="GC308" s="92"/>
      <c r="GD308" s="92"/>
      <c r="GE308" s="67">
        <f t="shared" si="194"/>
        <v>0</v>
      </c>
      <c r="GF308" s="66"/>
      <c r="GG308" s="66"/>
      <c r="GH308" s="66"/>
      <c r="GI308" s="66"/>
      <c r="GJ308" s="77"/>
    </row>
    <row r="309" spans="1:192" ht="18.600000000000001" customHeight="1" x14ac:dyDescent="0.25">
      <c r="A309" s="89"/>
      <c r="B309" s="17"/>
      <c r="C309" s="50"/>
      <c r="D309" s="140"/>
      <c r="E309" s="51"/>
      <c r="F309" s="139">
        <f t="shared" si="198"/>
        <v>1</v>
      </c>
      <c r="G309" s="49"/>
      <c r="H309" s="50"/>
      <c r="I309" s="122"/>
      <c r="J309" s="49"/>
      <c r="K309" s="50"/>
      <c r="L309" s="50"/>
      <c r="M309" s="90"/>
      <c r="N309" s="50"/>
      <c r="O309" s="50"/>
      <c r="P309" s="90"/>
      <c r="Q309" s="52">
        <f t="shared" si="164"/>
        <v>0</v>
      </c>
      <c r="R309" s="52">
        <f t="shared" si="165"/>
        <v>0</v>
      </c>
      <c r="S309" s="53">
        <f t="shared" si="166"/>
        <v>0</v>
      </c>
      <c r="T309" s="54">
        <f t="shared" si="167"/>
        <v>0</v>
      </c>
      <c r="U309" s="115">
        <f>SUM(Tableau1[[#This Row],[Vente confiserie]:[Vente boisson]])</f>
        <v>0</v>
      </c>
      <c r="V309" s="55"/>
      <c r="W309" s="55"/>
      <c r="X309" s="135">
        <f>SUM(Tableau1[[#This Row],[Vente lunette]:[Location lunette]])</f>
        <v>0</v>
      </c>
      <c r="Y309" s="55"/>
      <c r="Z309" s="55"/>
      <c r="AA309" s="55"/>
      <c r="AB309" s="55"/>
      <c r="AC309" s="56">
        <f t="shared" si="196"/>
        <v>0</v>
      </c>
      <c r="AD309" s="57"/>
      <c r="AE309" s="57"/>
      <c r="AF309" s="57"/>
      <c r="AG309" s="57"/>
      <c r="AH309" s="57"/>
      <c r="AI309" s="57"/>
      <c r="AJ309" s="118">
        <f>(Tableau1[[#This Row],[Recette guichet ]]*1.1275177)-Tableau1[[#This Row],[Recette guichet ]]</f>
        <v>0</v>
      </c>
      <c r="AK309" s="57"/>
      <c r="AL309" s="56">
        <f t="shared" si="197"/>
        <v>0</v>
      </c>
      <c r="AM309" s="58"/>
      <c r="AN309" s="58"/>
      <c r="AO309" s="58"/>
      <c r="AP309" s="115">
        <f t="shared" si="168"/>
        <v>0</v>
      </c>
      <c r="AQ309" s="69"/>
      <c r="AR309" s="69"/>
      <c r="AS309" s="69"/>
      <c r="AT309" s="69"/>
      <c r="AU309" s="59">
        <f t="shared" si="169"/>
        <v>0</v>
      </c>
      <c r="AV309" s="60">
        <f t="shared" si="170"/>
        <v>0</v>
      </c>
      <c r="AW309" s="58"/>
      <c r="AX309" s="58"/>
      <c r="AY309" s="58"/>
      <c r="AZ309" s="60">
        <f t="shared" si="160"/>
        <v>0</v>
      </c>
      <c r="BA309" s="58"/>
      <c r="BB309" s="58"/>
      <c r="BC309" s="58"/>
      <c r="BD309" s="60">
        <f>SUM(Tableau1[[#This Row],[ticket/carte/abonnement périmé]:[Autres ou non précisé 5]])</f>
        <v>0</v>
      </c>
      <c r="BE309" s="58"/>
      <c r="BF309" s="58"/>
      <c r="BG309" s="58"/>
      <c r="BH309" s="61">
        <f t="shared" si="171"/>
        <v>0</v>
      </c>
      <c r="BI309" s="120"/>
      <c r="BJ309" s="120"/>
      <c r="BK309" s="62">
        <f t="shared" si="172"/>
        <v>0</v>
      </c>
      <c r="BL309" s="120"/>
      <c r="BM309" s="120"/>
      <c r="BN309" s="120"/>
      <c r="BO309" s="120"/>
      <c r="BP309" s="120"/>
      <c r="BQ309" s="63"/>
      <c r="BR309" s="52">
        <f t="shared" si="173"/>
        <v>0</v>
      </c>
      <c r="BS309" s="52">
        <f t="shared" si="174"/>
        <v>0</v>
      </c>
      <c r="BT309" s="61">
        <f t="shared" si="175"/>
        <v>0</v>
      </c>
      <c r="BU309" s="64">
        <f t="shared" si="176"/>
        <v>0</v>
      </c>
      <c r="BV309" s="119">
        <f>SUM(Tableau1[[#This Row],[Achats confiserie]:[Achats boisson]])</f>
        <v>0</v>
      </c>
      <c r="BW309" s="58"/>
      <c r="BX309" s="69"/>
      <c r="BY309" s="58"/>
      <c r="BZ309" s="56">
        <f t="shared" si="177"/>
        <v>0</v>
      </c>
      <c r="CA309" s="66"/>
      <c r="CB309" s="66"/>
      <c r="CC309" s="56">
        <f t="shared" si="178"/>
        <v>0</v>
      </c>
      <c r="CD309" s="55"/>
      <c r="CE309" s="65"/>
      <c r="CF309" s="55"/>
      <c r="CG309" s="55"/>
      <c r="CH309" s="67">
        <f t="shared" si="179"/>
        <v>0</v>
      </c>
      <c r="CI309" s="68">
        <f t="shared" si="195"/>
        <v>0</v>
      </c>
      <c r="CJ309" s="55"/>
      <c r="CK309" s="55"/>
      <c r="CL309" s="55"/>
      <c r="CM309" s="55"/>
      <c r="CN309" s="55"/>
      <c r="CO309" s="68">
        <f t="shared" si="180"/>
        <v>0</v>
      </c>
      <c r="CP309" s="75">
        <f>SUM(Tableau1[[#This Row],[Fourniture eau]:[Energie (non précisé)]])</f>
        <v>0</v>
      </c>
      <c r="CQ309" s="55"/>
      <c r="CR309" s="55"/>
      <c r="CS309" s="55"/>
      <c r="CT309" s="55"/>
      <c r="CU309" s="55"/>
      <c r="CV309" s="55">
        <v>0</v>
      </c>
      <c r="CW309" s="55"/>
      <c r="CX309" s="68">
        <f>SUM(Tableau1[[#This Row],[Sous-traitance]:[Autres ou non précisé 12]])</f>
        <v>0</v>
      </c>
      <c r="CY309" s="65"/>
      <c r="CZ309" s="65"/>
      <c r="DA309" s="65"/>
      <c r="DB309" s="65"/>
      <c r="DC309" s="55"/>
      <c r="DD309" s="68">
        <f t="shared" si="161"/>
        <v>0</v>
      </c>
      <c r="DE309" s="55"/>
      <c r="DF309" s="65"/>
      <c r="DG309" s="65"/>
      <c r="DH309" s="65"/>
      <c r="DI309" s="68">
        <f>SUM(Tableau1[[#This Row],[Entretien et réparation matériel de projection]:[Autres ou non précisé 14]])</f>
        <v>0</v>
      </c>
      <c r="DJ309" s="58"/>
      <c r="DK309" s="58"/>
      <c r="DL309" s="69"/>
      <c r="DM309" s="68">
        <f t="shared" si="181"/>
        <v>0</v>
      </c>
      <c r="DN309" s="58"/>
      <c r="DO309" s="58"/>
      <c r="DP309" s="68">
        <f t="shared" si="182"/>
        <v>0</v>
      </c>
      <c r="DQ309" s="65"/>
      <c r="DR309" s="65"/>
      <c r="DS309" s="68">
        <f t="shared" si="183"/>
        <v>0</v>
      </c>
      <c r="DT309" s="65"/>
      <c r="DU309" s="65"/>
      <c r="DV309" s="65"/>
      <c r="DW309" s="68">
        <f>SUM(Tableau1[[#This Row],[Comission et courtage sur achats]:[Autres ou honoraires
 non précisé ]])</f>
        <v>0</v>
      </c>
      <c r="DX309" s="57"/>
      <c r="DY309" s="57"/>
      <c r="DZ309" s="65"/>
      <c r="EA309" s="65"/>
      <c r="EB309" s="65"/>
      <c r="EC309" s="68">
        <f t="shared" si="184"/>
        <v>0</v>
      </c>
      <c r="ED309" s="69"/>
      <c r="EE309" s="69"/>
      <c r="EF309" s="69"/>
      <c r="EG309" s="69"/>
      <c r="EH309" s="69"/>
      <c r="EI309" s="84">
        <f>SUM(Tableau1[[#This Row],[Transports sur films]:[autres ]])</f>
        <v>0</v>
      </c>
      <c r="EJ309" s="132">
        <v>0</v>
      </c>
      <c r="EK309" s="132"/>
      <c r="EL309" s="68">
        <f t="shared" si="185"/>
        <v>0</v>
      </c>
      <c r="EM309" s="65"/>
      <c r="EN309" s="65">
        <v>0</v>
      </c>
      <c r="EO309" s="65"/>
      <c r="EP309" s="65"/>
      <c r="EQ309" s="65"/>
      <c r="ER309" s="65"/>
      <c r="ES309" s="65"/>
      <c r="ET309" s="68">
        <f t="shared" si="186"/>
        <v>0</v>
      </c>
      <c r="EU309" s="65"/>
      <c r="EV309" s="65"/>
      <c r="EW309" s="65"/>
      <c r="EX309" s="65"/>
      <c r="EY309" s="65"/>
      <c r="EZ309" s="68">
        <f t="shared" si="163"/>
        <v>0</v>
      </c>
      <c r="FA309" s="65"/>
      <c r="FB309" s="65"/>
      <c r="FC309" s="70">
        <f t="shared" si="162"/>
        <v>0</v>
      </c>
      <c r="FD309" s="65"/>
      <c r="FE309" s="71">
        <f t="shared" si="187"/>
        <v>0</v>
      </c>
      <c r="FF309" s="72">
        <f t="shared" si="188"/>
        <v>0</v>
      </c>
      <c r="FG309" s="65"/>
      <c r="FH309" s="65"/>
      <c r="FI309" s="65"/>
      <c r="FJ309" s="56">
        <f t="shared" si="189"/>
        <v>0</v>
      </c>
      <c r="FK309" s="65"/>
      <c r="FL309" s="65"/>
      <c r="FM309" s="65"/>
      <c r="FN309" s="65"/>
      <c r="FO309" s="67">
        <f t="shared" si="190"/>
        <v>0</v>
      </c>
      <c r="FP309" s="57"/>
      <c r="FQ309" s="73"/>
      <c r="FR309" s="73"/>
      <c r="FS309" s="71">
        <f t="shared" si="191"/>
        <v>0</v>
      </c>
      <c r="FT309" s="91"/>
      <c r="FU309" s="91"/>
      <c r="FV309" s="67">
        <f>SUM(Tableau1[[#This Row],[Droits d''auteurs SACEM + cotisations SACEM]:[Autres ou non préciés]])</f>
        <v>0</v>
      </c>
      <c r="FW309" s="75">
        <f t="shared" si="192"/>
        <v>0</v>
      </c>
      <c r="FX309" s="74">
        <v>0</v>
      </c>
      <c r="FY309" s="74"/>
      <c r="FZ309" s="74"/>
      <c r="GA309" s="74"/>
      <c r="GB309" s="71">
        <f t="shared" si="193"/>
        <v>0</v>
      </c>
      <c r="GC309" s="92"/>
      <c r="GD309" s="92"/>
      <c r="GE309" s="67">
        <f t="shared" si="194"/>
        <v>0</v>
      </c>
      <c r="GF309" s="66"/>
      <c r="GG309" s="66"/>
      <c r="GH309" s="66"/>
      <c r="GI309" s="66"/>
      <c r="GJ309" s="77"/>
    </row>
    <row r="310" spans="1:192" ht="18.600000000000001" customHeight="1" x14ac:dyDescent="0.25">
      <c r="A310" s="89"/>
      <c r="B310" s="17"/>
      <c r="C310" s="50"/>
      <c r="D310" s="140"/>
      <c r="E310" s="51"/>
      <c r="F310" s="139">
        <f t="shared" si="198"/>
        <v>1</v>
      </c>
      <c r="G310" s="49"/>
      <c r="H310" s="50"/>
      <c r="I310" s="122"/>
      <c r="J310" s="49"/>
      <c r="K310" s="50"/>
      <c r="L310" s="50"/>
      <c r="M310" s="90"/>
      <c r="N310" s="50"/>
      <c r="O310" s="50"/>
      <c r="P310" s="90"/>
      <c r="Q310" s="52">
        <f t="shared" si="164"/>
        <v>0</v>
      </c>
      <c r="R310" s="52">
        <f t="shared" si="165"/>
        <v>0</v>
      </c>
      <c r="S310" s="53">
        <f t="shared" si="166"/>
        <v>0</v>
      </c>
      <c r="T310" s="54">
        <f t="shared" si="167"/>
        <v>0</v>
      </c>
      <c r="U310" s="115">
        <f>SUM(Tableau1[[#This Row],[Vente confiserie]:[Vente boisson]])</f>
        <v>0</v>
      </c>
      <c r="V310" s="55"/>
      <c r="W310" s="55"/>
      <c r="X310" s="135">
        <f>SUM(Tableau1[[#This Row],[Vente lunette]:[Location lunette]])</f>
        <v>0</v>
      </c>
      <c r="Y310" s="55"/>
      <c r="Z310" s="55"/>
      <c r="AA310" s="55"/>
      <c r="AB310" s="55"/>
      <c r="AC310" s="56">
        <f t="shared" si="196"/>
        <v>0</v>
      </c>
      <c r="AD310" s="57"/>
      <c r="AE310" s="57"/>
      <c r="AF310" s="57"/>
      <c r="AG310" s="57"/>
      <c r="AH310" s="57"/>
      <c r="AI310" s="57"/>
      <c r="AJ310" s="118">
        <f>(Tableau1[[#This Row],[Recette guichet ]]*1.1275177)-Tableau1[[#This Row],[Recette guichet ]]</f>
        <v>0</v>
      </c>
      <c r="AK310" s="57"/>
      <c r="AL310" s="56">
        <f t="shared" si="197"/>
        <v>0</v>
      </c>
      <c r="AM310" s="58"/>
      <c r="AN310" s="58"/>
      <c r="AO310" s="58"/>
      <c r="AP310" s="115">
        <f t="shared" si="168"/>
        <v>0</v>
      </c>
      <c r="AQ310" s="69"/>
      <c r="AR310" s="69"/>
      <c r="AS310" s="69"/>
      <c r="AT310" s="69"/>
      <c r="AU310" s="59">
        <f t="shared" si="169"/>
        <v>0</v>
      </c>
      <c r="AV310" s="60">
        <f t="shared" si="170"/>
        <v>0</v>
      </c>
      <c r="AW310" s="58"/>
      <c r="AX310" s="58"/>
      <c r="AY310" s="58"/>
      <c r="AZ310" s="60">
        <f t="shared" si="160"/>
        <v>0</v>
      </c>
      <c r="BA310" s="58"/>
      <c r="BB310" s="58"/>
      <c r="BC310" s="58"/>
      <c r="BD310" s="60">
        <f>SUM(Tableau1[[#This Row],[ticket/carte/abonnement périmé]:[Autres ou non précisé 5]])</f>
        <v>0</v>
      </c>
      <c r="BE310" s="58"/>
      <c r="BF310" s="58"/>
      <c r="BG310" s="58"/>
      <c r="BH310" s="61">
        <f t="shared" si="171"/>
        <v>0</v>
      </c>
      <c r="BI310" s="120"/>
      <c r="BJ310" s="120"/>
      <c r="BK310" s="62">
        <f t="shared" si="172"/>
        <v>0</v>
      </c>
      <c r="BL310" s="120"/>
      <c r="BM310" s="120"/>
      <c r="BN310" s="120"/>
      <c r="BO310" s="120"/>
      <c r="BP310" s="120"/>
      <c r="BQ310" s="63"/>
      <c r="BR310" s="52">
        <f t="shared" si="173"/>
        <v>0</v>
      </c>
      <c r="BS310" s="52">
        <f t="shared" si="174"/>
        <v>0</v>
      </c>
      <c r="BT310" s="61">
        <f t="shared" si="175"/>
        <v>0</v>
      </c>
      <c r="BU310" s="64">
        <f t="shared" si="176"/>
        <v>0</v>
      </c>
      <c r="BV310" s="119">
        <f>SUM(Tableau1[[#This Row],[Achats confiserie]:[Achats boisson]])</f>
        <v>0</v>
      </c>
      <c r="BW310" s="58"/>
      <c r="BX310" s="69"/>
      <c r="BY310" s="58"/>
      <c r="BZ310" s="56">
        <f t="shared" si="177"/>
        <v>0</v>
      </c>
      <c r="CA310" s="66"/>
      <c r="CB310" s="66"/>
      <c r="CC310" s="56">
        <f t="shared" si="178"/>
        <v>0</v>
      </c>
      <c r="CD310" s="55"/>
      <c r="CE310" s="65"/>
      <c r="CF310" s="55"/>
      <c r="CG310" s="55"/>
      <c r="CH310" s="67">
        <f t="shared" si="179"/>
        <v>0</v>
      </c>
      <c r="CI310" s="68">
        <f t="shared" si="195"/>
        <v>0</v>
      </c>
      <c r="CJ310" s="55"/>
      <c r="CK310" s="55"/>
      <c r="CL310" s="55"/>
      <c r="CM310" s="55"/>
      <c r="CN310" s="55"/>
      <c r="CO310" s="68">
        <f t="shared" si="180"/>
        <v>0</v>
      </c>
      <c r="CP310" s="75">
        <f>SUM(Tableau1[[#This Row],[Fourniture eau]:[Energie (non précisé)]])</f>
        <v>0</v>
      </c>
      <c r="CQ310" s="55"/>
      <c r="CR310" s="55"/>
      <c r="CS310" s="55"/>
      <c r="CT310" s="55"/>
      <c r="CU310" s="55"/>
      <c r="CV310" s="55">
        <v>0</v>
      </c>
      <c r="CW310" s="55"/>
      <c r="CX310" s="68">
        <f>SUM(Tableau1[[#This Row],[Sous-traitance]:[Autres ou non précisé 12]])</f>
        <v>0</v>
      </c>
      <c r="CY310" s="65"/>
      <c r="CZ310" s="65"/>
      <c r="DA310" s="65"/>
      <c r="DB310" s="65"/>
      <c r="DC310" s="55"/>
      <c r="DD310" s="68">
        <f t="shared" si="161"/>
        <v>0</v>
      </c>
      <c r="DE310" s="55"/>
      <c r="DF310" s="65"/>
      <c r="DG310" s="65"/>
      <c r="DH310" s="65"/>
      <c r="DI310" s="68">
        <f>SUM(Tableau1[[#This Row],[Entretien et réparation matériel de projection]:[Autres ou non précisé 14]])</f>
        <v>0</v>
      </c>
      <c r="DJ310" s="58"/>
      <c r="DK310" s="58"/>
      <c r="DL310" s="69"/>
      <c r="DM310" s="68">
        <f t="shared" si="181"/>
        <v>0</v>
      </c>
      <c r="DN310" s="58"/>
      <c r="DO310" s="58"/>
      <c r="DP310" s="68">
        <f t="shared" si="182"/>
        <v>0</v>
      </c>
      <c r="DQ310" s="65"/>
      <c r="DR310" s="65"/>
      <c r="DS310" s="68">
        <f t="shared" si="183"/>
        <v>0</v>
      </c>
      <c r="DT310" s="65"/>
      <c r="DU310" s="65"/>
      <c r="DV310" s="65"/>
      <c r="DW310" s="68">
        <f>SUM(Tableau1[[#This Row],[Comission et courtage sur achats]:[Autres ou honoraires
 non précisé ]])</f>
        <v>0</v>
      </c>
      <c r="DX310" s="57"/>
      <c r="DY310" s="57"/>
      <c r="DZ310" s="65"/>
      <c r="EA310" s="65"/>
      <c r="EB310" s="65"/>
      <c r="EC310" s="68">
        <f t="shared" si="184"/>
        <v>0</v>
      </c>
      <c r="ED310" s="69"/>
      <c r="EE310" s="69"/>
      <c r="EF310" s="69"/>
      <c r="EG310" s="69"/>
      <c r="EH310" s="69"/>
      <c r="EI310" s="84">
        <f>SUM(Tableau1[[#This Row],[Transports sur films]:[autres ]])</f>
        <v>0</v>
      </c>
      <c r="EJ310" s="132">
        <v>0</v>
      </c>
      <c r="EK310" s="132"/>
      <c r="EL310" s="68">
        <f t="shared" si="185"/>
        <v>0</v>
      </c>
      <c r="EM310" s="65"/>
      <c r="EN310" s="65">
        <v>0</v>
      </c>
      <c r="EO310" s="65"/>
      <c r="EP310" s="65"/>
      <c r="EQ310" s="65"/>
      <c r="ER310" s="65"/>
      <c r="ES310" s="65"/>
      <c r="ET310" s="68">
        <f t="shared" si="186"/>
        <v>0</v>
      </c>
      <c r="EU310" s="65"/>
      <c r="EV310" s="65"/>
      <c r="EW310" s="65"/>
      <c r="EX310" s="65"/>
      <c r="EY310" s="65"/>
      <c r="EZ310" s="68">
        <f t="shared" si="163"/>
        <v>0</v>
      </c>
      <c r="FA310" s="65"/>
      <c r="FB310" s="65"/>
      <c r="FC310" s="70">
        <f t="shared" si="162"/>
        <v>0</v>
      </c>
      <c r="FD310" s="65"/>
      <c r="FE310" s="71">
        <f t="shared" si="187"/>
        <v>0</v>
      </c>
      <c r="FF310" s="72">
        <f t="shared" si="188"/>
        <v>0</v>
      </c>
      <c r="FG310" s="65"/>
      <c r="FH310" s="65"/>
      <c r="FI310" s="65"/>
      <c r="FJ310" s="56">
        <f t="shared" si="189"/>
        <v>0</v>
      </c>
      <c r="FK310" s="65"/>
      <c r="FL310" s="65"/>
      <c r="FM310" s="65"/>
      <c r="FN310" s="65"/>
      <c r="FO310" s="67">
        <f t="shared" si="190"/>
        <v>0</v>
      </c>
      <c r="FP310" s="57"/>
      <c r="FQ310" s="73"/>
      <c r="FR310" s="73"/>
      <c r="FS310" s="71">
        <f t="shared" si="191"/>
        <v>0</v>
      </c>
      <c r="FT310" s="91"/>
      <c r="FU310" s="91"/>
      <c r="FV310" s="67">
        <f>SUM(Tableau1[[#This Row],[Droits d''auteurs SACEM + cotisations SACEM]:[Autres ou non préciés]])</f>
        <v>0</v>
      </c>
      <c r="FW310" s="75">
        <f t="shared" si="192"/>
        <v>0</v>
      </c>
      <c r="FX310" s="74">
        <v>0</v>
      </c>
      <c r="FY310" s="74"/>
      <c r="FZ310" s="74"/>
      <c r="GA310" s="74"/>
      <c r="GB310" s="71">
        <f t="shared" si="193"/>
        <v>0</v>
      </c>
      <c r="GC310" s="92"/>
      <c r="GD310" s="92"/>
      <c r="GE310" s="67">
        <f t="shared" si="194"/>
        <v>0</v>
      </c>
      <c r="GF310" s="66"/>
      <c r="GG310" s="66"/>
      <c r="GH310" s="66"/>
      <c r="GI310" s="66"/>
      <c r="GJ310" s="77"/>
    </row>
    <row r="311" spans="1:192" ht="18.600000000000001" customHeight="1" x14ac:dyDescent="0.25">
      <c r="A311" s="89"/>
      <c r="B311" s="17"/>
      <c r="C311" s="50"/>
      <c r="D311" s="140"/>
      <c r="E311" s="51"/>
      <c r="F311" s="139">
        <f t="shared" si="198"/>
        <v>1</v>
      </c>
      <c r="G311" s="49"/>
      <c r="H311" s="50"/>
      <c r="I311" s="122"/>
      <c r="J311" s="49"/>
      <c r="K311" s="50"/>
      <c r="L311" s="50"/>
      <c r="M311" s="90"/>
      <c r="N311" s="50"/>
      <c r="O311" s="50"/>
      <c r="P311" s="90"/>
      <c r="Q311" s="52">
        <f t="shared" si="164"/>
        <v>0</v>
      </c>
      <c r="R311" s="52">
        <f t="shared" si="165"/>
        <v>0</v>
      </c>
      <c r="S311" s="53">
        <f t="shared" si="166"/>
        <v>0</v>
      </c>
      <c r="T311" s="54">
        <f t="shared" si="167"/>
        <v>0</v>
      </c>
      <c r="U311" s="115">
        <f>SUM(Tableau1[[#This Row],[Vente confiserie]:[Vente boisson]])</f>
        <v>0</v>
      </c>
      <c r="V311" s="55"/>
      <c r="W311" s="55"/>
      <c r="X311" s="135">
        <f>SUM(Tableau1[[#This Row],[Vente lunette]:[Location lunette]])</f>
        <v>0</v>
      </c>
      <c r="Y311" s="55"/>
      <c r="Z311" s="55"/>
      <c r="AA311" s="55"/>
      <c r="AB311" s="55"/>
      <c r="AC311" s="56">
        <f t="shared" si="196"/>
        <v>0</v>
      </c>
      <c r="AD311" s="57"/>
      <c r="AE311" s="57"/>
      <c r="AF311" s="57"/>
      <c r="AG311" s="57"/>
      <c r="AH311" s="57"/>
      <c r="AI311" s="57"/>
      <c r="AJ311" s="118">
        <f>(Tableau1[[#This Row],[Recette guichet ]]*1.1275177)-Tableau1[[#This Row],[Recette guichet ]]</f>
        <v>0</v>
      </c>
      <c r="AK311" s="57"/>
      <c r="AL311" s="56">
        <f t="shared" si="197"/>
        <v>0</v>
      </c>
      <c r="AM311" s="58"/>
      <c r="AN311" s="58"/>
      <c r="AO311" s="58"/>
      <c r="AP311" s="115">
        <f t="shared" si="168"/>
        <v>0</v>
      </c>
      <c r="AQ311" s="69"/>
      <c r="AR311" s="69"/>
      <c r="AS311" s="69"/>
      <c r="AT311" s="69"/>
      <c r="AU311" s="59">
        <f t="shared" si="169"/>
        <v>0</v>
      </c>
      <c r="AV311" s="60">
        <f t="shared" si="170"/>
        <v>0</v>
      </c>
      <c r="AW311" s="58"/>
      <c r="AX311" s="58"/>
      <c r="AY311" s="58"/>
      <c r="AZ311" s="60">
        <f t="shared" si="160"/>
        <v>0</v>
      </c>
      <c r="BA311" s="58"/>
      <c r="BB311" s="58"/>
      <c r="BC311" s="58"/>
      <c r="BD311" s="60">
        <f>SUM(Tableau1[[#This Row],[ticket/carte/abonnement périmé]:[Autres ou non précisé 5]])</f>
        <v>0</v>
      </c>
      <c r="BE311" s="58"/>
      <c r="BF311" s="58"/>
      <c r="BG311" s="58"/>
      <c r="BH311" s="61">
        <f t="shared" si="171"/>
        <v>0</v>
      </c>
      <c r="BI311" s="120"/>
      <c r="BJ311" s="120"/>
      <c r="BK311" s="62">
        <f t="shared" si="172"/>
        <v>0</v>
      </c>
      <c r="BL311" s="120"/>
      <c r="BM311" s="120"/>
      <c r="BN311" s="120"/>
      <c r="BO311" s="120"/>
      <c r="BP311" s="120"/>
      <c r="BQ311" s="63"/>
      <c r="BR311" s="52">
        <f t="shared" si="173"/>
        <v>0</v>
      </c>
      <c r="BS311" s="52">
        <f t="shared" si="174"/>
        <v>0</v>
      </c>
      <c r="BT311" s="61">
        <f t="shared" si="175"/>
        <v>0</v>
      </c>
      <c r="BU311" s="64">
        <f t="shared" si="176"/>
        <v>0</v>
      </c>
      <c r="BV311" s="119">
        <f>SUM(Tableau1[[#This Row],[Achats confiserie]:[Achats boisson]])</f>
        <v>0</v>
      </c>
      <c r="BW311" s="58"/>
      <c r="BX311" s="69"/>
      <c r="BY311" s="58"/>
      <c r="BZ311" s="56">
        <f t="shared" si="177"/>
        <v>0</v>
      </c>
      <c r="CA311" s="66"/>
      <c r="CB311" s="66"/>
      <c r="CC311" s="56">
        <f t="shared" si="178"/>
        <v>0</v>
      </c>
      <c r="CD311" s="55"/>
      <c r="CE311" s="65"/>
      <c r="CF311" s="55"/>
      <c r="CG311" s="55"/>
      <c r="CH311" s="67">
        <f t="shared" si="179"/>
        <v>0</v>
      </c>
      <c r="CI311" s="68">
        <f t="shared" si="195"/>
        <v>0</v>
      </c>
      <c r="CJ311" s="55"/>
      <c r="CK311" s="55"/>
      <c r="CL311" s="55"/>
      <c r="CM311" s="55"/>
      <c r="CN311" s="55"/>
      <c r="CO311" s="68">
        <f t="shared" si="180"/>
        <v>0</v>
      </c>
      <c r="CP311" s="75">
        <f>SUM(Tableau1[[#This Row],[Fourniture eau]:[Energie (non précisé)]])</f>
        <v>0</v>
      </c>
      <c r="CQ311" s="55"/>
      <c r="CR311" s="55"/>
      <c r="CS311" s="55"/>
      <c r="CT311" s="55"/>
      <c r="CU311" s="55"/>
      <c r="CV311" s="55">
        <v>0</v>
      </c>
      <c r="CW311" s="55"/>
      <c r="CX311" s="68">
        <f>SUM(Tableau1[[#This Row],[Sous-traitance]:[Autres ou non précisé 12]])</f>
        <v>0</v>
      </c>
      <c r="CY311" s="65"/>
      <c r="CZ311" s="65"/>
      <c r="DA311" s="65"/>
      <c r="DB311" s="65"/>
      <c r="DC311" s="55"/>
      <c r="DD311" s="68">
        <f t="shared" si="161"/>
        <v>0</v>
      </c>
      <c r="DE311" s="55"/>
      <c r="DF311" s="65"/>
      <c r="DG311" s="65"/>
      <c r="DH311" s="65"/>
      <c r="DI311" s="68">
        <f>SUM(Tableau1[[#This Row],[Entretien et réparation matériel de projection]:[Autres ou non précisé 14]])</f>
        <v>0</v>
      </c>
      <c r="DJ311" s="58"/>
      <c r="DK311" s="58"/>
      <c r="DL311" s="69"/>
      <c r="DM311" s="68">
        <f t="shared" si="181"/>
        <v>0</v>
      </c>
      <c r="DN311" s="58"/>
      <c r="DO311" s="58"/>
      <c r="DP311" s="68">
        <f t="shared" si="182"/>
        <v>0</v>
      </c>
      <c r="DQ311" s="65"/>
      <c r="DR311" s="65"/>
      <c r="DS311" s="68">
        <f t="shared" si="183"/>
        <v>0</v>
      </c>
      <c r="DT311" s="65"/>
      <c r="DU311" s="65"/>
      <c r="DV311" s="65"/>
      <c r="DW311" s="68">
        <f>SUM(Tableau1[[#This Row],[Comission et courtage sur achats]:[Autres ou honoraires
 non précisé ]])</f>
        <v>0</v>
      </c>
      <c r="DX311" s="57"/>
      <c r="DY311" s="57"/>
      <c r="DZ311" s="65"/>
      <c r="EA311" s="65"/>
      <c r="EB311" s="65"/>
      <c r="EC311" s="68">
        <f t="shared" si="184"/>
        <v>0</v>
      </c>
      <c r="ED311" s="69"/>
      <c r="EE311" s="69"/>
      <c r="EF311" s="69"/>
      <c r="EG311" s="69"/>
      <c r="EH311" s="69"/>
      <c r="EI311" s="84">
        <f>SUM(Tableau1[[#This Row],[Transports sur films]:[autres ]])</f>
        <v>0</v>
      </c>
      <c r="EJ311" s="132">
        <v>0</v>
      </c>
      <c r="EK311" s="132"/>
      <c r="EL311" s="68">
        <f t="shared" si="185"/>
        <v>0</v>
      </c>
      <c r="EM311" s="65"/>
      <c r="EN311" s="65">
        <v>0</v>
      </c>
      <c r="EO311" s="65"/>
      <c r="EP311" s="65"/>
      <c r="EQ311" s="65"/>
      <c r="ER311" s="65"/>
      <c r="ES311" s="65"/>
      <c r="ET311" s="68">
        <f t="shared" si="186"/>
        <v>0</v>
      </c>
      <c r="EU311" s="65"/>
      <c r="EV311" s="65"/>
      <c r="EW311" s="65"/>
      <c r="EX311" s="65"/>
      <c r="EY311" s="65"/>
      <c r="EZ311" s="68">
        <f t="shared" si="163"/>
        <v>0</v>
      </c>
      <c r="FA311" s="65"/>
      <c r="FB311" s="65"/>
      <c r="FC311" s="70">
        <f t="shared" si="162"/>
        <v>0</v>
      </c>
      <c r="FD311" s="65"/>
      <c r="FE311" s="71">
        <f t="shared" si="187"/>
        <v>0</v>
      </c>
      <c r="FF311" s="72">
        <f t="shared" si="188"/>
        <v>0</v>
      </c>
      <c r="FG311" s="65"/>
      <c r="FH311" s="65"/>
      <c r="FI311" s="65"/>
      <c r="FJ311" s="56">
        <f t="shared" si="189"/>
        <v>0</v>
      </c>
      <c r="FK311" s="65"/>
      <c r="FL311" s="65"/>
      <c r="FM311" s="65"/>
      <c r="FN311" s="65"/>
      <c r="FO311" s="67">
        <f t="shared" si="190"/>
        <v>0</v>
      </c>
      <c r="FP311" s="57"/>
      <c r="FQ311" s="73"/>
      <c r="FR311" s="73"/>
      <c r="FS311" s="71">
        <f t="shared" si="191"/>
        <v>0</v>
      </c>
      <c r="FT311" s="91"/>
      <c r="FU311" s="91"/>
      <c r="FV311" s="67">
        <f>SUM(Tableau1[[#This Row],[Droits d''auteurs SACEM + cotisations SACEM]:[Autres ou non préciés]])</f>
        <v>0</v>
      </c>
      <c r="FW311" s="75">
        <f t="shared" si="192"/>
        <v>0</v>
      </c>
      <c r="FX311" s="74">
        <v>0</v>
      </c>
      <c r="FY311" s="74"/>
      <c r="FZ311" s="74"/>
      <c r="GA311" s="74"/>
      <c r="GB311" s="71">
        <f t="shared" si="193"/>
        <v>0</v>
      </c>
      <c r="GC311" s="92"/>
      <c r="GD311" s="92"/>
      <c r="GE311" s="67">
        <f t="shared" si="194"/>
        <v>0</v>
      </c>
      <c r="GF311" s="66"/>
      <c r="GG311" s="66"/>
      <c r="GH311" s="66"/>
      <c r="GI311" s="66"/>
      <c r="GJ311" s="77"/>
    </row>
    <row r="312" spans="1:192" ht="18.600000000000001" customHeight="1" x14ac:dyDescent="0.25">
      <c r="A312" s="89"/>
      <c r="B312" s="17"/>
      <c r="C312" s="50"/>
      <c r="D312" s="140"/>
      <c r="E312" s="51"/>
      <c r="F312" s="139">
        <f t="shared" si="198"/>
        <v>1</v>
      </c>
      <c r="G312" s="49"/>
      <c r="H312" s="50"/>
      <c r="I312" s="122"/>
      <c r="J312" s="49"/>
      <c r="K312" s="50"/>
      <c r="L312" s="50"/>
      <c r="M312" s="90"/>
      <c r="N312" s="50"/>
      <c r="O312" s="50"/>
      <c r="P312" s="90"/>
      <c r="Q312" s="52">
        <f t="shared" si="164"/>
        <v>0</v>
      </c>
      <c r="R312" s="52">
        <f t="shared" si="165"/>
        <v>0</v>
      </c>
      <c r="S312" s="53">
        <f t="shared" si="166"/>
        <v>0</v>
      </c>
      <c r="T312" s="54">
        <f t="shared" si="167"/>
        <v>0</v>
      </c>
      <c r="U312" s="115">
        <f>SUM(Tableau1[[#This Row],[Vente confiserie]:[Vente boisson]])</f>
        <v>0</v>
      </c>
      <c r="V312" s="55"/>
      <c r="W312" s="55"/>
      <c r="X312" s="135">
        <f>SUM(Tableau1[[#This Row],[Vente lunette]:[Location lunette]])</f>
        <v>0</v>
      </c>
      <c r="Y312" s="55"/>
      <c r="Z312" s="55"/>
      <c r="AA312" s="55"/>
      <c r="AB312" s="55"/>
      <c r="AC312" s="56">
        <f t="shared" si="196"/>
        <v>0</v>
      </c>
      <c r="AD312" s="57"/>
      <c r="AE312" s="57"/>
      <c r="AF312" s="57"/>
      <c r="AG312" s="57"/>
      <c r="AH312" s="57"/>
      <c r="AI312" s="57"/>
      <c r="AJ312" s="118">
        <f>(Tableau1[[#This Row],[Recette guichet ]]*1.1275177)-Tableau1[[#This Row],[Recette guichet ]]</f>
        <v>0</v>
      </c>
      <c r="AK312" s="57"/>
      <c r="AL312" s="56">
        <f t="shared" si="197"/>
        <v>0</v>
      </c>
      <c r="AM312" s="58"/>
      <c r="AN312" s="58"/>
      <c r="AO312" s="58"/>
      <c r="AP312" s="115">
        <f t="shared" si="168"/>
        <v>0</v>
      </c>
      <c r="AQ312" s="69"/>
      <c r="AR312" s="69"/>
      <c r="AS312" s="69"/>
      <c r="AT312" s="69"/>
      <c r="AU312" s="59">
        <f t="shared" si="169"/>
        <v>0</v>
      </c>
      <c r="AV312" s="60">
        <f t="shared" si="170"/>
        <v>0</v>
      </c>
      <c r="AW312" s="58"/>
      <c r="AX312" s="58"/>
      <c r="AY312" s="58"/>
      <c r="AZ312" s="60">
        <f t="shared" ref="AZ312:AZ375" si="199">SUM(BA312:BC312)</f>
        <v>0</v>
      </c>
      <c r="BA312" s="58"/>
      <c r="BB312" s="58"/>
      <c r="BC312" s="58"/>
      <c r="BD312" s="60">
        <f>SUM(Tableau1[[#This Row],[ticket/carte/abonnement périmé]:[Autres ou non précisé 5]])</f>
        <v>0</v>
      </c>
      <c r="BE312" s="58"/>
      <c r="BF312" s="58"/>
      <c r="BG312" s="58"/>
      <c r="BH312" s="61">
        <f t="shared" si="171"/>
        <v>0</v>
      </c>
      <c r="BI312" s="120"/>
      <c r="BJ312" s="120"/>
      <c r="BK312" s="62">
        <f t="shared" si="172"/>
        <v>0</v>
      </c>
      <c r="BL312" s="120"/>
      <c r="BM312" s="120"/>
      <c r="BN312" s="120"/>
      <c r="BO312" s="120"/>
      <c r="BP312" s="120"/>
      <c r="BQ312" s="63"/>
      <c r="BR312" s="52">
        <f t="shared" si="173"/>
        <v>0</v>
      </c>
      <c r="BS312" s="52">
        <f t="shared" si="174"/>
        <v>0</v>
      </c>
      <c r="BT312" s="61">
        <f t="shared" si="175"/>
        <v>0</v>
      </c>
      <c r="BU312" s="64">
        <f t="shared" si="176"/>
        <v>0</v>
      </c>
      <c r="BV312" s="119">
        <f>SUM(Tableau1[[#This Row],[Achats confiserie]:[Achats boisson]])</f>
        <v>0</v>
      </c>
      <c r="BW312" s="58"/>
      <c r="BX312" s="69"/>
      <c r="BY312" s="58"/>
      <c r="BZ312" s="56">
        <f t="shared" si="177"/>
        <v>0</v>
      </c>
      <c r="CA312" s="66"/>
      <c r="CB312" s="66"/>
      <c r="CC312" s="56">
        <f t="shared" si="178"/>
        <v>0</v>
      </c>
      <c r="CD312" s="55"/>
      <c r="CE312" s="65"/>
      <c r="CF312" s="55"/>
      <c r="CG312" s="55"/>
      <c r="CH312" s="67">
        <f t="shared" si="179"/>
        <v>0</v>
      </c>
      <c r="CI312" s="68">
        <f t="shared" si="195"/>
        <v>0</v>
      </c>
      <c r="CJ312" s="55"/>
      <c r="CK312" s="55"/>
      <c r="CL312" s="55"/>
      <c r="CM312" s="55"/>
      <c r="CN312" s="55"/>
      <c r="CO312" s="68">
        <f t="shared" si="180"/>
        <v>0</v>
      </c>
      <c r="CP312" s="75">
        <f>SUM(Tableau1[[#This Row],[Fourniture eau]:[Energie (non précisé)]])</f>
        <v>0</v>
      </c>
      <c r="CQ312" s="55"/>
      <c r="CR312" s="55"/>
      <c r="CS312" s="55"/>
      <c r="CT312" s="55"/>
      <c r="CU312" s="55"/>
      <c r="CV312" s="55">
        <v>0</v>
      </c>
      <c r="CW312" s="55"/>
      <c r="CX312" s="68">
        <f>SUM(Tableau1[[#This Row],[Sous-traitance]:[Autres ou non précisé 12]])</f>
        <v>0</v>
      </c>
      <c r="CY312" s="65"/>
      <c r="CZ312" s="65"/>
      <c r="DA312" s="65"/>
      <c r="DB312" s="65"/>
      <c r="DC312" s="55"/>
      <c r="DD312" s="68">
        <f t="shared" ref="DD312:DD375" si="200">SUM(DE312:DH312)</f>
        <v>0</v>
      </c>
      <c r="DE312" s="55"/>
      <c r="DF312" s="65"/>
      <c r="DG312" s="65"/>
      <c r="DH312" s="65"/>
      <c r="DI312" s="68">
        <f>SUM(Tableau1[[#This Row],[Entretien et réparation matériel de projection]:[Autres ou non précisé 14]])</f>
        <v>0</v>
      </c>
      <c r="DJ312" s="58"/>
      <c r="DK312" s="58"/>
      <c r="DL312" s="69"/>
      <c r="DM312" s="68">
        <f t="shared" si="181"/>
        <v>0</v>
      </c>
      <c r="DN312" s="58"/>
      <c r="DO312" s="58"/>
      <c r="DP312" s="68">
        <f t="shared" si="182"/>
        <v>0</v>
      </c>
      <c r="DQ312" s="65"/>
      <c r="DR312" s="65"/>
      <c r="DS312" s="68">
        <f t="shared" si="183"/>
        <v>0</v>
      </c>
      <c r="DT312" s="65"/>
      <c r="DU312" s="65"/>
      <c r="DV312" s="65"/>
      <c r="DW312" s="68">
        <f>SUM(Tableau1[[#This Row],[Comission et courtage sur achats]:[Autres ou honoraires
 non précisé ]])</f>
        <v>0</v>
      </c>
      <c r="DX312" s="57"/>
      <c r="DY312" s="57"/>
      <c r="DZ312" s="65"/>
      <c r="EA312" s="65"/>
      <c r="EB312" s="65"/>
      <c r="EC312" s="68">
        <f t="shared" si="184"/>
        <v>0</v>
      </c>
      <c r="ED312" s="69"/>
      <c r="EE312" s="69"/>
      <c r="EF312" s="69"/>
      <c r="EG312" s="69"/>
      <c r="EH312" s="69"/>
      <c r="EI312" s="84">
        <f>SUM(Tableau1[[#This Row],[Transports sur films]:[autres ]])</f>
        <v>0</v>
      </c>
      <c r="EJ312" s="132">
        <v>0</v>
      </c>
      <c r="EK312" s="132"/>
      <c r="EL312" s="68">
        <f t="shared" si="185"/>
        <v>0</v>
      </c>
      <c r="EM312" s="65"/>
      <c r="EN312" s="65">
        <v>0</v>
      </c>
      <c r="EO312" s="65"/>
      <c r="EP312" s="65"/>
      <c r="EQ312" s="65"/>
      <c r="ER312" s="65"/>
      <c r="ES312" s="65"/>
      <c r="ET312" s="68">
        <f t="shared" si="186"/>
        <v>0</v>
      </c>
      <c r="EU312" s="65"/>
      <c r="EV312" s="65"/>
      <c r="EW312" s="65"/>
      <c r="EX312" s="65"/>
      <c r="EY312" s="65"/>
      <c r="EZ312" s="68">
        <f t="shared" si="163"/>
        <v>0</v>
      </c>
      <c r="FA312" s="65"/>
      <c r="FB312" s="65"/>
      <c r="FC312" s="70">
        <f t="shared" ref="FC312:FC375" si="201">SUM(FD312:FD312)</f>
        <v>0</v>
      </c>
      <c r="FD312" s="65"/>
      <c r="FE312" s="71">
        <f t="shared" si="187"/>
        <v>0</v>
      </c>
      <c r="FF312" s="72">
        <f t="shared" si="188"/>
        <v>0</v>
      </c>
      <c r="FG312" s="65"/>
      <c r="FH312" s="65"/>
      <c r="FI312" s="65"/>
      <c r="FJ312" s="56">
        <f t="shared" si="189"/>
        <v>0</v>
      </c>
      <c r="FK312" s="65"/>
      <c r="FL312" s="65"/>
      <c r="FM312" s="65"/>
      <c r="FN312" s="65"/>
      <c r="FO312" s="67">
        <f t="shared" si="190"/>
        <v>0</v>
      </c>
      <c r="FP312" s="57"/>
      <c r="FQ312" s="73"/>
      <c r="FR312" s="73"/>
      <c r="FS312" s="71">
        <f t="shared" si="191"/>
        <v>0</v>
      </c>
      <c r="FT312" s="91"/>
      <c r="FU312" s="91"/>
      <c r="FV312" s="67">
        <f>SUM(Tableau1[[#This Row],[Droits d''auteurs SACEM + cotisations SACEM]:[Autres ou non préciés]])</f>
        <v>0</v>
      </c>
      <c r="FW312" s="75">
        <f t="shared" si="192"/>
        <v>0</v>
      </c>
      <c r="FX312" s="74">
        <v>0</v>
      </c>
      <c r="FY312" s="74"/>
      <c r="FZ312" s="74"/>
      <c r="GA312" s="74"/>
      <c r="GB312" s="71">
        <f t="shared" si="193"/>
        <v>0</v>
      </c>
      <c r="GC312" s="92"/>
      <c r="GD312" s="92"/>
      <c r="GE312" s="67">
        <f t="shared" si="194"/>
        <v>0</v>
      </c>
      <c r="GF312" s="66"/>
      <c r="GG312" s="66"/>
      <c r="GH312" s="66"/>
      <c r="GI312" s="66"/>
      <c r="GJ312" s="77"/>
    </row>
    <row r="313" spans="1:192" ht="18.600000000000001" customHeight="1" x14ac:dyDescent="0.25">
      <c r="A313" s="89"/>
      <c r="B313" s="17"/>
      <c r="C313" s="50"/>
      <c r="D313" s="140"/>
      <c r="E313" s="51"/>
      <c r="F313" s="139">
        <f t="shared" si="198"/>
        <v>1</v>
      </c>
      <c r="G313" s="49"/>
      <c r="H313" s="50"/>
      <c r="I313" s="122"/>
      <c r="J313" s="49"/>
      <c r="K313" s="50"/>
      <c r="L313" s="50"/>
      <c r="M313" s="90"/>
      <c r="N313" s="50"/>
      <c r="O313" s="50"/>
      <c r="P313" s="90"/>
      <c r="Q313" s="52">
        <f t="shared" si="164"/>
        <v>0</v>
      </c>
      <c r="R313" s="52">
        <f t="shared" si="165"/>
        <v>0</v>
      </c>
      <c r="S313" s="53">
        <f t="shared" si="166"/>
        <v>0</v>
      </c>
      <c r="T313" s="54">
        <f t="shared" si="167"/>
        <v>0</v>
      </c>
      <c r="U313" s="115">
        <f>SUM(Tableau1[[#This Row],[Vente confiserie]:[Vente boisson]])</f>
        <v>0</v>
      </c>
      <c r="V313" s="55"/>
      <c r="W313" s="55"/>
      <c r="X313" s="135">
        <f>SUM(Tableau1[[#This Row],[Vente lunette]:[Location lunette]])</f>
        <v>0</v>
      </c>
      <c r="Y313" s="55"/>
      <c r="Z313" s="55"/>
      <c r="AA313" s="55"/>
      <c r="AB313" s="55"/>
      <c r="AC313" s="56">
        <f t="shared" si="196"/>
        <v>0</v>
      </c>
      <c r="AD313" s="57"/>
      <c r="AE313" s="57"/>
      <c r="AF313" s="57"/>
      <c r="AG313" s="57"/>
      <c r="AH313" s="57"/>
      <c r="AI313" s="57"/>
      <c r="AJ313" s="118">
        <f>(Tableau1[[#This Row],[Recette guichet ]]*1.1275177)-Tableau1[[#This Row],[Recette guichet ]]</f>
        <v>0</v>
      </c>
      <c r="AK313" s="57"/>
      <c r="AL313" s="56">
        <f t="shared" si="197"/>
        <v>0</v>
      </c>
      <c r="AM313" s="58"/>
      <c r="AN313" s="58"/>
      <c r="AO313" s="58"/>
      <c r="AP313" s="115">
        <f t="shared" si="168"/>
        <v>0</v>
      </c>
      <c r="AQ313" s="69"/>
      <c r="AR313" s="69"/>
      <c r="AS313" s="69"/>
      <c r="AT313" s="69"/>
      <c r="AU313" s="59">
        <f t="shared" si="169"/>
        <v>0</v>
      </c>
      <c r="AV313" s="60">
        <f t="shared" si="170"/>
        <v>0</v>
      </c>
      <c r="AW313" s="58"/>
      <c r="AX313" s="58"/>
      <c r="AY313" s="58"/>
      <c r="AZ313" s="60">
        <f t="shared" si="199"/>
        <v>0</v>
      </c>
      <c r="BA313" s="58"/>
      <c r="BB313" s="58"/>
      <c r="BC313" s="58"/>
      <c r="BD313" s="60">
        <f>SUM(Tableau1[[#This Row],[ticket/carte/abonnement périmé]:[Autres ou non précisé 5]])</f>
        <v>0</v>
      </c>
      <c r="BE313" s="58"/>
      <c r="BF313" s="58"/>
      <c r="BG313" s="58"/>
      <c r="BH313" s="61">
        <f t="shared" si="171"/>
        <v>0</v>
      </c>
      <c r="BI313" s="120"/>
      <c r="BJ313" s="120"/>
      <c r="BK313" s="62">
        <f t="shared" si="172"/>
        <v>0</v>
      </c>
      <c r="BL313" s="120"/>
      <c r="BM313" s="120"/>
      <c r="BN313" s="120"/>
      <c r="BO313" s="120"/>
      <c r="BP313" s="120"/>
      <c r="BQ313" s="63"/>
      <c r="BR313" s="52">
        <f t="shared" si="173"/>
        <v>0</v>
      </c>
      <c r="BS313" s="52">
        <f t="shared" si="174"/>
        <v>0</v>
      </c>
      <c r="BT313" s="61">
        <f t="shared" si="175"/>
        <v>0</v>
      </c>
      <c r="BU313" s="64">
        <f t="shared" si="176"/>
        <v>0</v>
      </c>
      <c r="BV313" s="119">
        <f>SUM(Tableau1[[#This Row],[Achats confiserie]:[Achats boisson]])</f>
        <v>0</v>
      </c>
      <c r="BW313" s="58"/>
      <c r="BX313" s="69"/>
      <c r="BY313" s="58"/>
      <c r="BZ313" s="56">
        <f t="shared" si="177"/>
        <v>0</v>
      </c>
      <c r="CA313" s="66"/>
      <c r="CB313" s="66"/>
      <c r="CC313" s="56">
        <f t="shared" si="178"/>
        <v>0</v>
      </c>
      <c r="CD313" s="55"/>
      <c r="CE313" s="65"/>
      <c r="CF313" s="55"/>
      <c r="CG313" s="55"/>
      <c r="CH313" s="67">
        <f t="shared" si="179"/>
        <v>0</v>
      </c>
      <c r="CI313" s="68">
        <f t="shared" si="195"/>
        <v>0</v>
      </c>
      <c r="CJ313" s="55"/>
      <c r="CK313" s="55"/>
      <c r="CL313" s="55"/>
      <c r="CM313" s="55"/>
      <c r="CN313" s="55"/>
      <c r="CO313" s="68">
        <f t="shared" si="180"/>
        <v>0</v>
      </c>
      <c r="CP313" s="75">
        <f>SUM(Tableau1[[#This Row],[Fourniture eau]:[Energie (non précisé)]])</f>
        <v>0</v>
      </c>
      <c r="CQ313" s="55"/>
      <c r="CR313" s="55"/>
      <c r="CS313" s="55"/>
      <c r="CT313" s="55"/>
      <c r="CU313" s="55"/>
      <c r="CV313" s="55">
        <v>0</v>
      </c>
      <c r="CW313" s="55"/>
      <c r="CX313" s="68">
        <f>SUM(Tableau1[[#This Row],[Sous-traitance]:[Autres ou non précisé 12]])</f>
        <v>0</v>
      </c>
      <c r="CY313" s="65"/>
      <c r="CZ313" s="65"/>
      <c r="DA313" s="65"/>
      <c r="DB313" s="65"/>
      <c r="DC313" s="55"/>
      <c r="DD313" s="68">
        <f t="shared" si="200"/>
        <v>0</v>
      </c>
      <c r="DE313" s="55"/>
      <c r="DF313" s="65"/>
      <c r="DG313" s="65"/>
      <c r="DH313" s="65"/>
      <c r="DI313" s="68">
        <f>SUM(Tableau1[[#This Row],[Entretien et réparation matériel de projection]:[Autres ou non précisé 14]])</f>
        <v>0</v>
      </c>
      <c r="DJ313" s="58"/>
      <c r="DK313" s="58"/>
      <c r="DL313" s="69"/>
      <c r="DM313" s="68">
        <f t="shared" si="181"/>
        <v>0</v>
      </c>
      <c r="DN313" s="58"/>
      <c r="DO313" s="58"/>
      <c r="DP313" s="68">
        <f t="shared" si="182"/>
        <v>0</v>
      </c>
      <c r="DQ313" s="65"/>
      <c r="DR313" s="65"/>
      <c r="DS313" s="68">
        <f t="shared" si="183"/>
        <v>0</v>
      </c>
      <c r="DT313" s="65"/>
      <c r="DU313" s="65"/>
      <c r="DV313" s="65"/>
      <c r="DW313" s="68">
        <f>SUM(Tableau1[[#This Row],[Comission et courtage sur achats]:[Autres ou honoraires
 non précisé ]])</f>
        <v>0</v>
      </c>
      <c r="DX313" s="57"/>
      <c r="DY313" s="57"/>
      <c r="DZ313" s="65"/>
      <c r="EA313" s="65"/>
      <c r="EB313" s="65"/>
      <c r="EC313" s="68">
        <f t="shared" si="184"/>
        <v>0</v>
      </c>
      <c r="ED313" s="69"/>
      <c r="EE313" s="69"/>
      <c r="EF313" s="69"/>
      <c r="EG313" s="69"/>
      <c r="EH313" s="69"/>
      <c r="EI313" s="84">
        <f>SUM(Tableau1[[#This Row],[Transports sur films]:[autres ]])</f>
        <v>0</v>
      </c>
      <c r="EJ313" s="132">
        <v>0</v>
      </c>
      <c r="EK313" s="132"/>
      <c r="EL313" s="68">
        <f t="shared" si="185"/>
        <v>0</v>
      </c>
      <c r="EM313" s="65"/>
      <c r="EN313" s="65">
        <v>0</v>
      </c>
      <c r="EO313" s="65"/>
      <c r="EP313" s="65"/>
      <c r="EQ313" s="65"/>
      <c r="ER313" s="65"/>
      <c r="ES313" s="65"/>
      <c r="ET313" s="68">
        <f t="shared" si="186"/>
        <v>0</v>
      </c>
      <c r="EU313" s="65"/>
      <c r="EV313" s="65"/>
      <c r="EW313" s="65"/>
      <c r="EX313" s="65"/>
      <c r="EY313" s="65"/>
      <c r="EZ313" s="68">
        <f t="shared" si="163"/>
        <v>0</v>
      </c>
      <c r="FA313" s="65"/>
      <c r="FB313" s="65"/>
      <c r="FC313" s="70">
        <f t="shared" si="201"/>
        <v>0</v>
      </c>
      <c r="FD313" s="65"/>
      <c r="FE313" s="71">
        <f t="shared" si="187"/>
        <v>0</v>
      </c>
      <c r="FF313" s="72">
        <f t="shared" si="188"/>
        <v>0</v>
      </c>
      <c r="FG313" s="65"/>
      <c r="FH313" s="65"/>
      <c r="FI313" s="65"/>
      <c r="FJ313" s="56">
        <f t="shared" si="189"/>
        <v>0</v>
      </c>
      <c r="FK313" s="65"/>
      <c r="FL313" s="65"/>
      <c r="FM313" s="65"/>
      <c r="FN313" s="65"/>
      <c r="FO313" s="67">
        <f t="shared" si="190"/>
        <v>0</v>
      </c>
      <c r="FP313" s="57"/>
      <c r="FQ313" s="73"/>
      <c r="FR313" s="73"/>
      <c r="FS313" s="71">
        <f t="shared" si="191"/>
        <v>0</v>
      </c>
      <c r="FT313" s="91"/>
      <c r="FU313" s="91"/>
      <c r="FV313" s="67">
        <f>SUM(Tableau1[[#This Row],[Droits d''auteurs SACEM + cotisations SACEM]:[Autres ou non préciés]])</f>
        <v>0</v>
      </c>
      <c r="FW313" s="75">
        <f t="shared" si="192"/>
        <v>0</v>
      </c>
      <c r="FX313" s="74">
        <v>0</v>
      </c>
      <c r="FY313" s="74"/>
      <c r="FZ313" s="74"/>
      <c r="GA313" s="74"/>
      <c r="GB313" s="71">
        <f t="shared" si="193"/>
        <v>0</v>
      </c>
      <c r="GC313" s="92"/>
      <c r="GD313" s="92"/>
      <c r="GE313" s="67">
        <f t="shared" si="194"/>
        <v>0</v>
      </c>
      <c r="GF313" s="66"/>
      <c r="GG313" s="66"/>
      <c r="GH313" s="66"/>
      <c r="GI313" s="66"/>
      <c r="GJ313" s="77"/>
    </row>
    <row r="314" spans="1:192" ht="18.600000000000001" customHeight="1" x14ac:dyDescent="0.25">
      <c r="A314" s="89"/>
      <c r="B314" s="17"/>
      <c r="C314" s="50"/>
      <c r="D314" s="140"/>
      <c r="E314" s="51"/>
      <c r="F314" s="139">
        <f t="shared" si="198"/>
        <v>1</v>
      </c>
      <c r="G314" s="49"/>
      <c r="H314" s="50"/>
      <c r="I314" s="122"/>
      <c r="J314" s="49"/>
      <c r="K314" s="50"/>
      <c r="L314" s="50"/>
      <c r="M314" s="90"/>
      <c r="N314" s="50"/>
      <c r="O314" s="50"/>
      <c r="P314" s="90"/>
      <c r="Q314" s="52">
        <f t="shared" si="164"/>
        <v>0</v>
      </c>
      <c r="R314" s="52">
        <f t="shared" si="165"/>
        <v>0</v>
      </c>
      <c r="S314" s="53">
        <f t="shared" si="166"/>
        <v>0</v>
      </c>
      <c r="T314" s="54">
        <f t="shared" si="167"/>
        <v>0</v>
      </c>
      <c r="U314" s="115">
        <f>SUM(Tableau1[[#This Row],[Vente confiserie]:[Vente boisson]])</f>
        <v>0</v>
      </c>
      <c r="V314" s="55"/>
      <c r="W314" s="55"/>
      <c r="X314" s="135">
        <f>SUM(Tableau1[[#This Row],[Vente lunette]:[Location lunette]])</f>
        <v>0</v>
      </c>
      <c r="Y314" s="55"/>
      <c r="Z314" s="55"/>
      <c r="AA314" s="55"/>
      <c r="AB314" s="55"/>
      <c r="AC314" s="56">
        <f t="shared" si="196"/>
        <v>0</v>
      </c>
      <c r="AD314" s="57"/>
      <c r="AE314" s="57"/>
      <c r="AF314" s="57"/>
      <c r="AG314" s="57"/>
      <c r="AH314" s="57"/>
      <c r="AI314" s="57"/>
      <c r="AJ314" s="118">
        <f>(Tableau1[[#This Row],[Recette guichet ]]*1.1275177)-Tableau1[[#This Row],[Recette guichet ]]</f>
        <v>0</v>
      </c>
      <c r="AK314" s="57"/>
      <c r="AL314" s="56">
        <f t="shared" si="197"/>
        <v>0</v>
      </c>
      <c r="AM314" s="58"/>
      <c r="AN314" s="58"/>
      <c r="AO314" s="58"/>
      <c r="AP314" s="115">
        <f t="shared" si="168"/>
        <v>0</v>
      </c>
      <c r="AQ314" s="69"/>
      <c r="AR314" s="69"/>
      <c r="AS314" s="69"/>
      <c r="AT314" s="69"/>
      <c r="AU314" s="59">
        <f t="shared" si="169"/>
        <v>0</v>
      </c>
      <c r="AV314" s="60">
        <f t="shared" si="170"/>
        <v>0</v>
      </c>
      <c r="AW314" s="58"/>
      <c r="AX314" s="58"/>
      <c r="AY314" s="58"/>
      <c r="AZ314" s="60">
        <f t="shared" si="199"/>
        <v>0</v>
      </c>
      <c r="BA314" s="58"/>
      <c r="BB314" s="58"/>
      <c r="BC314" s="58"/>
      <c r="BD314" s="60">
        <f>SUM(Tableau1[[#This Row],[ticket/carte/abonnement périmé]:[Autres ou non précisé 5]])</f>
        <v>0</v>
      </c>
      <c r="BE314" s="58"/>
      <c r="BF314" s="58"/>
      <c r="BG314" s="58"/>
      <c r="BH314" s="61">
        <f t="shared" si="171"/>
        <v>0</v>
      </c>
      <c r="BI314" s="120"/>
      <c r="BJ314" s="120"/>
      <c r="BK314" s="62">
        <f t="shared" si="172"/>
        <v>0</v>
      </c>
      <c r="BL314" s="120"/>
      <c r="BM314" s="120"/>
      <c r="BN314" s="120"/>
      <c r="BO314" s="120"/>
      <c r="BP314" s="120"/>
      <c r="BQ314" s="63"/>
      <c r="BR314" s="52">
        <f t="shared" si="173"/>
        <v>0</v>
      </c>
      <c r="BS314" s="52">
        <f t="shared" si="174"/>
        <v>0</v>
      </c>
      <c r="BT314" s="61">
        <f t="shared" si="175"/>
        <v>0</v>
      </c>
      <c r="BU314" s="64">
        <f t="shared" si="176"/>
        <v>0</v>
      </c>
      <c r="BV314" s="119">
        <f>SUM(Tableau1[[#This Row],[Achats confiserie]:[Achats boisson]])</f>
        <v>0</v>
      </c>
      <c r="BW314" s="58"/>
      <c r="BX314" s="69"/>
      <c r="BY314" s="58"/>
      <c r="BZ314" s="56">
        <f t="shared" si="177"/>
        <v>0</v>
      </c>
      <c r="CA314" s="66"/>
      <c r="CB314" s="66"/>
      <c r="CC314" s="56">
        <f t="shared" si="178"/>
        <v>0</v>
      </c>
      <c r="CD314" s="55"/>
      <c r="CE314" s="65"/>
      <c r="CF314" s="55"/>
      <c r="CG314" s="55"/>
      <c r="CH314" s="67">
        <f t="shared" si="179"/>
        <v>0</v>
      </c>
      <c r="CI314" s="68">
        <f t="shared" si="195"/>
        <v>0</v>
      </c>
      <c r="CJ314" s="55"/>
      <c r="CK314" s="55"/>
      <c r="CL314" s="55"/>
      <c r="CM314" s="55"/>
      <c r="CN314" s="55"/>
      <c r="CO314" s="68">
        <f t="shared" si="180"/>
        <v>0</v>
      </c>
      <c r="CP314" s="75">
        <f>SUM(Tableau1[[#This Row],[Fourniture eau]:[Energie (non précisé)]])</f>
        <v>0</v>
      </c>
      <c r="CQ314" s="55"/>
      <c r="CR314" s="55"/>
      <c r="CS314" s="55"/>
      <c r="CT314" s="55"/>
      <c r="CU314" s="55"/>
      <c r="CV314" s="55">
        <v>0</v>
      </c>
      <c r="CW314" s="55"/>
      <c r="CX314" s="68">
        <f>SUM(Tableau1[[#This Row],[Sous-traitance]:[Autres ou non précisé 12]])</f>
        <v>0</v>
      </c>
      <c r="CY314" s="65"/>
      <c r="CZ314" s="65"/>
      <c r="DA314" s="65"/>
      <c r="DB314" s="65"/>
      <c r="DC314" s="55"/>
      <c r="DD314" s="68">
        <f t="shared" si="200"/>
        <v>0</v>
      </c>
      <c r="DE314" s="55"/>
      <c r="DF314" s="65"/>
      <c r="DG314" s="65"/>
      <c r="DH314" s="65"/>
      <c r="DI314" s="68">
        <f>SUM(Tableau1[[#This Row],[Entretien et réparation matériel de projection]:[Autres ou non précisé 14]])</f>
        <v>0</v>
      </c>
      <c r="DJ314" s="58"/>
      <c r="DK314" s="58"/>
      <c r="DL314" s="69"/>
      <c r="DM314" s="68">
        <f t="shared" si="181"/>
        <v>0</v>
      </c>
      <c r="DN314" s="58"/>
      <c r="DO314" s="58"/>
      <c r="DP314" s="68">
        <f t="shared" si="182"/>
        <v>0</v>
      </c>
      <c r="DQ314" s="65"/>
      <c r="DR314" s="65"/>
      <c r="DS314" s="68">
        <f t="shared" si="183"/>
        <v>0</v>
      </c>
      <c r="DT314" s="65"/>
      <c r="DU314" s="65"/>
      <c r="DV314" s="65"/>
      <c r="DW314" s="68">
        <f>SUM(Tableau1[[#This Row],[Comission et courtage sur achats]:[Autres ou honoraires
 non précisé ]])</f>
        <v>0</v>
      </c>
      <c r="DX314" s="57"/>
      <c r="DY314" s="57"/>
      <c r="DZ314" s="65"/>
      <c r="EA314" s="65"/>
      <c r="EB314" s="65"/>
      <c r="EC314" s="68">
        <f t="shared" si="184"/>
        <v>0</v>
      </c>
      <c r="ED314" s="69"/>
      <c r="EE314" s="69"/>
      <c r="EF314" s="69"/>
      <c r="EG314" s="69"/>
      <c r="EH314" s="69"/>
      <c r="EI314" s="84">
        <f>SUM(Tableau1[[#This Row],[Transports sur films]:[autres ]])</f>
        <v>0</v>
      </c>
      <c r="EJ314" s="132">
        <v>0</v>
      </c>
      <c r="EK314" s="132"/>
      <c r="EL314" s="68">
        <f t="shared" si="185"/>
        <v>0</v>
      </c>
      <c r="EM314" s="65"/>
      <c r="EN314" s="65">
        <v>0</v>
      </c>
      <c r="EO314" s="65"/>
      <c r="EP314" s="65"/>
      <c r="EQ314" s="65"/>
      <c r="ER314" s="65"/>
      <c r="ES314" s="65"/>
      <c r="ET314" s="68">
        <f t="shared" si="186"/>
        <v>0</v>
      </c>
      <c r="EU314" s="65"/>
      <c r="EV314" s="65"/>
      <c r="EW314" s="65"/>
      <c r="EX314" s="65"/>
      <c r="EY314" s="65"/>
      <c r="EZ314" s="68">
        <f t="shared" si="163"/>
        <v>0</v>
      </c>
      <c r="FA314" s="65"/>
      <c r="FB314" s="65"/>
      <c r="FC314" s="70">
        <f t="shared" si="201"/>
        <v>0</v>
      </c>
      <c r="FD314" s="65"/>
      <c r="FE314" s="71">
        <f t="shared" si="187"/>
        <v>0</v>
      </c>
      <c r="FF314" s="72">
        <f t="shared" si="188"/>
        <v>0</v>
      </c>
      <c r="FG314" s="65"/>
      <c r="FH314" s="65"/>
      <c r="FI314" s="65"/>
      <c r="FJ314" s="56">
        <f t="shared" si="189"/>
        <v>0</v>
      </c>
      <c r="FK314" s="65"/>
      <c r="FL314" s="65"/>
      <c r="FM314" s="65"/>
      <c r="FN314" s="65"/>
      <c r="FO314" s="67">
        <f t="shared" si="190"/>
        <v>0</v>
      </c>
      <c r="FP314" s="57"/>
      <c r="FQ314" s="73"/>
      <c r="FR314" s="73"/>
      <c r="FS314" s="71">
        <f t="shared" si="191"/>
        <v>0</v>
      </c>
      <c r="FT314" s="91"/>
      <c r="FU314" s="91"/>
      <c r="FV314" s="67">
        <f>SUM(Tableau1[[#This Row],[Droits d''auteurs SACEM + cotisations SACEM]:[Autres ou non préciés]])</f>
        <v>0</v>
      </c>
      <c r="FW314" s="75">
        <f t="shared" si="192"/>
        <v>0</v>
      </c>
      <c r="FX314" s="74">
        <v>0</v>
      </c>
      <c r="FY314" s="74"/>
      <c r="FZ314" s="74"/>
      <c r="GA314" s="74"/>
      <c r="GB314" s="71">
        <f t="shared" si="193"/>
        <v>0</v>
      </c>
      <c r="GC314" s="92"/>
      <c r="GD314" s="92"/>
      <c r="GE314" s="67">
        <f t="shared" si="194"/>
        <v>0</v>
      </c>
      <c r="GF314" s="66"/>
      <c r="GG314" s="66"/>
      <c r="GH314" s="66"/>
      <c r="GI314" s="66"/>
      <c r="GJ314" s="77"/>
    </row>
    <row r="315" spans="1:192" ht="18.600000000000001" customHeight="1" x14ac:dyDescent="0.25">
      <c r="A315" s="89"/>
      <c r="B315" s="17"/>
      <c r="C315" s="50"/>
      <c r="D315" s="140"/>
      <c r="E315" s="51"/>
      <c r="F315" s="139">
        <f t="shared" si="198"/>
        <v>1</v>
      </c>
      <c r="G315" s="49"/>
      <c r="H315" s="50"/>
      <c r="I315" s="122"/>
      <c r="J315" s="49"/>
      <c r="K315" s="50"/>
      <c r="L315" s="50"/>
      <c r="M315" s="90"/>
      <c r="N315" s="50"/>
      <c r="O315" s="50"/>
      <c r="P315" s="90"/>
      <c r="Q315" s="52">
        <f t="shared" si="164"/>
        <v>0</v>
      </c>
      <c r="R315" s="52">
        <f t="shared" si="165"/>
        <v>0</v>
      </c>
      <c r="S315" s="53">
        <f t="shared" si="166"/>
        <v>0</v>
      </c>
      <c r="T315" s="54">
        <f t="shared" si="167"/>
        <v>0</v>
      </c>
      <c r="U315" s="115">
        <f>SUM(Tableau1[[#This Row],[Vente confiserie]:[Vente boisson]])</f>
        <v>0</v>
      </c>
      <c r="V315" s="55"/>
      <c r="W315" s="55"/>
      <c r="X315" s="135">
        <f>SUM(Tableau1[[#This Row],[Vente lunette]:[Location lunette]])</f>
        <v>0</v>
      </c>
      <c r="Y315" s="55"/>
      <c r="Z315" s="55"/>
      <c r="AA315" s="55"/>
      <c r="AB315" s="55"/>
      <c r="AC315" s="56">
        <f t="shared" si="196"/>
        <v>0</v>
      </c>
      <c r="AD315" s="57"/>
      <c r="AE315" s="57"/>
      <c r="AF315" s="57"/>
      <c r="AG315" s="57"/>
      <c r="AH315" s="57"/>
      <c r="AI315" s="57"/>
      <c r="AJ315" s="118">
        <f>(Tableau1[[#This Row],[Recette guichet ]]*1.1275177)-Tableau1[[#This Row],[Recette guichet ]]</f>
        <v>0</v>
      </c>
      <c r="AK315" s="57"/>
      <c r="AL315" s="56">
        <f t="shared" si="197"/>
        <v>0</v>
      </c>
      <c r="AM315" s="58"/>
      <c r="AN315" s="58"/>
      <c r="AO315" s="58"/>
      <c r="AP315" s="115">
        <f t="shared" si="168"/>
        <v>0</v>
      </c>
      <c r="AQ315" s="69"/>
      <c r="AR315" s="69"/>
      <c r="AS315" s="69"/>
      <c r="AT315" s="69"/>
      <c r="AU315" s="59">
        <f t="shared" si="169"/>
        <v>0</v>
      </c>
      <c r="AV315" s="60">
        <f t="shared" si="170"/>
        <v>0</v>
      </c>
      <c r="AW315" s="58"/>
      <c r="AX315" s="58"/>
      <c r="AY315" s="58"/>
      <c r="AZ315" s="60">
        <f t="shared" si="199"/>
        <v>0</v>
      </c>
      <c r="BA315" s="58"/>
      <c r="BB315" s="58"/>
      <c r="BC315" s="58"/>
      <c r="BD315" s="60">
        <f>SUM(Tableau1[[#This Row],[ticket/carte/abonnement périmé]:[Autres ou non précisé 5]])</f>
        <v>0</v>
      </c>
      <c r="BE315" s="58"/>
      <c r="BF315" s="58"/>
      <c r="BG315" s="58"/>
      <c r="BH315" s="61">
        <f t="shared" si="171"/>
        <v>0</v>
      </c>
      <c r="BI315" s="120"/>
      <c r="BJ315" s="120"/>
      <c r="BK315" s="62">
        <f t="shared" si="172"/>
        <v>0</v>
      </c>
      <c r="BL315" s="120"/>
      <c r="BM315" s="120"/>
      <c r="BN315" s="120"/>
      <c r="BO315" s="120"/>
      <c r="BP315" s="120"/>
      <c r="BQ315" s="63"/>
      <c r="BR315" s="52">
        <f t="shared" si="173"/>
        <v>0</v>
      </c>
      <c r="BS315" s="52">
        <f t="shared" si="174"/>
        <v>0</v>
      </c>
      <c r="BT315" s="61">
        <f t="shared" si="175"/>
        <v>0</v>
      </c>
      <c r="BU315" s="64">
        <f t="shared" si="176"/>
        <v>0</v>
      </c>
      <c r="BV315" s="119">
        <f>SUM(Tableau1[[#This Row],[Achats confiserie]:[Achats boisson]])</f>
        <v>0</v>
      </c>
      <c r="BW315" s="58"/>
      <c r="BX315" s="69"/>
      <c r="BY315" s="58"/>
      <c r="BZ315" s="56">
        <f t="shared" si="177"/>
        <v>0</v>
      </c>
      <c r="CA315" s="66"/>
      <c r="CB315" s="66"/>
      <c r="CC315" s="56">
        <f t="shared" si="178"/>
        <v>0</v>
      </c>
      <c r="CD315" s="55"/>
      <c r="CE315" s="65"/>
      <c r="CF315" s="55"/>
      <c r="CG315" s="55"/>
      <c r="CH315" s="67">
        <f t="shared" si="179"/>
        <v>0</v>
      </c>
      <c r="CI315" s="68">
        <f t="shared" si="195"/>
        <v>0</v>
      </c>
      <c r="CJ315" s="55"/>
      <c r="CK315" s="55"/>
      <c r="CL315" s="55"/>
      <c r="CM315" s="55"/>
      <c r="CN315" s="55"/>
      <c r="CO315" s="68">
        <f t="shared" si="180"/>
        <v>0</v>
      </c>
      <c r="CP315" s="75">
        <f>SUM(Tableau1[[#This Row],[Fourniture eau]:[Energie (non précisé)]])</f>
        <v>0</v>
      </c>
      <c r="CQ315" s="55"/>
      <c r="CR315" s="55"/>
      <c r="CS315" s="55"/>
      <c r="CT315" s="55"/>
      <c r="CU315" s="55"/>
      <c r="CV315" s="55">
        <v>0</v>
      </c>
      <c r="CW315" s="55"/>
      <c r="CX315" s="68">
        <f>SUM(Tableau1[[#This Row],[Sous-traitance]:[Autres ou non précisé 12]])</f>
        <v>0</v>
      </c>
      <c r="CY315" s="65"/>
      <c r="CZ315" s="65"/>
      <c r="DA315" s="65"/>
      <c r="DB315" s="65"/>
      <c r="DC315" s="55"/>
      <c r="DD315" s="68">
        <f t="shared" si="200"/>
        <v>0</v>
      </c>
      <c r="DE315" s="55"/>
      <c r="DF315" s="65"/>
      <c r="DG315" s="65"/>
      <c r="DH315" s="65"/>
      <c r="DI315" s="68">
        <f>SUM(Tableau1[[#This Row],[Entretien et réparation matériel de projection]:[Autres ou non précisé 14]])</f>
        <v>0</v>
      </c>
      <c r="DJ315" s="58"/>
      <c r="DK315" s="58"/>
      <c r="DL315" s="69"/>
      <c r="DM315" s="68">
        <f t="shared" si="181"/>
        <v>0</v>
      </c>
      <c r="DN315" s="58"/>
      <c r="DO315" s="58"/>
      <c r="DP315" s="68">
        <f t="shared" si="182"/>
        <v>0</v>
      </c>
      <c r="DQ315" s="65"/>
      <c r="DR315" s="65"/>
      <c r="DS315" s="68">
        <f t="shared" si="183"/>
        <v>0</v>
      </c>
      <c r="DT315" s="65"/>
      <c r="DU315" s="65"/>
      <c r="DV315" s="65"/>
      <c r="DW315" s="68">
        <f>SUM(Tableau1[[#This Row],[Comission et courtage sur achats]:[Autres ou honoraires
 non précisé ]])</f>
        <v>0</v>
      </c>
      <c r="DX315" s="57"/>
      <c r="DY315" s="57"/>
      <c r="DZ315" s="65"/>
      <c r="EA315" s="65"/>
      <c r="EB315" s="65"/>
      <c r="EC315" s="68">
        <f t="shared" si="184"/>
        <v>0</v>
      </c>
      <c r="ED315" s="69"/>
      <c r="EE315" s="69"/>
      <c r="EF315" s="69"/>
      <c r="EG315" s="69"/>
      <c r="EH315" s="69"/>
      <c r="EI315" s="84">
        <f>SUM(Tableau1[[#This Row],[Transports sur films]:[autres ]])</f>
        <v>0</v>
      </c>
      <c r="EJ315" s="132">
        <v>0</v>
      </c>
      <c r="EK315" s="132"/>
      <c r="EL315" s="68">
        <f t="shared" si="185"/>
        <v>0</v>
      </c>
      <c r="EM315" s="65"/>
      <c r="EN315" s="65">
        <v>0</v>
      </c>
      <c r="EO315" s="65"/>
      <c r="EP315" s="65"/>
      <c r="EQ315" s="65"/>
      <c r="ER315" s="65"/>
      <c r="ES315" s="65"/>
      <c r="ET315" s="68">
        <f t="shared" si="186"/>
        <v>0</v>
      </c>
      <c r="EU315" s="65"/>
      <c r="EV315" s="65"/>
      <c r="EW315" s="65"/>
      <c r="EX315" s="65"/>
      <c r="EY315" s="65"/>
      <c r="EZ315" s="68">
        <f t="shared" ref="EZ315:EZ378" si="202">SUM(FA315:FB315)</f>
        <v>0</v>
      </c>
      <c r="FA315" s="65"/>
      <c r="FB315" s="65"/>
      <c r="FC315" s="70">
        <f t="shared" si="201"/>
        <v>0</v>
      </c>
      <c r="FD315" s="65"/>
      <c r="FE315" s="71">
        <f t="shared" si="187"/>
        <v>0</v>
      </c>
      <c r="FF315" s="72">
        <f t="shared" si="188"/>
        <v>0</v>
      </c>
      <c r="FG315" s="65"/>
      <c r="FH315" s="65"/>
      <c r="FI315" s="65"/>
      <c r="FJ315" s="56">
        <f t="shared" si="189"/>
        <v>0</v>
      </c>
      <c r="FK315" s="65"/>
      <c r="FL315" s="65"/>
      <c r="FM315" s="65"/>
      <c r="FN315" s="65"/>
      <c r="FO315" s="67">
        <f t="shared" si="190"/>
        <v>0</v>
      </c>
      <c r="FP315" s="57"/>
      <c r="FQ315" s="73"/>
      <c r="FR315" s="73"/>
      <c r="FS315" s="71">
        <f t="shared" si="191"/>
        <v>0</v>
      </c>
      <c r="FT315" s="91"/>
      <c r="FU315" s="91"/>
      <c r="FV315" s="67">
        <f>SUM(Tableau1[[#This Row],[Droits d''auteurs SACEM + cotisations SACEM]:[Autres ou non préciés]])</f>
        <v>0</v>
      </c>
      <c r="FW315" s="75">
        <f t="shared" si="192"/>
        <v>0</v>
      </c>
      <c r="FX315" s="74">
        <v>0</v>
      </c>
      <c r="FY315" s="74"/>
      <c r="FZ315" s="74"/>
      <c r="GA315" s="74"/>
      <c r="GB315" s="71">
        <f t="shared" si="193"/>
        <v>0</v>
      </c>
      <c r="GC315" s="92"/>
      <c r="GD315" s="92"/>
      <c r="GE315" s="67">
        <f t="shared" si="194"/>
        <v>0</v>
      </c>
      <c r="GF315" s="66"/>
      <c r="GG315" s="66"/>
      <c r="GH315" s="66"/>
      <c r="GI315" s="66"/>
      <c r="GJ315" s="77"/>
    </row>
    <row r="316" spans="1:192" ht="18.600000000000001" customHeight="1" x14ac:dyDescent="0.25">
      <c r="A316" s="89"/>
      <c r="B316" s="17"/>
      <c r="C316" s="50"/>
      <c r="D316" s="140"/>
      <c r="E316" s="51"/>
      <c r="F316" s="139">
        <f t="shared" si="198"/>
        <v>1</v>
      </c>
      <c r="G316" s="49"/>
      <c r="H316" s="50"/>
      <c r="I316" s="122"/>
      <c r="J316" s="49"/>
      <c r="K316" s="50"/>
      <c r="L316" s="50"/>
      <c r="M316" s="90"/>
      <c r="N316" s="50"/>
      <c r="O316" s="50"/>
      <c r="P316" s="90"/>
      <c r="Q316" s="52">
        <f t="shared" si="164"/>
        <v>0</v>
      </c>
      <c r="R316" s="52">
        <f t="shared" si="165"/>
        <v>0</v>
      </c>
      <c r="S316" s="53">
        <f t="shared" si="166"/>
        <v>0</v>
      </c>
      <c r="T316" s="54">
        <f t="shared" si="167"/>
        <v>0</v>
      </c>
      <c r="U316" s="115">
        <f>SUM(Tableau1[[#This Row],[Vente confiserie]:[Vente boisson]])</f>
        <v>0</v>
      </c>
      <c r="V316" s="55"/>
      <c r="W316" s="55"/>
      <c r="X316" s="135">
        <f>SUM(Tableau1[[#This Row],[Vente lunette]:[Location lunette]])</f>
        <v>0</v>
      </c>
      <c r="Y316" s="55"/>
      <c r="Z316" s="55"/>
      <c r="AA316" s="55"/>
      <c r="AB316" s="55"/>
      <c r="AC316" s="56">
        <f t="shared" si="196"/>
        <v>0</v>
      </c>
      <c r="AD316" s="57"/>
      <c r="AE316" s="57"/>
      <c r="AF316" s="57"/>
      <c r="AG316" s="57"/>
      <c r="AH316" s="57"/>
      <c r="AI316" s="57"/>
      <c r="AJ316" s="118">
        <f>(Tableau1[[#This Row],[Recette guichet ]]*1.1275177)-Tableau1[[#This Row],[Recette guichet ]]</f>
        <v>0</v>
      </c>
      <c r="AK316" s="57"/>
      <c r="AL316" s="56">
        <f t="shared" si="197"/>
        <v>0</v>
      </c>
      <c r="AM316" s="58"/>
      <c r="AN316" s="58"/>
      <c r="AO316" s="58"/>
      <c r="AP316" s="115">
        <f t="shared" si="168"/>
        <v>0</v>
      </c>
      <c r="AQ316" s="69"/>
      <c r="AR316" s="69"/>
      <c r="AS316" s="69"/>
      <c r="AT316" s="69"/>
      <c r="AU316" s="59">
        <f t="shared" si="169"/>
        <v>0</v>
      </c>
      <c r="AV316" s="60">
        <f t="shared" si="170"/>
        <v>0</v>
      </c>
      <c r="AW316" s="58"/>
      <c r="AX316" s="58"/>
      <c r="AY316" s="58"/>
      <c r="AZ316" s="60">
        <f t="shared" si="199"/>
        <v>0</v>
      </c>
      <c r="BA316" s="58"/>
      <c r="BB316" s="58"/>
      <c r="BC316" s="58"/>
      <c r="BD316" s="60">
        <f>SUM(Tableau1[[#This Row],[ticket/carte/abonnement périmé]:[Autres ou non précisé 5]])</f>
        <v>0</v>
      </c>
      <c r="BE316" s="58"/>
      <c r="BF316" s="58"/>
      <c r="BG316" s="58"/>
      <c r="BH316" s="61">
        <f t="shared" si="171"/>
        <v>0</v>
      </c>
      <c r="BI316" s="120"/>
      <c r="BJ316" s="120"/>
      <c r="BK316" s="62">
        <f t="shared" si="172"/>
        <v>0</v>
      </c>
      <c r="BL316" s="120"/>
      <c r="BM316" s="120"/>
      <c r="BN316" s="120"/>
      <c r="BO316" s="120"/>
      <c r="BP316" s="120"/>
      <c r="BQ316" s="63"/>
      <c r="BR316" s="52">
        <f t="shared" si="173"/>
        <v>0</v>
      </c>
      <c r="BS316" s="52">
        <f t="shared" si="174"/>
        <v>0</v>
      </c>
      <c r="BT316" s="61">
        <f t="shared" si="175"/>
        <v>0</v>
      </c>
      <c r="BU316" s="64">
        <f t="shared" si="176"/>
        <v>0</v>
      </c>
      <c r="BV316" s="119">
        <f>SUM(Tableau1[[#This Row],[Achats confiserie]:[Achats boisson]])</f>
        <v>0</v>
      </c>
      <c r="BW316" s="58"/>
      <c r="BX316" s="69"/>
      <c r="BY316" s="58"/>
      <c r="BZ316" s="56">
        <f t="shared" si="177"/>
        <v>0</v>
      </c>
      <c r="CA316" s="66"/>
      <c r="CB316" s="66"/>
      <c r="CC316" s="56">
        <f t="shared" si="178"/>
        <v>0</v>
      </c>
      <c r="CD316" s="55"/>
      <c r="CE316" s="65"/>
      <c r="CF316" s="55"/>
      <c r="CG316" s="55"/>
      <c r="CH316" s="67">
        <f t="shared" si="179"/>
        <v>0</v>
      </c>
      <c r="CI316" s="68">
        <f t="shared" si="195"/>
        <v>0</v>
      </c>
      <c r="CJ316" s="55"/>
      <c r="CK316" s="55"/>
      <c r="CL316" s="55"/>
      <c r="CM316" s="55"/>
      <c r="CN316" s="55"/>
      <c r="CO316" s="68">
        <f t="shared" si="180"/>
        <v>0</v>
      </c>
      <c r="CP316" s="75">
        <f>SUM(Tableau1[[#This Row],[Fourniture eau]:[Energie (non précisé)]])</f>
        <v>0</v>
      </c>
      <c r="CQ316" s="55"/>
      <c r="CR316" s="55"/>
      <c r="CS316" s="55"/>
      <c r="CT316" s="55"/>
      <c r="CU316" s="55"/>
      <c r="CV316" s="55">
        <v>0</v>
      </c>
      <c r="CW316" s="55"/>
      <c r="CX316" s="68">
        <f>SUM(Tableau1[[#This Row],[Sous-traitance]:[Autres ou non précisé 12]])</f>
        <v>0</v>
      </c>
      <c r="CY316" s="65"/>
      <c r="CZ316" s="65"/>
      <c r="DA316" s="65"/>
      <c r="DB316" s="65"/>
      <c r="DC316" s="55"/>
      <c r="DD316" s="68">
        <f t="shared" si="200"/>
        <v>0</v>
      </c>
      <c r="DE316" s="55"/>
      <c r="DF316" s="65"/>
      <c r="DG316" s="65"/>
      <c r="DH316" s="65"/>
      <c r="DI316" s="68">
        <f>SUM(Tableau1[[#This Row],[Entretien et réparation matériel de projection]:[Autres ou non précisé 14]])</f>
        <v>0</v>
      </c>
      <c r="DJ316" s="58"/>
      <c r="DK316" s="58"/>
      <c r="DL316" s="69"/>
      <c r="DM316" s="68">
        <f t="shared" si="181"/>
        <v>0</v>
      </c>
      <c r="DN316" s="58"/>
      <c r="DO316" s="58"/>
      <c r="DP316" s="68">
        <f t="shared" si="182"/>
        <v>0</v>
      </c>
      <c r="DQ316" s="65"/>
      <c r="DR316" s="65"/>
      <c r="DS316" s="68">
        <f t="shared" si="183"/>
        <v>0</v>
      </c>
      <c r="DT316" s="65"/>
      <c r="DU316" s="65"/>
      <c r="DV316" s="65"/>
      <c r="DW316" s="68">
        <f>SUM(Tableau1[[#This Row],[Comission et courtage sur achats]:[Autres ou honoraires
 non précisé ]])</f>
        <v>0</v>
      </c>
      <c r="DX316" s="57"/>
      <c r="DY316" s="57"/>
      <c r="DZ316" s="65"/>
      <c r="EA316" s="65"/>
      <c r="EB316" s="65"/>
      <c r="EC316" s="68">
        <f t="shared" si="184"/>
        <v>0</v>
      </c>
      <c r="ED316" s="69"/>
      <c r="EE316" s="69"/>
      <c r="EF316" s="69"/>
      <c r="EG316" s="69"/>
      <c r="EH316" s="69"/>
      <c r="EI316" s="84">
        <f>SUM(Tableau1[[#This Row],[Transports sur films]:[autres ]])</f>
        <v>0</v>
      </c>
      <c r="EJ316" s="132">
        <v>0</v>
      </c>
      <c r="EK316" s="132"/>
      <c r="EL316" s="68">
        <f t="shared" si="185"/>
        <v>0</v>
      </c>
      <c r="EM316" s="65"/>
      <c r="EN316" s="65">
        <v>0</v>
      </c>
      <c r="EO316" s="65"/>
      <c r="EP316" s="65"/>
      <c r="EQ316" s="65"/>
      <c r="ER316" s="65"/>
      <c r="ES316" s="65"/>
      <c r="ET316" s="68">
        <f t="shared" si="186"/>
        <v>0</v>
      </c>
      <c r="EU316" s="65"/>
      <c r="EV316" s="65"/>
      <c r="EW316" s="65"/>
      <c r="EX316" s="65"/>
      <c r="EY316" s="65"/>
      <c r="EZ316" s="68">
        <f t="shared" si="202"/>
        <v>0</v>
      </c>
      <c r="FA316" s="65"/>
      <c r="FB316" s="65"/>
      <c r="FC316" s="70">
        <f t="shared" si="201"/>
        <v>0</v>
      </c>
      <c r="FD316" s="65"/>
      <c r="FE316" s="71">
        <f t="shared" si="187"/>
        <v>0</v>
      </c>
      <c r="FF316" s="72">
        <f t="shared" si="188"/>
        <v>0</v>
      </c>
      <c r="FG316" s="65"/>
      <c r="FH316" s="65"/>
      <c r="FI316" s="65"/>
      <c r="FJ316" s="56">
        <f t="shared" si="189"/>
        <v>0</v>
      </c>
      <c r="FK316" s="65"/>
      <c r="FL316" s="65"/>
      <c r="FM316" s="65"/>
      <c r="FN316" s="65"/>
      <c r="FO316" s="67">
        <f t="shared" si="190"/>
        <v>0</v>
      </c>
      <c r="FP316" s="57"/>
      <c r="FQ316" s="73"/>
      <c r="FR316" s="73"/>
      <c r="FS316" s="71">
        <f t="shared" si="191"/>
        <v>0</v>
      </c>
      <c r="FT316" s="91"/>
      <c r="FU316" s="91"/>
      <c r="FV316" s="67">
        <f>SUM(Tableau1[[#This Row],[Droits d''auteurs SACEM + cotisations SACEM]:[Autres ou non préciés]])</f>
        <v>0</v>
      </c>
      <c r="FW316" s="75">
        <f t="shared" si="192"/>
        <v>0</v>
      </c>
      <c r="FX316" s="74">
        <v>0</v>
      </c>
      <c r="FY316" s="74"/>
      <c r="FZ316" s="74"/>
      <c r="GA316" s="74"/>
      <c r="GB316" s="71">
        <f t="shared" si="193"/>
        <v>0</v>
      </c>
      <c r="GC316" s="92"/>
      <c r="GD316" s="92"/>
      <c r="GE316" s="67">
        <f t="shared" si="194"/>
        <v>0</v>
      </c>
      <c r="GF316" s="66"/>
      <c r="GG316" s="66"/>
      <c r="GH316" s="66"/>
      <c r="GI316" s="66"/>
      <c r="GJ316" s="77"/>
    </row>
    <row r="317" spans="1:192" ht="18.600000000000001" customHeight="1" x14ac:dyDescent="0.25">
      <c r="A317" s="89"/>
      <c r="B317" s="17"/>
      <c r="C317" s="50"/>
      <c r="D317" s="140"/>
      <c r="E317" s="51"/>
      <c r="F317" s="139">
        <f t="shared" si="198"/>
        <v>1</v>
      </c>
      <c r="G317" s="49"/>
      <c r="H317" s="50"/>
      <c r="I317" s="122"/>
      <c r="J317" s="49"/>
      <c r="K317" s="50"/>
      <c r="L317" s="50"/>
      <c r="M317" s="90"/>
      <c r="N317" s="50"/>
      <c r="O317" s="50"/>
      <c r="P317" s="90"/>
      <c r="Q317" s="52">
        <f t="shared" si="164"/>
        <v>0</v>
      </c>
      <c r="R317" s="52">
        <f t="shared" si="165"/>
        <v>0</v>
      </c>
      <c r="S317" s="53">
        <f t="shared" si="166"/>
        <v>0</v>
      </c>
      <c r="T317" s="54">
        <f t="shared" si="167"/>
        <v>0</v>
      </c>
      <c r="U317" s="115">
        <f>SUM(Tableau1[[#This Row],[Vente confiserie]:[Vente boisson]])</f>
        <v>0</v>
      </c>
      <c r="V317" s="55"/>
      <c r="W317" s="55"/>
      <c r="X317" s="135">
        <f>SUM(Tableau1[[#This Row],[Vente lunette]:[Location lunette]])</f>
        <v>0</v>
      </c>
      <c r="Y317" s="55"/>
      <c r="Z317" s="55"/>
      <c r="AA317" s="55"/>
      <c r="AB317" s="55"/>
      <c r="AC317" s="56">
        <f t="shared" si="196"/>
        <v>0</v>
      </c>
      <c r="AD317" s="57"/>
      <c r="AE317" s="57"/>
      <c r="AF317" s="57"/>
      <c r="AG317" s="57"/>
      <c r="AH317" s="57"/>
      <c r="AI317" s="57"/>
      <c r="AJ317" s="118">
        <f>(Tableau1[[#This Row],[Recette guichet ]]*1.1275177)-Tableau1[[#This Row],[Recette guichet ]]</f>
        <v>0</v>
      </c>
      <c r="AK317" s="57"/>
      <c r="AL317" s="56">
        <f t="shared" si="197"/>
        <v>0</v>
      </c>
      <c r="AM317" s="58"/>
      <c r="AN317" s="58"/>
      <c r="AO317" s="58"/>
      <c r="AP317" s="115">
        <f t="shared" si="168"/>
        <v>0</v>
      </c>
      <c r="AQ317" s="69"/>
      <c r="AR317" s="69"/>
      <c r="AS317" s="69"/>
      <c r="AT317" s="69"/>
      <c r="AU317" s="59">
        <f t="shared" si="169"/>
        <v>0</v>
      </c>
      <c r="AV317" s="60">
        <f t="shared" si="170"/>
        <v>0</v>
      </c>
      <c r="AW317" s="58"/>
      <c r="AX317" s="58"/>
      <c r="AY317" s="58"/>
      <c r="AZ317" s="60">
        <f t="shared" si="199"/>
        <v>0</v>
      </c>
      <c r="BA317" s="58"/>
      <c r="BB317" s="58"/>
      <c r="BC317" s="58"/>
      <c r="BD317" s="60">
        <f>SUM(Tableau1[[#This Row],[ticket/carte/abonnement périmé]:[Autres ou non précisé 5]])</f>
        <v>0</v>
      </c>
      <c r="BE317" s="58"/>
      <c r="BF317" s="58"/>
      <c r="BG317" s="58"/>
      <c r="BH317" s="61">
        <f t="shared" si="171"/>
        <v>0</v>
      </c>
      <c r="BI317" s="120"/>
      <c r="BJ317" s="120"/>
      <c r="BK317" s="62">
        <f t="shared" si="172"/>
        <v>0</v>
      </c>
      <c r="BL317" s="120"/>
      <c r="BM317" s="120"/>
      <c r="BN317" s="120"/>
      <c r="BO317" s="120"/>
      <c r="BP317" s="120"/>
      <c r="BQ317" s="63"/>
      <c r="BR317" s="52">
        <f t="shared" si="173"/>
        <v>0</v>
      </c>
      <c r="BS317" s="52">
        <f t="shared" si="174"/>
        <v>0</v>
      </c>
      <c r="BT317" s="61">
        <f t="shared" si="175"/>
        <v>0</v>
      </c>
      <c r="BU317" s="64">
        <f t="shared" si="176"/>
        <v>0</v>
      </c>
      <c r="BV317" s="119">
        <f>SUM(Tableau1[[#This Row],[Achats confiserie]:[Achats boisson]])</f>
        <v>0</v>
      </c>
      <c r="BW317" s="58"/>
      <c r="BX317" s="69"/>
      <c r="BY317" s="58"/>
      <c r="BZ317" s="56">
        <f t="shared" si="177"/>
        <v>0</v>
      </c>
      <c r="CA317" s="66"/>
      <c r="CB317" s="66"/>
      <c r="CC317" s="56">
        <f t="shared" si="178"/>
        <v>0</v>
      </c>
      <c r="CD317" s="55"/>
      <c r="CE317" s="65"/>
      <c r="CF317" s="55"/>
      <c r="CG317" s="55"/>
      <c r="CH317" s="67">
        <f t="shared" si="179"/>
        <v>0</v>
      </c>
      <c r="CI317" s="68">
        <f t="shared" si="195"/>
        <v>0</v>
      </c>
      <c r="CJ317" s="55"/>
      <c r="CK317" s="55"/>
      <c r="CL317" s="55"/>
      <c r="CM317" s="55"/>
      <c r="CN317" s="55"/>
      <c r="CO317" s="68">
        <f t="shared" si="180"/>
        <v>0</v>
      </c>
      <c r="CP317" s="75">
        <f>SUM(Tableau1[[#This Row],[Fourniture eau]:[Energie (non précisé)]])</f>
        <v>0</v>
      </c>
      <c r="CQ317" s="55"/>
      <c r="CR317" s="55"/>
      <c r="CS317" s="55"/>
      <c r="CT317" s="55"/>
      <c r="CU317" s="55"/>
      <c r="CV317" s="55">
        <v>0</v>
      </c>
      <c r="CW317" s="55"/>
      <c r="CX317" s="68">
        <f>SUM(Tableau1[[#This Row],[Sous-traitance]:[Autres ou non précisé 12]])</f>
        <v>0</v>
      </c>
      <c r="CY317" s="65"/>
      <c r="CZ317" s="65"/>
      <c r="DA317" s="65"/>
      <c r="DB317" s="65"/>
      <c r="DC317" s="55"/>
      <c r="DD317" s="68">
        <f t="shared" si="200"/>
        <v>0</v>
      </c>
      <c r="DE317" s="55"/>
      <c r="DF317" s="65"/>
      <c r="DG317" s="65"/>
      <c r="DH317" s="65"/>
      <c r="DI317" s="68">
        <f>SUM(Tableau1[[#This Row],[Entretien et réparation matériel de projection]:[Autres ou non précisé 14]])</f>
        <v>0</v>
      </c>
      <c r="DJ317" s="58"/>
      <c r="DK317" s="58"/>
      <c r="DL317" s="69"/>
      <c r="DM317" s="68">
        <f t="shared" si="181"/>
        <v>0</v>
      </c>
      <c r="DN317" s="58"/>
      <c r="DO317" s="58"/>
      <c r="DP317" s="68">
        <f t="shared" si="182"/>
        <v>0</v>
      </c>
      <c r="DQ317" s="65"/>
      <c r="DR317" s="65"/>
      <c r="DS317" s="68">
        <f t="shared" si="183"/>
        <v>0</v>
      </c>
      <c r="DT317" s="65"/>
      <c r="DU317" s="65"/>
      <c r="DV317" s="65"/>
      <c r="DW317" s="68">
        <f>SUM(Tableau1[[#This Row],[Comission et courtage sur achats]:[Autres ou honoraires
 non précisé ]])</f>
        <v>0</v>
      </c>
      <c r="DX317" s="57"/>
      <c r="DY317" s="57"/>
      <c r="DZ317" s="65"/>
      <c r="EA317" s="65"/>
      <c r="EB317" s="65"/>
      <c r="EC317" s="68">
        <f t="shared" si="184"/>
        <v>0</v>
      </c>
      <c r="ED317" s="69"/>
      <c r="EE317" s="69"/>
      <c r="EF317" s="69"/>
      <c r="EG317" s="69"/>
      <c r="EH317" s="69"/>
      <c r="EI317" s="84">
        <f>SUM(Tableau1[[#This Row],[Transports sur films]:[autres ]])</f>
        <v>0</v>
      </c>
      <c r="EJ317" s="132">
        <v>0</v>
      </c>
      <c r="EK317" s="132"/>
      <c r="EL317" s="68">
        <f t="shared" si="185"/>
        <v>0</v>
      </c>
      <c r="EM317" s="65"/>
      <c r="EN317" s="65">
        <v>0</v>
      </c>
      <c r="EO317" s="65"/>
      <c r="EP317" s="65"/>
      <c r="EQ317" s="65"/>
      <c r="ER317" s="65"/>
      <c r="ES317" s="65"/>
      <c r="ET317" s="68">
        <f t="shared" si="186"/>
        <v>0</v>
      </c>
      <c r="EU317" s="65"/>
      <c r="EV317" s="65"/>
      <c r="EW317" s="65"/>
      <c r="EX317" s="65"/>
      <c r="EY317" s="65"/>
      <c r="EZ317" s="68">
        <f t="shared" si="202"/>
        <v>0</v>
      </c>
      <c r="FA317" s="65"/>
      <c r="FB317" s="65"/>
      <c r="FC317" s="70">
        <f t="shared" si="201"/>
        <v>0</v>
      </c>
      <c r="FD317" s="65"/>
      <c r="FE317" s="71">
        <f t="shared" si="187"/>
        <v>0</v>
      </c>
      <c r="FF317" s="72">
        <f t="shared" si="188"/>
        <v>0</v>
      </c>
      <c r="FG317" s="65"/>
      <c r="FH317" s="65"/>
      <c r="FI317" s="65"/>
      <c r="FJ317" s="56">
        <f t="shared" si="189"/>
        <v>0</v>
      </c>
      <c r="FK317" s="65"/>
      <c r="FL317" s="65"/>
      <c r="FM317" s="65"/>
      <c r="FN317" s="65"/>
      <c r="FO317" s="67">
        <f t="shared" si="190"/>
        <v>0</v>
      </c>
      <c r="FP317" s="57"/>
      <c r="FQ317" s="73"/>
      <c r="FR317" s="73"/>
      <c r="FS317" s="71">
        <f t="shared" si="191"/>
        <v>0</v>
      </c>
      <c r="FT317" s="91"/>
      <c r="FU317" s="91"/>
      <c r="FV317" s="67">
        <f>SUM(Tableau1[[#This Row],[Droits d''auteurs SACEM + cotisations SACEM]:[Autres ou non préciés]])</f>
        <v>0</v>
      </c>
      <c r="FW317" s="75">
        <f t="shared" si="192"/>
        <v>0</v>
      </c>
      <c r="FX317" s="74">
        <v>0</v>
      </c>
      <c r="FY317" s="74"/>
      <c r="FZ317" s="74"/>
      <c r="GA317" s="74"/>
      <c r="GB317" s="71">
        <f t="shared" si="193"/>
        <v>0</v>
      </c>
      <c r="GC317" s="92"/>
      <c r="GD317" s="92"/>
      <c r="GE317" s="67">
        <f t="shared" si="194"/>
        <v>0</v>
      </c>
      <c r="GF317" s="66"/>
      <c r="GG317" s="66"/>
      <c r="GH317" s="66"/>
      <c r="GI317" s="66"/>
      <c r="GJ317" s="77"/>
    </row>
    <row r="318" spans="1:192" ht="18.600000000000001" customHeight="1" x14ac:dyDescent="0.25">
      <c r="A318" s="89"/>
      <c r="B318" s="17"/>
      <c r="C318" s="50"/>
      <c r="D318" s="140"/>
      <c r="E318" s="51"/>
      <c r="F318" s="139">
        <f t="shared" si="198"/>
        <v>1</v>
      </c>
      <c r="G318" s="49"/>
      <c r="H318" s="50"/>
      <c r="I318" s="122"/>
      <c r="J318" s="49"/>
      <c r="K318" s="50"/>
      <c r="L318" s="50"/>
      <c r="M318" s="90"/>
      <c r="N318" s="50"/>
      <c r="O318" s="50"/>
      <c r="P318" s="90"/>
      <c r="Q318" s="52">
        <f t="shared" si="164"/>
        <v>0</v>
      </c>
      <c r="R318" s="52">
        <f t="shared" si="165"/>
        <v>0</v>
      </c>
      <c r="S318" s="53">
        <f t="shared" si="166"/>
        <v>0</v>
      </c>
      <c r="T318" s="54">
        <f t="shared" si="167"/>
        <v>0</v>
      </c>
      <c r="U318" s="115">
        <f>SUM(Tableau1[[#This Row],[Vente confiserie]:[Vente boisson]])</f>
        <v>0</v>
      </c>
      <c r="V318" s="55"/>
      <c r="W318" s="55"/>
      <c r="X318" s="135">
        <f>SUM(Tableau1[[#This Row],[Vente lunette]:[Location lunette]])</f>
        <v>0</v>
      </c>
      <c r="Y318" s="55"/>
      <c r="Z318" s="55"/>
      <c r="AA318" s="55"/>
      <c r="AB318" s="55"/>
      <c r="AC318" s="56">
        <f t="shared" si="196"/>
        <v>0</v>
      </c>
      <c r="AD318" s="57"/>
      <c r="AE318" s="57"/>
      <c r="AF318" s="57"/>
      <c r="AG318" s="57"/>
      <c r="AH318" s="57"/>
      <c r="AI318" s="57"/>
      <c r="AJ318" s="118">
        <f>(Tableau1[[#This Row],[Recette guichet ]]*1.1275177)-Tableau1[[#This Row],[Recette guichet ]]</f>
        <v>0</v>
      </c>
      <c r="AK318" s="57"/>
      <c r="AL318" s="56">
        <f t="shared" si="197"/>
        <v>0</v>
      </c>
      <c r="AM318" s="58"/>
      <c r="AN318" s="58"/>
      <c r="AO318" s="58"/>
      <c r="AP318" s="115">
        <f t="shared" si="168"/>
        <v>0</v>
      </c>
      <c r="AQ318" s="69"/>
      <c r="AR318" s="69"/>
      <c r="AS318" s="69"/>
      <c r="AT318" s="69"/>
      <c r="AU318" s="59">
        <f t="shared" si="169"/>
        <v>0</v>
      </c>
      <c r="AV318" s="60">
        <f t="shared" si="170"/>
        <v>0</v>
      </c>
      <c r="AW318" s="58"/>
      <c r="AX318" s="58"/>
      <c r="AY318" s="58"/>
      <c r="AZ318" s="60">
        <f t="shared" si="199"/>
        <v>0</v>
      </c>
      <c r="BA318" s="58"/>
      <c r="BB318" s="58"/>
      <c r="BC318" s="58"/>
      <c r="BD318" s="60">
        <f>SUM(Tableau1[[#This Row],[ticket/carte/abonnement périmé]:[Autres ou non précisé 5]])</f>
        <v>0</v>
      </c>
      <c r="BE318" s="58"/>
      <c r="BF318" s="58"/>
      <c r="BG318" s="58"/>
      <c r="BH318" s="61">
        <f t="shared" si="171"/>
        <v>0</v>
      </c>
      <c r="BI318" s="120"/>
      <c r="BJ318" s="120"/>
      <c r="BK318" s="62">
        <f t="shared" si="172"/>
        <v>0</v>
      </c>
      <c r="BL318" s="120"/>
      <c r="BM318" s="120"/>
      <c r="BN318" s="120"/>
      <c r="BO318" s="120"/>
      <c r="BP318" s="120"/>
      <c r="BQ318" s="63"/>
      <c r="BR318" s="52">
        <f t="shared" si="173"/>
        <v>0</v>
      </c>
      <c r="BS318" s="52">
        <f t="shared" si="174"/>
        <v>0</v>
      </c>
      <c r="BT318" s="61">
        <f t="shared" si="175"/>
        <v>0</v>
      </c>
      <c r="BU318" s="64">
        <f t="shared" si="176"/>
        <v>0</v>
      </c>
      <c r="BV318" s="119">
        <f>SUM(Tableau1[[#This Row],[Achats confiserie]:[Achats boisson]])</f>
        <v>0</v>
      </c>
      <c r="BW318" s="58"/>
      <c r="BX318" s="69"/>
      <c r="BY318" s="58"/>
      <c r="BZ318" s="56">
        <f t="shared" si="177"/>
        <v>0</v>
      </c>
      <c r="CA318" s="66"/>
      <c r="CB318" s="66"/>
      <c r="CC318" s="56">
        <f t="shared" si="178"/>
        <v>0</v>
      </c>
      <c r="CD318" s="55"/>
      <c r="CE318" s="65"/>
      <c r="CF318" s="55"/>
      <c r="CG318" s="55"/>
      <c r="CH318" s="67">
        <f t="shared" si="179"/>
        <v>0</v>
      </c>
      <c r="CI318" s="68">
        <f t="shared" si="195"/>
        <v>0</v>
      </c>
      <c r="CJ318" s="55"/>
      <c r="CK318" s="55"/>
      <c r="CL318" s="55"/>
      <c r="CM318" s="55"/>
      <c r="CN318" s="55"/>
      <c r="CO318" s="68">
        <f t="shared" si="180"/>
        <v>0</v>
      </c>
      <c r="CP318" s="75">
        <f>SUM(Tableau1[[#This Row],[Fourniture eau]:[Energie (non précisé)]])</f>
        <v>0</v>
      </c>
      <c r="CQ318" s="55"/>
      <c r="CR318" s="55"/>
      <c r="CS318" s="55"/>
      <c r="CT318" s="55"/>
      <c r="CU318" s="55"/>
      <c r="CV318" s="55">
        <v>0</v>
      </c>
      <c r="CW318" s="55"/>
      <c r="CX318" s="68">
        <f>SUM(Tableau1[[#This Row],[Sous-traitance]:[Autres ou non précisé 12]])</f>
        <v>0</v>
      </c>
      <c r="CY318" s="65"/>
      <c r="CZ318" s="65"/>
      <c r="DA318" s="65"/>
      <c r="DB318" s="65"/>
      <c r="DC318" s="55"/>
      <c r="DD318" s="68">
        <f t="shared" si="200"/>
        <v>0</v>
      </c>
      <c r="DE318" s="55"/>
      <c r="DF318" s="65"/>
      <c r="DG318" s="65"/>
      <c r="DH318" s="65"/>
      <c r="DI318" s="68">
        <f>SUM(Tableau1[[#This Row],[Entretien et réparation matériel de projection]:[Autres ou non précisé 14]])</f>
        <v>0</v>
      </c>
      <c r="DJ318" s="58"/>
      <c r="DK318" s="58"/>
      <c r="DL318" s="69"/>
      <c r="DM318" s="68">
        <f t="shared" si="181"/>
        <v>0</v>
      </c>
      <c r="DN318" s="58"/>
      <c r="DO318" s="58"/>
      <c r="DP318" s="68">
        <f t="shared" si="182"/>
        <v>0</v>
      </c>
      <c r="DQ318" s="65"/>
      <c r="DR318" s="65"/>
      <c r="DS318" s="68">
        <f t="shared" si="183"/>
        <v>0</v>
      </c>
      <c r="DT318" s="65"/>
      <c r="DU318" s="65"/>
      <c r="DV318" s="65"/>
      <c r="DW318" s="68">
        <f>SUM(Tableau1[[#This Row],[Comission et courtage sur achats]:[Autres ou honoraires
 non précisé ]])</f>
        <v>0</v>
      </c>
      <c r="DX318" s="57"/>
      <c r="DY318" s="57"/>
      <c r="DZ318" s="65"/>
      <c r="EA318" s="65"/>
      <c r="EB318" s="65"/>
      <c r="EC318" s="68">
        <f t="shared" si="184"/>
        <v>0</v>
      </c>
      <c r="ED318" s="69"/>
      <c r="EE318" s="69"/>
      <c r="EF318" s="69"/>
      <c r="EG318" s="69"/>
      <c r="EH318" s="69"/>
      <c r="EI318" s="84">
        <f>SUM(Tableau1[[#This Row],[Transports sur films]:[autres ]])</f>
        <v>0</v>
      </c>
      <c r="EJ318" s="132">
        <v>0</v>
      </c>
      <c r="EK318" s="132"/>
      <c r="EL318" s="68">
        <f t="shared" si="185"/>
        <v>0</v>
      </c>
      <c r="EM318" s="65"/>
      <c r="EN318" s="65">
        <v>0</v>
      </c>
      <c r="EO318" s="65"/>
      <c r="EP318" s="65"/>
      <c r="EQ318" s="65"/>
      <c r="ER318" s="65"/>
      <c r="ES318" s="65"/>
      <c r="ET318" s="68">
        <f t="shared" si="186"/>
        <v>0</v>
      </c>
      <c r="EU318" s="65"/>
      <c r="EV318" s="65"/>
      <c r="EW318" s="65"/>
      <c r="EX318" s="65"/>
      <c r="EY318" s="65"/>
      <c r="EZ318" s="68">
        <f t="shared" si="202"/>
        <v>0</v>
      </c>
      <c r="FA318" s="65"/>
      <c r="FB318" s="65"/>
      <c r="FC318" s="70">
        <f t="shared" si="201"/>
        <v>0</v>
      </c>
      <c r="FD318" s="65"/>
      <c r="FE318" s="71">
        <f t="shared" si="187"/>
        <v>0</v>
      </c>
      <c r="FF318" s="72">
        <f t="shared" si="188"/>
        <v>0</v>
      </c>
      <c r="FG318" s="65"/>
      <c r="FH318" s="65"/>
      <c r="FI318" s="65"/>
      <c r="FJ318" s="56">
        <f t="shared" si="189"/>
        <v>0</v>
      </c>
      <c r="FK318" s="65"/>
      <c r="FL318" s="65"/>
      <c r="FM318" s="65"/>
      <c r="FN318" s="65"/>
      <c r="FO318" s="67">
        <f t="shared" si="190"/>
        <v>0</v>
      </c>
      <c r="FP318" s="57"/>
      <c r="FQ318" s="73"/>
      <c r="FR318" s="73"/>
      <c r="FS318" s="71">
        <f t="shared" si="191"/>
        <v>0</v>
      </c>
      <c r="FT318" s="91"/>
      <c r="FU318" s="91"/>
      <c r="FV318" s="67">
        <f>SUM(Tableau1[[#This Row],[Droits d''auteurs SACEM + cotisations SACEM]:[Autres ou non préciés]])</f>
        <v>0</v>
      </c>
      <c r="FW318" s="75">
        <f t="shared" si="192"/>
        <v>0</v>
      </c>
      <c r="FX318" s="74">
        <v>0</v>
      </c>
      <c r="FY318" s="74"/>
      <c r="FZ318" s="74"/>
      <c r="GA318" s="74"/>
      <c r="GB318" s="71">
        <f t="shared" si="193"/>
        <v>0</v>
      </c>
      <c r="GC318" s="92"/>
      <c r="GD318" s="92"/>
      <c r="GE318" s="67">
        <f t="shared" si="194"/>
        <v>0</v>
      </c>
      <c r="GF318" s="66"/>
      <c r="GG318" s="66"/>
      <c r="GH318" s="66"/>
      <c r="GI318" s="66"/>
      <c r="GJ318" s="77"/>
    </row>
    <row r="319" spans="1:192" ht="18.600000000000001" customHeight="1" x14ac:dyDescent="0.25">
      <c r="A319" s="89"/>
      <c r="B319" s="17"/>
      <c r="C319" s="50"/>
      <c r="D319" s="140"/>
      <c r="E319" s="51"/>
      <c r="F319" s="139">
        <f t="shared" si="198"/>
        <v>1</v>
      </c>
      <c r="G319" s="49"/>
      <c r="H319" s="50"/>
      <c r="I319" s="122"/>
      <c r="J319" s="49"/>
      <c r="K319" s="50"/>
      <c r="L319" s="50"/>
      <c r="M319" s="90"/>
      <c r="N319" s="50"/>
      <c r="O319" s="50"/>
      <c r="P319" s="90"/>
      <c r="Q319" s="52">
        <f t="shared" si="164"/>
        <v>0</v>
      </c>
      <c r="R319" s="52">
        <f t="shared" si="165"/>
        <v>0</v>
      </c>
      <c r="S319" s="53">
        <f t="shared" si="166"/>
        <v>0</v>
      </c>
      <c r="T319" s="54">
        <f t="shared" si="167"/>
        <v>0</v>
      </c>
      <c r="U319" s="115">
        <f>SUM(Tableau1[[#This Row],[Vente confiserie]:[Vente boisson]])</f>
        <v>0</v>
      </c>
      <c r="V319" s="55"/>
      <c r="W319" s="55"/>
      <c r="X319" s="135">
        <f>SUM(Tableau1[[#This Row],[Vente lunette]:[Location lunette]])</f>
        <v>0</v>
      </c>
      <c r="Y319" s="55"/>
      <c r="Z319" s="55"/>
      <c r="AA319" s="55"/>
      <c r="AB319" s="55"/>
      <c r="AC319" s="56">
        <f t="shared" si="196"/>
        <v>0</v>
      </c>
      <c r="AD319" s="57"/>
      <c r="AE319" s="57"/>
      <c r="AF319" s="57"/>
      <c r="AG319" s="57"/>
      <c r="AH319" s="57"/>
      <c r="AI319" s="57"/>
      <c r="AJ319" s="118">
        <f>(Tableau1[[#This Row],[Recette guichet ]]*1.1275177)-Tableau1[[#This Row],[Recette guichet ]]</f>
        <v>0</v>
      </c>
      <c r="AK319" s="57"/>
      <c r="AL319" s="56">
        <f t="shared" si="197"/>
        <v>0</v>
      </c>
      <c r="AM319" s="58"/>
      <c r="AN319" s="58"/>
      <c r="AO319" s="58"/>
      <c r="AP319" s="115">
        <f t="shared" si="168"/>
        <v>0</v>
      </c>
      <c r="AQ319" s="69"/>
      <c r="AR319" s="69"/>
      <c r="AS319" s="69"/>
      <c r="AT319" s="69"/>
      <c r="AU319" s="59">
        <f t="shared" si="169"/>
        <v>0</v>
      </c>
      <c r="AV319" s="60">
        <f t="shared" si="170"/>
        <v>0</v>
      </c>
      <c r="AW319" s="58"/>
      <c r="AX319" s="58"/>
      <c r="AY319" s="58"/>
      <c r="AZ319" s="60">
        <f t="shared" si="199"/>
        <v>0</v>
      </c>
      <c r="BA319" s="58"/>
      <c r="BB319" s="58"/>
      <c r="BC319" s="58"/>
      <c r="BD319" s="60">
        <f>SUM(Tableau1[[#This Row],[ticket/carte/abonnement périmé]:[Autres ou non précisé 5]])</f>
        <v>0</v>
      </c>
      <c r="BE319" s="58"/>
      <c r="BF319" s="58"/>
      <c r="BG319" s="58"/>
      <c r="BH319" s="61">
        <f t="shared" si="171"/>
        <v>0</v>
      </c>
      <c r="BI319" s="120"/>
      <c r="BJ319" s="120"/>
      <c r="BK319" s="62">
        <f t="shared" si="172"/>
        <v>0</v>
      </c>
      <c r="BL319" s="120"/>
      <c r="BM319" s="120"/>
      <c r="BN319" s="120"/>
      <c r="BO319" s="120"/>
      <c r="BP319" s="120"/>
      <c r="BQ319" s="63"/>
      <c r="BR319" s="52">
        <f t="shared" si="173"/>
        <v>0</v>
      </c>
      <c r="BS319" s="52">
        <f t="shared" si="174"/>
        <v>0</v>
      </c>
      <c r="BT319" s="61">
        <f t="shared" si="175"/>
        <v>0</v>
      </c>
      <c r="BU319" s="64">
        <f t="shared" si="176"/>
        <v>0</v>
      </c>
      <c r="BV319" s="119">
        <f>SUM(Tableau1[[#This Row],[Achats confiserie]:[Achats boisson]])</f>
        <v>0</v>
      </c>
      <c r="BW319" s="58"/>
      <c r="BX319" s="69"/>
      <c r="BY319" s="58"/>
      <c r="BZ319" s="56">
        <f t="shared" si="177"/>
        <v>0</v>
      </c>
      <c r="CA319" s="66"/>
      <c r="CB319" s="66"/>
      <c r="CC319" s="56">
        <f t="shared" si="178"/>
        <v>0</v>
      </c>
      <c r="CD319" s="55"/>
      <c r="CE319" s="65"/>
      <c r="CF319" s="55"/>
      <c r="CG319" s="55"/>
      <c r="CH319" s="67">
        <f t="shared" si="179"/>
        <v>0</v>
      </c>
      <c r="CI319" s="68">
        <f t="shared" si="195"/>
        <v>0</v>
      </c>
      <c r="CJ319" s="55"/>
      <c r="CK319" s="55"/>
      <c r="CL319" s="55"/>
      <c r="CM319" s="55"/>
      <c r="CN319" s="55"/>
      <c r="CO319" s="68">
        <f t="shared" si="180"/>
        <v>0</v>
      </c>
      <c r="CP319" s="75">
        <f>SUM(Tableau1[[#This Row],[Fourniture eau]:[Energie (non précisé)]])</f>
        <v>0</v>
      </c>
      <c r="CQ319" s="55"/>
      <c r="CR319" s="55"/>
      <c r="CS319" s="55"/>
      <c r="CT319" s="55"/>
      <c r="CU319" s="55"/>
      <c r="CV319" s="55">
        <v>0</v>
      </c>
      <c r="CW319" s="55"/>
      <c r="CX319" s="68">
        <f>SUM(Tableau1[[#This Row],[Sous-traitance]:[Autres ou non précisé 12]])</f>
        <v>0</v>
      </c>
      <c r="CY319" s="65"/>
      <c r="CZ319" s="65"/>
      <c r="DA319" s="65"/>
      <c r="DB319" s="65"/>
      <c r="DC319" s="55"/>
      <c r="DD319" s="68">
        <f t="shared" si="200"/>
        <v>0</v>
      </c>
      <c r="DE319" s="55"/>
      <c r="DF319" s="65"/>
      <c r="DG319" s="65"/>
      <c r="DH319" s="65"/>
      <c r="DI319" s="68">
        <f>SUM(Tableau1[[#This Row],[Entretien et réparation matériel de projection]:[Autres ou non précisé 14]])</f>
        <v>0</v>
      </c>
      <c r="DJ319" s="58"/>
      <c r="DK319" s="58"/>
      <c r="DL319" s="69"/>
      <c r="DM319" s="68">
        <f t="shared" si="181"/>
        <v>0</v>
      </c>
      <c r="DN319" s="58"/>
      <c r="DO319" s="58"/>
      <c r="DP319" s="68">
        <f t="shared" si="182"/>
        <v>0</v>
      </c>
      <c r="DQ319" s="65"/>
      <c r="DR319" s="65"/>
      <c r="DS319" s="68">
        <f t="shared" si="183"/>
        <v>0</v>
      </c>
      <c r="DT319" s="65"/>
      <c r="DU319" s="65"/>
      <c r="DV319" s="65"/>
      <c r="DW319" s="68">
        <f>SUM(Tableau1[[#This Row],[Comission et courtage sur achats]:[Autres ou honoraires
 non précisé ]])</f>
        <v>0</v>
      </c>
      <c r="DX319" s="57"/>
      <c r="DY319" s="57"/>
      <c r="DZ319" s="65"/>
      <c r="EA319" s="65"/>
      <c r="EB319" s="65"/>
      <c r="EC319" s="68">
        <f t="shared" si="184"/>
        <v>0</v>
      </c>
      <c r="ED319" s="69"/>
      <c r="EE319" s="69"/>
      <c r="EF319" s="69"/>
      <c r="EG319" s="69"/>
      <c r="EH319" s="69"/>
      <c r="EI319" s="84">
        <f>SUM(Tableau1[[#This Row],[Transports sur films]:[autres ]])</f>
        <v>0</v>
      </c>
      <c r="EJ319" s="132">
        <v>0</v>
      </c>
      <c r="EK319" s="132"/>
      <c r="EL319" s="68">
        <f t="shared" si="185"/>
        <v>0</v>
      </c>
      <c r="EM319" s="65"/>
      <c r="EN319" s="65">
        <v>0</v>
      </c>
      <c r="EO319" s="65"/>
      <c r="EP319" s="65"/>
      <c r="EQ319" s="65"/>
      <c r="ER319" s="65"/>
      <c r="ES319" s="65"/>
      <c r="ET319" s="68">
        <f t="shared" si="186"/>
        <v>0</v>
      </c>
      <c r="EU319" s="65"/>
      <c r="EV319" s="65"/>
      <c r="EW319" s="65"/>
      <c r="EX319" s="65"/>
      <c r="EY319" s="65"/>
      <c r="EZ319" s="68">
        <f t="shared" si="202"/>
        <v>0</v>
      </c>
      <c r="FA319" s="65"/>
      <c r="FB319" s="65"/>
      <c r="FC319" s="70">
        <f t="shared" si="201"/>
        <v>0</v>
      </c>
      <c r="FD319" s="65"/>
      <c r="FE319" s="71">
        <f t="shared" si="187"/>
        <v>0</v>
      </c>
      <c r="FF319" s="72">
        <f t="shared" si="188"/>
        <v>0</v>
      </c>
      <c r="FG319" s="65"/>
      <c r="FH319" s="65"/>
      <c r="FI319" s="65"/>
      <c r="FJ319" s="56">
        <f t="shared" si="189"/>
        <v>0</v>
      </c>
      <c r="FK319" s="65"/>
      <c r="FL319" s="65"/>
      <c r="FM319" s="65"/>
      <c r="FN319" s="65"/>
      <c r="FO319" s="67">
        <f t="shared" si="190"/>
        <v>0</v>
      </c>
      <c r="FP319" s="57"/>
      <c r="FQ319" s="73"/>
      <c r="FR319" s="73"/>
      <c r="FS319" s="71">
        <f t="shared" si="191"/>
        <v>0</v>
      </c>
      <c r="FT319" s="91"/>
      <c r="FU319" s="91"/>
      <c r="FV319" s="67">
        <f>SUM(Tableau1[[#This Row],[Droits d''auteurs SACEM + cotisations SACEM]:[Autres ou non préciés]])</f>
        <v>0</v>
      </c>
      <c r="FW319" s="75">
        <f t="shared" si="192"/>
        <v>0</v>
      </c>
      <c r="FX319" s="74">
        <v>0</v>
      </c>
      <c r="FY319" s="74"/>
      <c r="FZ319" s="74"/>
      <c r="GA319" s="74"/>
      <c r="GB319" s="71">
        <f t="shared" si="193"/>
        <v>0</v>
      </c>
      <c r="GC319" s="92"/>
      <c r="GD319" s="92"/>
      <c r="GE319" s="67">
        <f t="shared" si="194"/>
        <v>0</v>
      </c>
      <c r="GF319" s="66"/>
      <c r="GG319" s="66"/>
      <c r="GH319" s="66"/>
      <c r="GI319" s="66"/>
      <c r="GJ319" s="77"/>
    </row>
    <row r="320" spans="1:192" ht="18.600000000000001" customHeight="1" x14ac:dyDescent="0.25">
      <c r="A320" s="89"/>
      <c r="B320" s="17"/>
      <c r="C320" s="50"/>
      <c r="D320" s="140"/>
      <c r="E320" s="51"/>
      <c r="F320" s="139">
        <f t="shared" si="198"/>
        <v>1</v>
      </c>
      <c r="G320" s="49"/>
      <c r="H320" s="50"/>
      <c r="I320" s="122"/>
      <c r="J320" s="49"/>
      <c r="K320" s="50"/>
      <c r="L320" s="50"/>
      <c r="M320" s="90"/>
      <c r="N320" s="50"/>
      <c r="O320" s="50"/>
      <c r="P320" s="90"/>
      <c r="Q320" s="52">
        <f t="shared" si="164"/>
        <v>0</v>
      </c>
      <c r="R320" s="52">
        <f t="shared" si="165"/>
        <v>0</v>
      </c>
      <c r="S320" s="53">
        <f t="shared" si="166"/>
        <v>0</v>
      </c>
      <c r="T320" s="54">
        <f t="shared" si="167"/>
        <v>0</v>
      </c>
      <c r="U320" s="115">
        <f>SUM(Tableau1[[#This Row],[Vente confiserie]:[Vente boisson]])</f>
        <v>0</v>
      </c>
      <c r="V320" s="55"/>
      <c r="W320" s="55"/>
      <c r="X320" s="135">
        <f>SUM(Tableau1[[#This Row],[Vente lunette]:[Location lunette]])</f>
        <v>0</v>
      </c>
      <c r="Y320" s="55"/>
      <c r="Z320" s="55"/>
      <c r="AA320" s="55"/>
      <c r="AB320" s="55"/>
      <c r="AC320" s="56">
        <f t="shared" si="196"/>
        <v>0</v>
      </c>
      <c r="AD320" s="57"/>
      <c r="AE320" s="57"/>
      <c r="AF320" s="57"/>
      <c r="AG320" s="57"/>
      <c r="AH320" s="57"/>
      <c r="AI320" s="57"/>
      <c r="AJ320" s="118">
        <f>(Tableau1[[#This Row],[Recette guichet ]]*1.1275177)-Tableau1[[#This Row],[Recette guichet ]]</f>
        <v>0</v>
      </c>
      <c r="AK320" s="57"/>
      <c r="AL320" s="56">
        <f t="shared" si="197"/>
        <v>0</v>
      </c>
      <c r="AM320" s="58"/>
      <c r="AN320" s="58"/>
      <c r="AO320" s="58"/>
      <c r="AP320" s="115">
        <f t="shared" si="168"/>
        <v>0</v>
      </c>
      <c r="AQ320" s="69"/>
      <c r="AR320" s="69"/>
      <c r="AS320" s="69"/>
      <c r="AT320" s="69"/>
      <c r="AU320" s="59">
        <f t="shared" si="169"/>
        <v>0</v>
      </c>
      <c r="AV320" s="60">
        <f t="shared" si="170"/>
        <v>0</v>
      </c>
      <c r="AW320" s="58"/>
      <c r="AX320" s="58"/>
      <c r="AY320" s="58"/>
      <c r="AZ320" s="60">
        <f t="shared" si="199"/>
        <v>0</v>
      </c>
      <c r="BA320" s="58"/>
      <c r="BB320" s="58"/>
      <c r="BC320" s="58"/>
      <c r="BD320" s="60">
        <f>SUM(Tableau1[[#This Row],[ticket/carte/abonnement périmé]:[Autres ou non précisé 5]])</f>
        <v>0</v>
      </c>
      <c r="BE320" s="58"/>
      <c r="BF320" s="58"/>
      <c r="BG320" s="58"/>
      <c r="BH320" s="61">
        <f t="shared" si="171"/>
        <v>0</v>
      </c>
      <c r="BI320" s="120"/>
      <c r="BJ320" s="120"/>
      <c r="BK320" s="62">
        <f t="shared" si="172"/>
        <v>0</v>
      </c>
      <c r="BL320" s="120"/>
      <c r="BM320" s="120"/>
      <c r="BN320" s="120"/>
      <c r="BO320" s="120"/>
      <c r="BP320" s="120"/>
      <c r="BQ320" s="63"/>
      <c r="BR320" s="52">
        <f t="shared" si="173"/>
        <v>0</v>
      </c>
      <c r="BS320" s="52">
        <f t="shared" si="174"/>
        <v>0</v>
      </c>
      <c r="BT320" s="61">
        <f t="shared" si="175"/>
        <v>0</v>
      </c>
      <c r="BU320" s="64">
        <f t="shared" si="176"/>
        <v>0</v>
      </c>
      <c r="BV320" s="119">
        <f>SUM(Tableau1[[#This Row],[Achats confiserie]:[Achats boisson]])</f>
        <v>0</v>
      </c>
      <c r="BW320" s="58"/>
      <c r="BX320" s="69"/>
      <c r="BY320" s="58"/>
      <c r="BZ320" s="56">
        <f t="shared" si="177"/>
        <v>0</v>
      </c>
      <c r="CA320" s="66"/>
      <c r="CB320" s="66"/>
      <c r="CC320" s="56">
        <f t="shared" si="178"/>
        <v>0</v>
      </c>
      <c r="CD320" s="55"/>
      <c r="CE320" s="65"/>
      <c r="CF320" s="55"/>
      <c r="CG320" s="55"/>
      <c r="CH320" s="67">
        <f t="shared" si="179"/>
        <v>0</v>
      </c>
      <c r="CI320" s="68">
        <f t="shared" si="195"/>
        <v>0</v>
      </c>
      <c r="CJ320" s="55"/>
      <c r="CK320" s="55"/>
      <c r="CL320" s="55"/>
      <c r="CM320" s="55"/>
      <c r="CN320" s="55"/>
      <c r="CO320" s="68">
        <f t="shared" si="180"/>
        <v>0</v>
      </c>
      <c r="CP320" s="75">
        <f>SUM(Tableau1[[#This Row],[Fourniture eau]:[Energie (non précisé)]])</f>
        <v>0</v>
      </c>
      <c r="CQ320" s="55"/>
      <c r="CR320" s="55"/>
      <c r="CS320" s="55"/>
      <c r="CT320" s="55"/>
      <c r="CU320" s="55"/>
      <c r="CV320" s="55">
        <v>0</v>
      </c>
      <c r="CW320" s="55"/>
      <c r="CX320" s="68">
        <f>SUM(Tableau1[[#This Row],[Sous-traitance]:[Autres ou non précisé 12]])</f>
        <v>0</v>
      </c>
      <c r="CY320" s="65"/>
      <c r="CZ320" s="65"/>
      <c r="DA320" s="65"/>
      <c r="DB320" s="65"/>
      <c r="DC320" s="55"/>
      <c r="DD320" s="68">
        <f t="shared" si="200"/>
        <v>0</v>
      </c>
      <c r="DE320" s="55"/>
      <c r="DF320" s="65"/>
      <c r="DG320" s="65"/>
      <c r="DH320" s="65"/>
      <c r="DI320" s="68">
        <f>SUM(Tableau1[[#This Row],[Entretien et réparation matériel de projection]:[Autres ou non précisé 14]])</f>
        <v>0</v>
      </c>
      <c r="DJ320" s="58"/>
      <c r="DK320" s="58"/>
      <c r="DL320" s="69"/>
      <c r="DM320" s="68">
        <f t="shared" si="181"/>
        <v>0</v>
      </c>
      <c r="DN320" s="58"/>
      <c r="DO320" s="58"/>
      <c r="DP320" s="68">
        <f t="shared" si="182"/>
        <v>0</v>
      </c>
      <c r="DQ320" s="65"/>
      <c r="DR320" s="65"/>
      <c r="DS320" s="68">
        <f t="shared" si="183"/>
        <v>0</v>
      </c>
      <c r="DT320" s="65"/>
      <c r="DU320" s="65"/>
      <c r="DV320" s="65"/>
      <c r="DW320" s="68">
        <f>SUM(Tableau1[[#This Row],[Comission et courtage sur achats]:[Autres ou honoraires
 non précisé ]])</f>
        <v>0</v>
      </c>
      <c r="DX320" s="57"/>
      <c r="DY320" s="57"/>
      <c r="DZ320" s="65"/>
      <c r="EA320" s="65"/>
      <c r="EB320" s="65"/>
      <c r="EC320" s="68">
        <f t="shared" si="184"/>
        <v>0</v>
      </c>
      <c r="ED320" s="69"/>
      <c r="EE320" s="69"/>
      <c r="EF320" s="69"/>
      <c r="EG320" s="69"/>
      <c r="EH320" s="69"/>
      <c r="EI320" s="84">
        <f>SUM(Tableau1[[#This Row],[Transports sur films]:[autres ]])</f>
        <v>0</v>
      </c>
      <c r="EJ320" s="132">
        <v>0</v>
      </c>
      <c r="EK320" s="132"/>
      <c r="EL320" s="68">
        <f t="shared" si="185"/>
        <v>0</v>
      </c>
      <c r="EM320" s="65"/>
      <c r="EN320" s="65">
        <v>0</v>
      </c>
      <c r="EO320" s="65"/>
      <c r="EP320" s="65"/>
      <c r="EQ320" s="65"/>
      <c r="ER320" s="65"/>
      <c r="ES320" s="65"/>
      <c r="ET320" s="68">
        <f t="shared" si="186"/>
        <v>0</v>
      </c>
      <c r="EU320" s="65"/>
      <c r="EV320" s="65"/>
      <c r="EW320" s="65"/>
      <c r="EX320" s="65"/>
      <c r="EY320" s="65"/>
      <c r="EZ320" s="68">
        <f t="shared" si="202"/>
        <v>0</v>
      </c>
      <c r="FA320" s="65"/>
      <c r="FB320" s="65"/>
      <c r="FC320" s="70">
        <f t="shared" si="201"/>
        <v>0</v>
      </c>
      <c r="FD320" s="65"/>
      <c r="FE320" s="71">
        <f t="shared" si="187"/>
        <v>0</v>
      </c>
      <c r="FF320" s="72">
        <f t="shared" si="188"/>
        <v>0</v>
      </c>
      <c r="FG320" s="65"/>
      <c r="FH320" s="65"/>
      <c r="FI320" s="65"/>
      <c r="FJ320" s="56">
        <f t="shared" si="189"/>
        <v>0</v>
      </c>
      <c r="FK320" s="65"/>
      <c r="FL320" s="65"/>
      <c r="FM320" s="65"/>
      <c r="FN320" s="65"/>
      <c r="FO320" s="67">
        <f t="shared" si="190"/>
        <v>0</v>
      </c>
      <c r="FP320" s="57"/>
      <c r="FQ320" s="73"/>
      <c r="FR320" s="73"/>
      <c r="FS320" s="71">
        <f t="shared" si="191"/>
        <v>0</v>
      </c>
      <c r="FT320" s="91"/>
      <c r="FU320" s="91"/>
      <c r="FV320" s="67">
        <f>SUM(Tableau1[[#This Row],[Droits d''auteurs SACEM + cotisations SACEM]:[Autres ou non préciés]])</f>
        <v>0</v>
      </c>
      <c r="FW320" s="75">
        <f t="shared" si="192"/>
        <v>0</v>
      </c>
      <c r="FX320" s="74">
        <v>0</v>
      </c>
      <c r="FY320" s="74"/>
      <c r="FZ320" s="74"/>
      <c r="GA320" s="74"/>
      <c r="GB320" s="71">
        <f t="shared" si="193"/>
        <v>0</v>
      </c>
      <c r="GC320" s="92"/>
      <c r="GD320" s="92"/>
      <c r="GE320" s="67">
        <f t="shared" si="194"/>
        <v>0</v>
      </c>
      <c r="GF320" s="66"/>
      <c r="GG320" s="66"/>
      <c r="GH320" s="66"/>
      <c r="GI320" s="66"/>
      <c r="GJ320" s="77"/>
    </row>
    <row r="321" spans="1:192" ht="18.600000000000001" customHeight="1" x14ac:dyDescent="0.25">
      <c r="A321" s="89"/>
      <c r="B321" s="17"/>
      <c r="C321" s="50"/>
      <c r="D321" s="140"/>
      <c r="E321" s="51"/>
      <c r="F321" s="139">
        <f t="shared" si="198"/>
        <v>1</v>
      </c>
      <c r="G321" s="49"/>
      <c r="H321" s="50"/>
      <c r="I321" s="122"/>
      <c r="J321" s="49"/>
      <c r="K321" s="50"/>
      <c r="L321" s="50"/>
      <c r="M321" s="90"/>
      <c r="N321" s="50"/>
      <c r="O321" s="50"/>
      <c r="P321" s="90"/>
      <c r="Q321" s="52">
        <f t="shared" si="164"/>
        <v>0</v>
      </c>
      <c r="R321" s="52">
        <f t="shared" si="165"/>
        <v>0</v>
      </c>
      <c r="S321" s="53">
        <f t="shared" si="166"/>
        <v>0</v>
      </c>
      <c r="T321" s="54">
        <f t="shared" si="167"/>
        <v>0</v>
      </c>
      <c r="U321" s="115">
        <f>SUM(Tableau1[[#This Row],[Vente confiserie]:[Vente boisson]])</f>
        <v>0</v>
      </c>
      <c r="V321" s="55"/>
      <c r="W321" s="55"/>
      <c r="X321" s="135">
        <f>SUM(Tableau1[[#This Row],[Vente lunette]:[Location lunette]])</f>
        <v>0</v>
      </c>
      <c r="Y321" s="55"/>
      <c r="Z321" s="55"/>
      <c r="AA321" s="55"/>
      <c r="AB321" s="55"/>
      <c r="AC321" s="56">
        <f t="shared" si="196"/>
        <v>0</v>
      </c>
      <c r="AD321" s="57"/>
      <c r="AE321" s="57"/>
      <c r="AF321" s="57"/>
      <c r="AG321" s="57"/>
      <c r="AH321" s="57"/>
      <c r="AI321" s="57"/>
      <c r="AJ321" s="118">
        <f>(Tableau1[[#This Row],[Recette guichet ]]*1.1275177)-Tableau1[[#This Row],[Recette guichet ]]</f>
        <v>0</v>
      </c>
      <c r="AK321" s="57"/>
      <c r="AL321" s="56">
        <f t="shared" si="197"/>
        <v>0</v>
      </c>
      <c r="AM321" s="58"/>
      <c r="AN321" s="58"/>
      <c r="AO321" s="58"/>
      <c r="AP321" s="115">
        <f t="shared" si="168"/>
        <v>0</v>
      </c>
      <c r="AQ321" s="69"/>
      <c r="AR321" s="69"/>
      <c r="AS321" s="69"/>
      <c r="AT321" s="69"/>
      <c r="AU321" s="59">
        <f t="shared" si="169"/>
        <v>0</v>
      </c>
      <c r="AV321" s="60">
        <f t="shared" si="170"/>
        <v>0</v>
      </c>
      <c r="AW321" s="58"/>
      <c r="AX321" s="58"/>
      <c r="AY321" s="58"/>
      <c r="AZ321" s="60">
        <f t="shared" si="199"/>
        <v>0</v>
      </c>
      <c r="BA321" s="58"/>
      <c r="BB321" s="58"/>
      <c r="BC321" s="58"/>
      <c r="BD321" s="60">
        <f>SUM(Tableau1[[#This Row],[ticket/carte/abonnement périmé]:[Autres ou non précisé 5]])</f>
        <v>0</v>
      </c>
      <c r="BE321" s="58"/>
      <c r="BF321" s="58"/>
      <c r="BG321" s="58"/>
      <c r="BH321" s="61">
        <f t="shared" si="171"/>
        <v>0</v>
      </c>
      <c r="BI321" s="120"/>
      <c r="BJ321" s="120"/>
      <c r="BK321" s="62">
        <f t="shared" si="172"/>
        <v>0</v>
      </c>
      <c r="BL321" s="120"/>
      <c r="BM321" s="120"/>
      <c r="BN321" s="120"/>
      <c r="BO321" s="120"/>
      <c r="BP321" s="120"/>
      <c r="BQ321" s="63"/>
      <c r="BR321" s="52">
        <f t="shared" si="173"/>
        <v>0</v>
      </c>
      <c r="BS321" s="52">
        <f t="shared" si="174"/>
        <v>0</v>
      </c>
      <c r="BT321" s="61">
        <f t="shared" si="175"/>
        <v>0</v>
      </c>
      <c r="BU321" s="64">
        <f t="shared" si="176"/>
        <v>0</v>
      </c>
      <c r="BV321" s="119">
        <f>SUM(Tableau1[[#This Row],[Achats confiserie]:[Achats boisson]])</f>
        <v>0</v>
      </c>
      <c r="BW321" s="58"/>
      <c r="BX321" s="69"/>
      <c r="BY321" s="58"/>
      <c r="BZ321" s="56">
        <f t="shared" si="177"/>
        <v>0</v>
      </c>
      <c r="CA321" s="66"/>
      <c r="CB321" s="66"/>
      <c r="CC321" s="56">
        <f t="shared" si="178"/>
        <v>0</v>
      </c>
      <c r="CD321" s="55"/>
      <c r="CE321" s="65"/>
      <c r="CF321" s="55"/>
      <c r="CG321" s="55"/>
      <c r="CH321" s="67">
        <f t="shared" si="179"/>
        <v>0</v>
      </c>
      <c r="CI321" s="68">
        <f t="shared" si="195"/>
        <v>0</v>
      </c>
      <c r="CJ321" s="55"/>
      <c r="CK321" s="55"/>
      <c r="CL321" s="55"/>
      <c r="CM321" s="55"/>
      <c r="CN321" s="55"/>
      <c r="CO321" s="68">
        <f t="shared" si="180"/>
        <v>0</v>
      </c>
      <c r="CP321" s="75">
        <f>SUM(Tableau1[[#This Row],[Fourniture eau]:[Energie (non précisé)]])</f>
        <v>0</v>
      </c>
      <c r="CQ321" s="55"/>
      <c r="CR321" s="55"/>
      <c r="CS321" s="55"/>
      <c r="CT321" s="55"/>
      <c r="CU321" s="55"/>
      <c r="CV321" s="55">
        <v>0</v>
      </c>
      <c r="CW321" s="55"/>
      <c r="CX321" s="68">
        <f>SUM(Tableau1[[#This Row],[Sous-traitance]:[Autres ou non précisé 12]])</f>
        <v>0</v>
      </c>
      <c r="CY321" s="65"/>
      <c r="CZ321" s="65"/>
      <c r="DA321" s="65"/>
      <c r="DB321" s="65"/>
      <c r="DC321" s="55"/>
      <c r="DD321" s="68">
        <f t="shared" si="200"/>
        <v>0</v>
      </c>
      <c r="DE321" s="55"/>
      <c r="DF321" s="65"/>
      <c r="DG321" s="65"/>
      <c r="DH321" s="65"/>
      <c r="DI321" s="68">
        <f>SUM(Tableau1[[#This Row],[Entretien et réparation matériel de projection]:[Autres ou non précisé 14]])</f>
        <v>0</v>
      </c>
      <c r="DJ321" s="58"/>
      <c r="DK321" s="58"/>
      <c r="DL321" s="69"/>
      <c r="DM321" s="68">
        <f t="shared" si="181"/>
        <v>0</v>
      </c>
      <c r="DN321" s="58"/>
      <c r="DO321" s="58"/>
      <c r="DP321" s="68">
        <f t="shared" si="182"/>
        <v>0</v>
      </c>
      <c r="DQ321" s="65"/>
      <c r="DR321" s="65"/>
      <c r="DS321" s="68">
        <f t="shared" si="183"/>
        <v>0</v>
      </c>
      <c r="DT321" s="65"/>
      <c r="DU321" s="65"/>
      <c r="DV321" s="65"/>
      <c r="DW321" s="68">
        <f>SUM(Tableau1[[#This Row],[Comission et courtage sur achats]:[Autres ou honoraires
 non précisé ]])</f>
        <v>0</v>
      </c>
      <c r="DX321" s="57"/>
      <c r="DY321" s="57"/>
      <c r="DZ321" s="65"/>
      <c r="EA321" s="65"/>
      <c r="EB321" s="65"/>
      <c r="EC321" s="68">
        <f t="shared" si="184"/>
        <v>0</v>
      </c>
      <c r="ED321" s="69"/>
      <c r="EE321" s="69"/>
      <c r="EF321" s="69"/>
      <c r="EG321" s="69"/>
      <c r="EH321" s="69"/>
      <c r="EI321" s="84">
        <f>SUM(Tableau1[[#This Row],[Transports sur films]:[autres ]])</f>
        <v>0</v>
      </c>
      <c r="EJ321" s="132">
        <v>0</v>
      </c>
      <c r="EK321" s="132"/>
      <c r="EL321" s="68">
        <f t="shared" si="185"/>
        <v>0</v>
      </c>
      <c r="EM321" s="65"/>
      <c r="EN321" s="65">
        <v>0</v>
      </c>
      <c r="EO321" s="65"/>
      <c r="EP321" s="65"/>
      <c r="EQ321" s="65"/>
      <c r="ER321" s="65"/>
      <c r="ES321" s="65"/>
      <c r="ET321" s="68">
        <f t="shared" si="186"/>
        <v>0</v>
      </c>
      <c r="EU321" s="65"/>
      <c r="EV321" s="65"/>
      <c r="EW321" s="65"/>
      <c r="EX321" s="65"/>
      <c r="EY321" s="65"/>
      <c r="EZ321" s="68">
        <f t="shared" si="202"/>
        <v>0</v>
      </c>
      <c r="FA321" s="65"/>
      <c r="FB321" s="65"/>
      <c r="FC321" s="70">
        <f t="shared" si="201"/>
        <v>0</v>
      </c>
      <c r="FD321" s="65"/>
      <c r="FE321" s="71">
        <f t="shared" si="187"/>
        <v>0</v>
      </c>
      <c r="FF321" s="72">
        <f t="shared" si="188"/>
        <v>0</v>
      </c>
      <c r="FG321" s="65"/>
      <c r="FH321" s="65"/>
      <c r="FI321" s="65"/>
      <c r="FJ321" s="56">
        <f t="shared" si="189"/>
        <v>0</v>
      </c>
      <c r="FK321" s="65"/>
      <c r="FL321" s="65"/>
      <c r="FM321" s="65"/>
      <c r="FN321" s="65"/>
      <c r="FO321" s="67">
        <f t="shared" si="190"/>
        <v>0</v>
      </c>
      <c r="FP321" s="57"/>
      <c r="FQ321" s="73"/>
      <c r="FR321" s="73"/>
      <c r="FS321" s="71">
        <f t="shared" si="191"/>
        <v>0</v>
      </c>
      <c r="FT321" s="91"/>
      <c r="FU321" s="91"/>
      <c r="FV321" s="67">
        <f>SUM(Tableau1[[#This Row],[Droits d''auteurs SACEM + cotisations SACEM]:[Autres ou non préciés]])</f>
        <v>0</v>
      </c>
      <c r="FW321" s="75">
        <f t="shared" si="192"/>
        <v>0</v>
      </c>
      <c r="FX321" s="74">
        <v>0</v>
      </c>
      <c r="FY321" s="74"/>
      <c r="FZ321" s="74"/>
      <c r="GA321" s="74"/>
      <c r="GB321" s="71">
        <f t="shared" si="193"/>
        <v>0</v>
      </c>
      <c r="GC321" s="92"/>
      <c r="GD321" s="92"/>
      <c r="GE321" s="67">
        <f t="shared" si="194"/>
        <v>0</v>
      </c>
      <c r="GF321" s="66"/>
      <c r="GG321" s="66"/>
      <c r="GH321" s="66"/>
      <c r="GI321" s="66"/>
      <c r="GJ321" s="77"/>
    </row>
    <row r="322" spans="1:192" ht="18.600000000000001" customHeight="1" x14ac:dyDescent="0.25">
      <c r="A322" s="89"/>
      <c r="B322" s="17"/>
      <c r="C322" s="50"/>
      <c r="D322" s="140"/>
      <c r="E322" s="51"/>
      <c r="F322" s="139">
        <f t="shared" si="198"/>
        <v>1</v>
      </c>
      <c r="G322" s="49"/>
      <c r="H322" s="50"/>
      <c r="I322" s="122"/>
      <c r="J322" s="49"/>
      <c r="K322" s="50"/>
      <c r="L322" s="50"/>
      <c r="M322" s="90"/>
      <c r="N322" s="50"/>
      <c r="O322" s="50"/>
      <c r="P322" s="90"/>
      <c r="Q322" s="52">
        <f t="shared" si="164"/>
        <v>0</v>
      </c>
      <c r="R322" s="52">
        <f t="shared" si="165"/>
        <v>0</v>
      </c>
      <c r="S322" s="53">
        <f t="shared" si="166"/>
        <v>0</v>
      </c>
      <c r="T322" s="54">
        <f t="shared" si="167"/>
        <v>0</v>
      </c>
      <c r="U322" s="115">
        <f>SUM(Tableau1[[#This Row],[Vente confiserie]:[Vente boisson]])</f>
        <v>0</v>
      </c>
      <c r="V322" s="55"/>
      <c r="W322" s="55"/>
      <c r="X322" s="135">
        <f>SUM(Tableau1[[#This Row],[Vente lunette]:[Location lunette]])</f>
        <v>0</v>
      </c>
      <c r="Y322" s="55"/>
      <c r="Z322" s="55"/>
      <c r="AA322" s="55"/>
      <c r="AB322" s="55"/>
      <c r="AC322" s="56">
        <f t="shared" si="196"/>
        <v>0</v>
      </c>
      <c r="AD322" s="57"/>
      <c r="AE322" s="57"/>
      <c r="AF322" s="57"/>
      <c r="AG322" s="57"/>
      <c r="AH322" s="57"/>
      <c r="AI322" s="57"/>
      <c r="AJ322" s="118">
        <f>(Tableau1[[#This Row],[Recette guichet ]]*1.1275177)-Tableau1[[#This Row],[Recette guichet ]]</f>
        <v>0</v>
      </c>
      <c r="AK322" s="57"/>
      <c r="AL322" s="56">
        <f t="shared" si="197"/>
        <v>0</v>
      </c>
      <c r="AM322" s="58"/>
      <c r="AN322" s="58"/>
      <c r="AO322" s="58"/>
      <c r="AP322" s="115">
        <f t="shared" si="168"/>
        <v>0</v>
      </c>
      <c r="AQ322" s="69"/>
      <c r="AR322" s="69"/>
      <c r="AS322" s="69"/>
      <c r="AT322" s="69"/>
      <c r="AU322" s="59">
        <f t="shared" si="169"/>
        <v>0</v>
      </c>
      <c r="AV322" s="60">
        <f t="shared" si="170"/>
        <v>0</v>
      </c>
      <c r="AW322" s="58"/>
      <c r="AX322" s="58"/>
      <c r="AY322" s="58"/>
      <c r="AZ322" s="60">
        <f t="shared" si="199"/>
        <v>0</v>
      </c>
      <c r="BA322" s="58"/>
      <c r="BB322" s="58"/>
      <c r="BC322" s="58"/>
      <c r="BD322" s="60">
        <f>SUM(Tableau1[[#This Row],[ticket/carte/abonnement périmé]:[Autres ou non précisé 5]])</f>
        <v>0</v>
      </c>
      <c r="BE322" s="58"/>
      <c r="BF322" s="58"/>
      <c r="BG322" s="58"/>
      <c r="BH322" s="61">
        <f t="shared" si="171"/>
        <v>0</v>
      </c>
      <c r="BI322" s="120"/>
      <c r="BJ322" s="120"/>
      <c r="BK322" s="62">
        <f t="shared" si="172"/>
        <v>0</v>
      </c>
      <c r="BL322" s="120"/>
      <c r="BM322" s="120"/>
      <c r="BN322" s="120"/>
      <c r="BO322" s="120"/>
      <c r="BP322" s="120"/>
      <c r="BQ322" s="63"/>
      <c r="BR322" s="52">
        <f t="shared" si="173"/>
        <v>0</v>
      </c>
      <c r="BS322" s="52">
        <f t="shared" si="174"/>
        <v>0</v>
      </c>
      <c r="BT322" s="61">
        <f t="shared" si="175"/>
        <v>0</v>
      </c>
      <c r="BU322" s="64">
        <f t="shared" si="176"/>
        <v>0</v>
      </c>
      <c r="BV322" s="119">
        <f>SUM(Tableau1[[#This Row],[Achats confiserie]:[Achats boisson]])</f>
        <v>0</v>
      </c>
      <c r="BW322" s="58"/>
      <c r="BX322" s="69"/>
      <c r="BY322" s="58"/>
      <c r="BZ322" s="56">
        <f t="shared" si="177"/>
        <v>0</v>
      </c>
      <c r="CA322" s="66"/>
      <c r="CB322" s="66"/>
      <c r="CC322" s="56">
        <f t="shared" si="178"/>
        <v>0</v>
      </c>
      <c r="CD322" s="55"/>
      <c r="CE322" s="65"/>
      <c r="CF322" s="55"/>
      <c r="CG322" s="55"/>
      <c r="CH322" s="67">
        <f t="shared" si="179"/>
        <v>0</v>
      </c>
      <c r="CI322" s="68">
        <f t="shared" si="195"/>
        <v>0</v>
      </c>
      <c r="CJ322" s="55"/>
      <c r="CK322" s="55"/>
      <c r="CL322" s="55"/>
      <c r="CM322" s="55"/>
      <c r="CN322" s="55"/>
      <c r="CO322" s="68">
        <f t="shared" si="180"/>
        <v>0</v>
      </c>
      <c r="CP322" s="75">
        <f>SUM(Tableau1[[#This Row],[Fourniture eau]:[Energie (non précisé)]])</f>
        <v>0</v>
      </c>
      <c r="CQ322" s="55"/>
      <c r="CR322" s="55"/>
      <c r="CS322" s="55"/>
      <c r="CT322" s="55"/>
      <c r="CU322" s="55"/>
      <c r="CV322" s="55">
        <v>0</v>
      </c>
      <c r="CW322" s="55"/>
      <c r="CX322" s="68">
        <f>SUM(Tableau1[[#This Row],[Sous-traitance]:[Autres ou non précisé 12]])</f>
        <v>0</v>
      </c>
      <c r="CY322" s="65"/>
      <c r="CZ322" s="65"/>
      <c r="DA322" s="65"/>
      <c r="DB322" s="65"/>
      <c r="DC322" s="55"/>
      <c r="DD322" s="68">
        <f t="shared" si="200"/>
        <v>0</v>
      </c>
      <c r="DE322" s="55"/>
      <c r="DF322" s="65"/>
      <c r="DG322" s="65"/>
      <c r="DH322" s="65"/>
      <c r="DI322" s="68">
        <f>SUM(Tableau1[[#This Row],[Entretien et réparation matériel de projection]:[Autres ou non précisé 14]])</f>
        <v>0</v>
      </c>
      <c r="DJ322" s="58"/>
      <c r="DK322" s="58"/>
      <c r="DL322" s="69"/>
      <c r="DM322" s="68">
        <f t="shared" si="181"/>
        <v>0</v>
      </c>
      <c r="DN322" s="58"/>
      <c r="DO322" s="58"/>
      <c r="DP322" s="68">
        <f t="shared" si="182"/>
        <v>0</v>
      </c>
      <c r="DQ322" s="65"/>
      <c r="DR322" s="65"/>
      <c r="DS322" s="68">
        <f t="shared" si="183"/>
        <v>0</v>
      </c>
      <c r="DT322" s="65"/>
      <c r="DU322" s="65"/>
      <c r="DV322" s="65"/>
      <c r="DW322" s="68">
        <f>SUM(Tableau1[[#This Row],[Comission et courtage sur achats]:[Autres ou honoraires
 non précisé ]])</f>
        <v>0</v>
      </c>
      <c r="DX322" s="57"/>
      <c r="DY322" s="57"/>
      <c r="DZ322" s="65"/>
      <c r="EA322" s="65"/>
      <c r="EB322" s="65"/>
      <c r="EC322" s="68">
        <f t="shared" si="184"/>
        <v>0</v>
      </c>
      <c r="ED322" s="69"/>
      <c r="EE322" s="69"/>
      <c r="EF322" s="69"/>
      <c r="EG322" s="69"/>
      <c r="EH322" s="69"/>
      <c r="EI322" s="84">
        <f>SUM(Tableau1[[#This Row],[Transports sur films]:[autres ]])</f>
        <v>0</v>
      </c>
      <c r="EJ322" s="132">
        <v>0</v>
      </c>
      <c r="EK322" s="132"/>
      <c r="EL322" s="68">
        <f t="shared" si="185"/>
        <v>0</v>
      </c>
      <c r="EM322" s="65"/>
      <c r="EN322" s="65">
        <v>0</v>
      </c>
      <c r="EO322" s="65"/>
      <c r="EP322" s="65"/>
      <c r="EQ322" s="65"/>
      <c r="ER322" s="65"/>
      <c r="ES322" s="65"/>
      <c r="ET322" s="68">
        <f t="shared" si="186"/>
        <v>0</v>
      </c>
      <c r="EU322" s="65"/>
      <c r="EV322" s="65"/>
      <c r="EW322" s="65"/>
      <c r="EX322" s="65"/>
      <c r="EY322" s="65"/>
      <c r="EZ322" s="68">
        <f t="shared" si="202"/>
        <v>0</v>
      </c>
      <c r="FA322" s="65"/>
      <c r="FB322" s="65"/>
      <c r="FC322" s="70">
        <f t="shared" si="201"/>
        <v>0</v>
      </c>
      <c r="FD322" s="65"/>
      <c r="FE322" s="71">
        <f t="shared" si="187"/>
        <v>0</v>
      </c>
      <c r="FF322" s="72">
        <f t="shared" si="188"/>
        <v>0</v>
      </c>
      <c r="FG322" s="65"/>
      <c r="FH322" s="65"/>
      <c r="FI322" s="65"/>
      <c r="FJ322" s="56">
        <f t="shared" si="189"/>
        <v>0</v>
      </c>
      <c r="FK322" s="65"/>
      <c r="FL322" s="65"/>
      <c r="FM322" s="65"/>
      <c r="FN322" s="65"/>
      <c r="FO322" s="67">
        <f t="shared" si="190"/>
        <v>0</v>
      </c>
      <c r="FP322" s="57"/>
      <c r="FQ322" s="73"/>
      <c r="FR322" s="73"/>
      <c r="FS322" s="71">
        <f t="shared" si="191"/>
        <v>0</v>
      </c>
      <c r="FT322" s="91"/>
      <c r="FU322" s="91"/>
      <c r="FV322" s="67">
        <f>SUM(Tableau1[[#This Row],[Droits d''auteurs SACEM + cotisations SACEM]:[Autres ou non préciés]])</f>
        <v>0</v>
      </c>
      <c r="FW322" s="75">
        <f t="shared" si="192"/>
        <v>0</v>
      </c>
      <c r="FX322" s="74">
        <v>0</v>
      </c>
      <c r="FY322" s="74"/>
      <c r="FZ322" s="74"/>
      <c r="GA322" s="74"/>
      <c r="GB322" s="71">
        <f t="shared" si="193"/>
        <v>0</v>
      </c>
      <c r="GC322" s="92"/>
      <c r="GD322" s="92"/>
      <c r="GE322" s="67">
        <f t="shared" si="194"/>
        <v>0</v>
      </c>
      <c r="GF322" s="66"/>
      <c r="GG322" s="66"/>
      <c r="GH322" s="66"/>
      <c r="GI322" s="66"/>
      <c r="GJ322" s="77"/>
    </row>
    <row r="323" spans="1:192" ht="18.600000000000001" customHeight="1" x14ac:dyDescent="0.25">
      <c r="A323" s="89"/>
      <c r="B323" s="17"/>
      <c r="C323" s="50"/>
      <c r="D323" s="140"/>
      <c r="E323" s="51"/>
      <c r="F323" s="139">
        <f t="shared" si="198"/>
        <v>1</v>
      </c>
      <c r="G323" s="49"/>
      <c r="H323" s="50"/>
      <c r="I323" s="122"/>
      <c r="J323" s="49"/>
      <c r="K323" s="50"/>
      <c r="L323" s="50"/>
      <c r="M323" s="90"/>
      <c r="N323" s="50"/>
      <c r="O323" s="50"/>
      <c r="P323" s="90"/>
      <c r="Q323" s="52">
        <f t="shared" si="164"/>
        <v>0</v>
      </c>
      <c r="R323" s="52">
        <f t="shared" si="165"/>
        <v>0</v>
      </c>
      <c r="S323" s="53">
        <f t="shared" si="166"/>
        <v>0</v>
      </c>
      <c r="T323" s="54">
        <f t="shared" si="167"/>
        <v>0</v>
      </c>
      <c r="U323" s="115">
        <f>SUM(Tableau1[[#This Row],[Vente confiserie]:[Vente boisson]])</f>
        <v>0</v>
      </c>
      <c r="V323" s="55"/>
      <c r="W323" s="55"/>
      <c r="X323" s="135">
        <f>SUM(Tableau1[[#This Row],[Vente lunette]:[Location lunette]])</f>
        <v>0</v>
      </c>
      <c r="Y323" s="55"/>
      <c r="Z323" s="55"/>
      <c r="AA323" s="55"/>
      <c r="AB323" s="55"/>
      <c r="AC323" s="56">
        <f t="shared" si="196"/>
        <v>0</v>
      </c>
      <c r="AD323" s="57"/>
      <c r="AE323" s="57"/>
      <c r="AF323" s="57"/>
      <c r="AG323" s="57"/>
      <c r="AH323" s="57"/>
      <c r="AI323" s="57"/>
      <c r="AJ323" s="118">
        <f>(Tableau1[[#This Row],[Recette guichet ]]*1.1275177)-Tableau1[[#This Row],[Recette guichet ]]</f>
        <v>0</v>
      </c>
      <c r="AK323" s="57"/>
      <c r="AL323" s="56">
        <f t="shared" si="197"/>
        <v>0</v>
      </c>
      <c r="AM323" s="58"/>
      <c r="AN323" s="58"/>
      <c r="AO323" s="58"/>
      <c r="AP323" s="115">
        <f t="shared" si="168"/>
        <v>0</v>
      </c>
      <c r="AQ323" s="69"/>
      <c r="AR323" s="69"/>
      <c r="AS323" s="69"/>
      <c r="AT323" s="69"/>
      <c r="AU323" s="59">
        <f t="shared" si="169"/>
        <v>0</v>
      </c>
      <c r="AV323" s="60">
        <f t="shared" si="170"/>
        <v>0</v>
      </c>
      <c r="AW323" s="58"/>
      <c r="AX323" s="58"/>
      <c r="AY323" s="58"/>
      <c r="AZ323" s="60">
        <f t="shared" si="199"/>
        <v>0</v>
      </c>
      <c r="BA323" s="58"/>
      <c r="BB323" s="58"/>
      <c r="BC323" s="58"/>
      <c r="BD323" s="60">
        <f>SUM(Tableau1[[#This Row],[ticket/carte/abonnement périmé]:[Autres ou non précisé 5]])</f>
        <v>0</v>
      </c>
      <c r="BE323" s="58"/>
      <c r="BF323" s="58"/>
      <c r="BG323" s="58"/>
      <c r="BH323" s="61">
        <f t="shared" si="171"/>
        <v>0</v>
      </c>
      <c r="BI323" s="120"/>
      <c r="BJ323" s="120"/>
      <c r="BK323" s="62">
        <f t="shared" si="172"/>
        <v>0</v>
      </c>
      <c r="BL323" s="120"/>
      <c r="BM323" s="120"/>
      <c r="BN323" s="120"/>
      <c r="BO323" s="120"/>
      <c r="BP323" s="120"/>
      <c r="BQ323" s="63"/>
      <c r="BR323" s="52">
        <f t="shared" si="173"/>
        <v>0</v>
      </c>
      <c r="BS323" s="52">
        <f t="shared" si="174"/>
        <v>0</v>
      </c>
      <c r="BT323" s="61">
        <f t="shared" si="175"/>
        <v>0</v>
      </c>
      <c r="BU323" s="64">
        <f t="shared" si="176"/>
        <v>0</v>
      </c>
      <c r="BV323" s="119">
        <f>SUM(Tableau1[[#This Row],[Achats confiserie]:[Achats boisson]])</f>
        <v>0</v>
      </c>
      <c r="BW323" s="58"/>
      <c r="BX323" s="69"/>
      <c r="BY323" s="58"/>
      <c r="BZ323" s="56">
        <f t="shared" si="177"/>
        <v>0</v>
      </c>
      <c r="CA323" s="66"/>
      <c r="CB323" s="66"/>
      <c r="CC323" s="56">
        <f t="shared" si="178"/>
        <v>0</v>
      </c>
      <c r="CD323" s="55"/>
      <c r="CE323" s="65"/>
      <c r="CF323" s="55"/>
      <c r="CG323" s="55"/>
      <c r="CH323" s="67">
        <f t="shared" si="179"/>
        <v>0</v>
      </c>
      <c r="CI323" s="68">
        <f t="shared" si="195"/>
        <v>0</v>
      </c>
      <c r="CJ323" s="55"/>
      <c r="CK323" s="55"/>
      <c r="CL323" s="55"/>
      <c r="CM323" s="55"/>
      <c r="CN323" s="55"/>
      <c r="CO323" s="68">
        <f t="shared" si="180"/>
        <v>0</v>
      </c>
      <c r="CP323" s="75">
        <f>SUM(Tableau1[[#This Row],[Fourniture eau]:[Energie (non précisé)]])</f>
        <v>0</v>
      </c>
      <c r="CQ323" s="55"/>
      <c r="CR323" s="55"/>
      <c r="CS323" s="55"/>
      <c r="CT323" s="55"/>
      <c r="CU323" s="55"/>
      <c r="CV323" s="55">
        <v>0</v>
      </c>
      <c r="CW323" s="55"/>
      <c r="CX323" s="68">
        <f>SUM(Tableau1[[#This Row],[Sous-traitance]:[Autres ou non précisé 12]])</f>
        <v>0</v>
      </c>
      <c r="CY323" s="65"/>
      <c r="CZ323" s="65"/>
      <c r="DA323" s="65"/>
      <c r="DB323" s="65"/>
      <c r="DC323" s="55"/>
      <c r="DD323" s="68">
        <f t="shared" si="200"/>
        <v>0</v>
      </c>
      <c r="DE323" s="55"/>
      <c r="DF323" s="65"/>
      <c r="DG323" s="65"/>
      <c r="DH323" s="65"/>
      <c r="DI323" s="68">
        <f>SUM(Tableau1[[#This Row],[Entretien et réparation matériel de projection]:[Autres ou non précisé 14]])</f>
        <v>0</v>
      </c>
      <c r="DJ323" s="58"/>
      <c r="DK323" s="58"/>
      <c r="DL323" s="69"/>
      <c r="DM323" s="68">
        <f t="shared" si="181"/>
        <v>0</v>
      </c>
      <c r="DN323" s="58"/>
      <c r="DO323" s="58"/>
      <c r="DP323" s="68">
        <f t="shared" si="182"/>
        <v>0</v>
      </c>
      <c r="DQ323" s="65"/>
      <c r="DR323" s="65"/>
      <c r="DS323" s="68">
        <f t="shared" si="183"/>
        <v>0</v>
      </c>
      <c r="DT323" s="65"/>
      <c r="DU323" s="65"/>
      <c r="DV323" s="65"/>
      <c r="DW323" s="68">
        <f>SUM(Tableau1[[#This Row],[Comission et courtage sur achats]:[Autres ou honoraires
 non précisé ]])</f>
        <v>0</v>
      </c>
      <c r="DX323" s="57"/>
      <c r="DY323" s="57"/>
      <c r="DZ323" s="65"/>
      <c r="EA323" s="65"/>
      <c r="EB323" s="65"/>
      <c r="EC323" s="68">
        <f t="shared" si="184"/>
        <v>0</v>
      </c>
      <c r="ED323" s="69"/>
      <c r="EE323" s="69"/>
      <c r="EF323" s="69"/>
      <c r="EG323" s="69"/>
      <c r="EH323" s="69"/>
      <c r="EI323" s="84">
        <f>SUM(Tableau1[[#This Row],[Transports sur films]:[autres ]])</f>
        <v>0</v>
      </c>
      <c r="EJ323" s="132">
        <v>0</v>
      </c>
      <c r="EK323" s="132"/>
      <c r="EL323" s="68">
        <f t="shared" si="185"/>
        <v>0</v>
      </c>
      <c r="EM323" s="65"/>
      <c r="EN323" s="65">
        <v>0</v>
      </c>
      <c r="EO323" s="65"/>
      <c r="EP323" s="65"/>
      <c r="EQ323" s="65"/>
      <c r="ER323" s="65"/>
      <c r="ES323" s="65"/>
      <c r="ET323" s="68">
        <f t="shared" si="186"/>
        <v>0</v>
      </c>
      <c r="EU323" s="65"/>
      <c r="EV323" s="65"/>
      <c r="EW323" s="65"/>
      <c r="EX323" s="65"/>
      <c r="EY323" s="65"/>
      <c r="EZ323" s="68">
        <f t="shared" si="202"/>
        <v>0</v>
      </c>
      <c r="FA323" s="65"/>
      <c r="FB323" s="65"/>
      <c r="FC323" s="70">
        <f t="shared" si="201"/>
        <v>0</v>
      </c>
      <c r="FD323" s="65"/>
      <c r="FE323" s="71">
        <f t="shared" si="187"/>
        <v>0</v>
      </c>
      <c r="FF323" s="72">
        <f t="shared" si="188"/>
        <v>0</v>
      </c>
      <c r="FG323" s="65"/>
      <c r="FH323" s="65"/>
      <c r="FI323" s="65"/>
      <c r="FJ323" s="56">
        <f t="shared" si="189"/>
        <v>0</v>
      </c>
      <c r="FK323" s="65"/>
      <c r="FL323" s="65"/>
      <c r="FM323" s="65"/>
      <c r="FN323" s="65"/>
      <c r="FO323" s="67">
        <f t="shared" si="190"/>
        <v>0</v>
      </c>
      <c r="FP323" s="57"/>
      <c r="FQ323" s="73"/>
      <c r="FR323" s="73"/>
      <c r="FS323" s="71">
        <f t="shared" si="191"/>
        <v>0</v>
      </c>
      <c r="FT323" s="91"/>
      <c r="FU323" s="91"/>
      <c r="FV323" s="67">
        <f>SUM(Tableau1[[#This Row],[Droits d''auteurs SACEM + cotisations SACEM]:[Autres ou non préciés]])</f>
        <v>0</v>
      </c>
      <c r="FW323" s="75">
        <f t="shared" si="192"/>
        <v>0</v>
      </c>
      <c r="FX323" s="74">
        <v>0</v>
      </c>
      <c r="FY323" s="74"/>
      <c r="FZ323" s="74"/>
      <c r="GA323" s="74"/>
      <c r="GB323" s="71">
        <f t="shared" si="193"/>
        <v>0</v>
      </c>
      <c r="GC323" s="92"/>
      <c r="GD323" s="92"/>
      <c r="GE323" s="67">
        <f t="shared" si="194"/>
        <v>0</v>
      </c>
      <c r="GF323" s="66"/>
      <c r="GG323" s="66"/>
      <c r="GH323" s="66"/>
      <c r="GI323" s="66"/>
      <c r="GJ323" s="77"/>
    </row>
    <row r="324" spans="1:192" ht="18.600000000000001" customHeight="1" x14ac:dyDescent="0.25">
      <c r="A324" s="89"/>
      <c r="B324" s="17"/>
      <c r="C324" s="50"/>
      <c r="D324" s="140"/>
      <c r="E324" s="51"/>
      <c r="F324" s="139">
        <f t="shared" si="198"/>
        <v>1</v>
      </c>
      <c r="G324" s="49"/>
      <c r="H324" s="50"/>
      <c r="I324" s="122"/>
      <c r="J324" s="49"/>
      <c r="K324" s="50"/>
      <c r="L324" s="50"/>
      <c r="M324" s="90"/>
      <c r="N324" s="50"/>
      <c r="O324" s="50"/>
      <c r="P324" s="90"/>
      <c r="Q324" s="52">
        <f t="shared" si="164"/>
        <v>0</v>
      </c>
      <c r="R324" s="52">
        <f t="shared" si="165"/>
        <v>0</v>
      </c>
      <c r="S324" s="53">
        <f t="shared" si="166"/>
        <v>0</v>
      </c>
      <c r="T324" s="54">
        <f t="shared" si="167"/>
        <v>0</v>
      </c>
      <c r="U324" s="115">
        <f>SUM(Tableau1[[#This Row],[Vente confiserie]:[Vente boisson]])</f>
        <v>0</v>
      </c>
      <c r="V324" s="55"/>
      <c r="W324" s="55"/>
      <c r="X324" s="135">
        <f>SUM(Tableau1[[#This Row],[Vente lunette]:[Location lunette]])</f>
        <v>0</v>
      </c>
      <c r="Y324" s="55"/>
      <c r="Z324" s="55"/>
      <c r="AA324" s="55"/>
      <c r="AB324" s="55"/>
      <c r="AC324" s="56">
        <f t="shared" si="196"/>
        <v>0</v>
      </c>
      <c r="AD324" s="57"/>
      <c r="AE324" s="57"/>
      <c r="AF324" s="57"/>
      <c r="AG324" s="57"/>
      <c r="AH324" s="57"/>
      <c r="AI324" s="57"/>
      <c r="AJ324" s="118">
        <f>(Tableau1[[#This Row],[Recette guichet ]]*1.1275177)-Tableau1[[#This Row],[Recette guichet ]]</f>
        <v>0</v>
      </c>
      <c r="AK324" s="57"/>
      <c r="AL324" s="56">
        <f t="shared" si="197"/>
        <v>0</v>
      </c>
      <c r="AM324" s="58"/>
      <c r="AN324" s="58"/>
      <c r="AO324" s="58"/>
      <c r="AP324" s="115">
        <f t="shared" si="168"/>
        <v>0</v>
      </c>
      <c r="AQ324" s="69"/>
      <c r="AR324" s="69"/>
      <c r="AS324" s="69"/>
      <c r="AT324" s="69"/>
      <c r="AU324" s="59">
        <f t="shared" si="169"/>
        <v>0</v>
      </c>
      <c r="AV324" s="60">
        <f t="shared" si="170"/>
        <v>0</v>
      </c>
      <c r="AW324" s="58"/>
      <c r="AX324" s="58"/>
      <c r="AY324" s="58"/>
      <c r="AZ324" s="60">
        <f t="shared" si="199"/>
        <v>0</v>
      </c>
      <c r="BA324" s="58"/>
      <c r="BB324" s="58"/>
      <c r="BC324" s="58"/>
      <c r="BD324" s="60">
        <f>SUM(Tableau1[[#This Row],[ticket/carte/abonnement périmé]:[Autres ou non précisé 5]])</f>
        <v>0</v>
      </c>
      <c r="BE324" s="58"/>
      <c r="BF324" s="58"/>
      <c r="BG324" s="58"/>
      <c r="BH324" s="61">
        <f t="shared" si="171"/>
        <v>0</v>
      </c>
      <c r="BI324" s="120"/>
      <c r="BJ324" s="120"/>
      <c r="BK324" s="62">
        <f t="shared" si="172"/>
        <v>0</v>
      </c>
      <c r="BL324" s="120"/>
      <c r="BM324" s="120"/>
      <c r="BN324" s="120"/>
      <c r="BO324" s="120"/>
      <c r="BP324" s="120"/>
      <c r="BQ324" s="63"/>
      <c r="BR324" s="52">
        <f t="shared" si="173"/>
        <v>0</v>
      </c>
      <c r="BS324" s="52">
        <f t="shared" si="174"/>
        <v>0</v>
      </c>
      <c r="BT324" s="61">
        <f t="shared" si="175"/>
        <v>0</v>
      </c>
      <c r="BU324" s="64">
        <f t="shared" si="176"/>
        <v>0</v>
      </c>
      <c r="BV324" s="119">
        <f>SUM(Tableau1[[#This Row],[Achats confiserie]:[Achats boisson]])</f>
        <v>0</v>
      </c>
      <c r="BW324" s="58"/>
      <c r="BX324" s="69"/>
      <c r="BY324" s="58"/>
      <c r="BZ324" s="56">
        <f t="shared" si="177"/>
        <v>0</v>
      </c>
      <c r="CA324" s="66"/>
      <c r="CB324" s="66"/>
      <c r="CC324" s="56">
        <f t="shared" si="178"/>
        <v>0</v>
      </c>
      <c r="CD324" s="55"/>
      <c r="CE324" s="65"/>
      <c r="CF324" s="55"/>
      <c r="CG324" s="55"/>
      <c r="CH324" s="67">
        <f t="shared" si="179"/>
        <v>0</v>
      </c>
      <c r="CI324" s="68">
        <f t="shared" si="195"/>
        <v>0</v>
      </c>
      <c r="CJ324" s="55"/>
      <c r="CK324" s="55"/>
      <c r="CL324" s="55"/>
      <c r="CM324" s="55"/>
      <c r="CN324" s="55"/>
      <c r="CO324" s="68">
        <f t="shared" si="180"/>
        <v>0</v>
      </c>
      <c r="CP324" s="75">
        <f>SUM(Tableau1[[#This Row],[Fourniture eau]:[Energie (non précisé)]])</f>
        <v>0</v>
      </c>
      <c r="CQ324" s="55"/>
      <c r="CR324" s="55"/>
      <c r="CS324" s="55"/>
      <c r="CT324" s="55"/>
      <c r="CU324" s="55"/>
      <c r="CV324" s="55">
        <v>0</v>
      </c>
      <c r="CW324" s="55"/>
      <c r="CX324" s="68">
        <f>SUM(Tableau1[[#This Row],[Sous-traitance]:[Autres ou non précisé 12]])</f>
        <v>0</v>
      </c>
      <c r="CY324" s="65"/>
      <c r="CZ324" s="65"/>
      <c r="DA324" s="65"/>
      <c r="DB324" s="65"/>
      <c r="DC324" s="55"/>
      <c r="DD324" s="68">
        <f t="shared" si="200"/>
        <v>0</v>
      </c>
      <c r="DE324" s="55"/>
      <c r="DF324" s="65"/>
      <c r="DG324" s="65"/>
      <c r="DH324" s="65"/>
      <c r="DI324" s="68">
        <f>SUM(Tableau1[[#This Row],[Entretien et réparation matériel de projection]:[Autres ou non précisé 14]])</f>
        <v>0</v>
      </c>
      <c r="DJ324" s="58"/>
      <c r="DK324" s="58"/>
      <c r="DL324" s="69"/>
      <c r="DM324" s="68">
        <f t="shared" si="181"/>
        <v>0</v>
      </c>
      <c r="DN324" s="58"/>
      <c r="DO324" s="58"/>
      <c r="DP324" s="68">
        <f t="shared" si="182"/>
        <v>0</v>
      </c>
      <c r="DQ324" s="65"/>
      <c r="DR324" s="65"/>
      <c r="DS324" s="68">
        <f t="shared" si="183"/>
        <v>0</v>
      </c>
      <c r="DT324" s="65"/>
      <c r="DU324" s="65"/>
      <c r="DV324" s="65"/>
      <c r="DW324" s="68">
        <f>SUM(Tableau1[[#This Row],[Comission et courtage sur achats]:[Autres ou honoraires
 non précisé ]])</f>
        <v>0</v>
      </c>
      <c r="DX324" s="57"/>
      <c r="DY324" s="57"/>
      <c r="DZ324" s="65"/>
      <c r="EA324" s="65"/>
      <c r="EB324" s="65"/>
      <c r="EC324" s="68">
        <f t="shared" si="184"/>
        <v>0</v>
      </c>
      <c r="ED324" s="69"/>
      <c r="EE324" s="69"/>
      <c r="EF324" s="69"/>
      <c r="EG324" s="69"/>
      <c r="EH324" s="69"/>
      <c r="EI324" s="84">
        <f>SUM(Tableau1[[#This Row],[Transports sur films]:[autres ]])</f>
        <v>0</v>
      </c>
      <c r="EJ324" s="132">
        <v>0</v>
      </c>
      <c r="EK324" s="132"/>
      <c r="EL324" s="68">
        <f t="shared" si="185"/>
        <v>0</v>
      </c>
      <c r="EM324" s="65"/>
      <c r="EN324" s="65">
        <v>0</v>
      </c>
      <c r="EO324" s="65"/>
      <c r="EP324" s="65"/>
      <c r="EQ324" s="65"/>
      <c r="ER324" s="65"/>
      <c r="ES324" s="65"/>
      <c r="ET324" s="68">
        <f t="shared" si="186"/>
        <v>0</v>
      </c>
      <c r="EU324" s="65"/>
      <c r="EV324" s="65"/>
      <c r="EW324" s="65"/>
      <c r="EX324" s="65"/>
      <c r="EY324" s="65"/>
      <c r="EZ324" s="68">
        <f t="shared" si="202"/>
        <v>0</v>
      </c>
      <c r="FA324" s="65"/>
      <c r="FB324" s="65"/>
      <c r="FC324" s="70">
        <f t="shared" si="201"/>
        <v>0</v>
      </c>
      <c r="FD324" s="65"/>
      <c r="FE324" s="71">
        <f t="shared" si="187"/>
        <v>0</v>
      </c>
      <c r="FF324" s="72">
        <f t="shared" si="188"/>
        <v>0</v>
      </c>
      <c r="FG324" s="65"/>
      <c r="FH324" s="65"/>
      <c r="FI324" s="65"/>
      <c r="FJ324" s="56">
        <f t="shared" si="189"/>
        <v>0</v>
      </c>
      <c r="FK324" s="65"/>
      <c r="FL324" s="65"/>
      <c r="FM324" s="65"/>
      <c r="FN324" s="65"/>
      <c r="FO324" s="67">
        <f t="shared" si="190"/>
        <v>0</v>
      </c>
      <c r="FP324" s="57"/>
      <c r="FQ324" s="73"/>
      <c r="FR324" s="73"/>
      <c r="FS324" s="71">
        <f t="shared" si="191"/>
        <v>0</v>
      </c>
      <c r="FT324" s="91"/>
      <c r="FU324" s="91"/>
      <c r="FV324" s="67">
        <f>SUM(Tableau1[[#This Row],[Droits d''auteurs SACEM + cotisations SACEM]:[Autres ou non préciés]])</f>
        <v>0</v>
      </c>
      <c r="FW324" s="75">
        <f t="shared" si="192"/>
        <v>0</v>
      </c>
      <c r="FX324" s="74">
        <v>0</v>
      </c>
      <c r="FY324" s="74"/>
      <c r="FZ324" s="74"/>
      <c r="GA324" s="74"/>
      <c r="GB324" s="71">
        <f t="shared" si="193"/>
        <v>0</v>
      </c>
      <c r="GC324" s="92"/>
      <c r="GD324" s="92"/>
      <c r="GE324" s="67">
        <f t="shared" si="194"/>
        <v>0</v>
      </c>
      <c r="GF324" s="66"/>
      <c r="GG324" s="66"/>
      <c r="GH324" s="66"/>
      <c r="GI324" s="66"/>
      <c r="GJ324" s="77"/>
    </row>
    <row r="325" spans="1:192" ht="18.600000000000001" customHeight="1" x14ac:dyDescent="0.25">
      <c r="A325" s="89"/>
      <c r="B325" s="17"/>
      <c r="C325" s="50"/>
      <c r="D325" s="140"/>
      <c r="E325" s="51"/>
      <c r="F325" s="139">
        <f t="shared" si="198"/>
        <v>1</v>
      </c>
      <c r="G325" s="49"/>
      <c r="H325" s="50"/>
      <c r="I325" s="122"/>
      <c r="J325" s="49"/>
      <c r="K325" s="50"/>
      <c r="L325" s="50"/>
      <c r="M325" s="90"/>
      <c r="N325" s="50"/>
      <c r="O325" s="50"/>
      <c r="P325" s="90"/>
      <c r="Q325" s="52">
        <f t="shared" si="164"/>
        <v>0</v>
      </c>
      <c r="R325" s="52">
        <f t="shared" si="165"/>
        <v>0</v>
      </c>
      <c r="S325" s="53">
        <f t="shared" si="166"/>
        <v>0</v>
      </c>
      <c r="T325" s="54">
        <f t="shared" si="167"/>
        <v>0</v>
      </c>
      <c r="U325" s="115">
        <f>SUM(Tableau1[[#This Row],[Vente confiserie]:[Vente boisson]])</f>
        <v>0</v>
      </c>
      <c r="V325" s="55"/>
      <c r="W325" s="55"/>
      <c r="X325" s="135">
        <f>SUM(Tableau1[[#This Row],[Vente lunette]:[Location lunette]])</f>
        <v>0</v>
      </c>
      <c r="Y325" s="55"/>
      <c r="Z325" s="55"/>
      <c r="AA325" s="55"/>
      <c r="AB325" s="55"/>
      <c r="AC325" s="56">
        <f t="shared" si="196"/>
        <v>0</v>
      </c>
      <c r="AD325" s="57"/>
      <c r="AE325" s="57"/>
      <c r="AF325" s="57"/>
      <c r="AG325" s="57"/>
      <c r="AH325" s="57"/>
      <c r="AI325" s="57"/>
      <c r="AJ325" s="118">
        <f>(Tableau1[[#This Row],[Recette guichet ]]*1.1275177)-Tableau1[[#This Row],[Recette guichet ]]</f>
        <v>0</v>
      </c>
      <c r="AK325" s="57"/>
      <c r="AL325" s="56">
        <f t="shared" si="197"/>
        <v>0</v>
      </c>
      <c r="AM325" s="58"/>
      <c r="AN325" s="58"/>
      <c r="AO325" s="58"/>
      <c r="AP325" s="115">
        <f t="shared" si="168"/>
        <v>0</v>
      </c>
      <c r="AQ325" s="69"/>
      <c r="AR325" s="69"/>
      <c r="AS325" s="69"/>
      <c r="AT325" s="69"/>
      <c r="AU325" s="59">
        <f t="shared" si="169"/>
        <v>0</v>
      </c>
      <c r="AV325" s="60">
        <f t="shared" si="170"/>
        <v>0</v>
      </c>
      <c r="AW325" s="58"/>
      <c r="AX325" s="58"/>
      <c r="AY325" s="58"/>
      <c r="AZ325" s="60">
        <f t="shared" si="199"/>
        <v>0</v>
      </c>
      <c r="BA325" s="58"/>
      <c r="BB325" s="58"/>
      <c r="BC325" s="58"/>
      <c r="BD325" s="60">
        <f>SUM(Tableau1[[#This Row],[ticket/carte/abonnement périmé]:[Autres ou non précisé 5]])</f>
        <v>0</v>
      </c>
      <c r="BE325" s="58"/>
      <c r="BF325" s="58"/>
      <c r="BG325" s="58"/>
      <c r="BH325" s="61">
        <f t="shared" si="171"/>
        <v>0</v>
      </c>
      <c r="BI325" s="120"/>
      <c r="BJ325" s="120"/>
      <c r="BK325" s="62">
        <f t="shared" si="172"/>
        <v>0</v>
      </c>
      <c r="BL325" s="120"/>
      <c r="BM325" s="120"/>
      <c r="BN325" s="120"/>
      <c r="BO325" s="120"/>
      <c r="BP325" s="120"/>
      <c r="BQ325" s="63"/>
      <c r="BR325" s="52">
        <f t="shared" si="173"/>
        <v>0</v>
      </c>
      <c r="BS325" s="52">
        <f t="shared" si="174"/>
        <v>0</v>
      </c>
      <c r="BT325" s="61">
        <f t="shared" si="175"/>
        <v>0</v>
      </c>
      <c r="BU325" s="64">
        <f t="shared" si="176"/>
        <v>0</v>
      </c>
      <c r="BV325" s="119">
        <f>SUM(Tableau1[[#This Row],[Achats confiserie]:[Achats boisson]])</f>
        <v>0</v>
      </c>
      <c r="BW325" s="58"/>
      <c r="BX325" s="69"/>
      <c r="BY325" s="58"/>
      <c r="BZ325" s="56">
        <f t="shared" si="177"/>
        <v>0</v>
      </c>
      <c r="CA325" s="66"/>
      <c r="CB325" s="66"/>
      <c r="CC325" s="56">
        <f t="shared" si="178"/>
        <v>0</v>
      </c>
      <c r="CD325" s="55"/>
      <c r="CE325" s="65"/>
      <c r="CF325" s="55"/>
      <c r="CG325" s="55"/>
      <c r="CH325" s="67">
        <f t="shared" si="179"/>
        <v>0</v>
      </c>
      <c r="CI325" s="68">
        <f t="shared" si="195"/>
        <v>0</v>
      </c>
      <c r="CJ325" s="55"/>
      <c r="CK325" s="55"/>
      <c r="CL325" s="55"/>
      <c r="CM325" s="55"/>
      <c r="CN325" s="55"/>
      <c r="CO325" s="68">
        <f t="shared" si="180"/>
        <v>0</v>
      </c>
      <c r="CP325" s="75">
        <f>SUM(Tableau1[[#This Row],[Fourniture eau]:[Energie (non précisé)]])</f>
        <v>0</v>
      </c>
      <c r="CQ325" s="55"/>
      <c r="CR325" s="55"/>
      <c r="CS325" s="55"/>
      <c r="CT325" s="55"/>
      <c r="CU325" s="55"/>
      <c r="CV325" s="55">
        <v>0</v>
      </c>
      <c r="CW325" s="55"/>
      <c r="CX325" s="68">
        <f>SUM(Tableau1[[#This Row],[Sous-traitance]:[Autres ou non précisé 12]])</f>
        <v>0</v>
      </c>
      <c r="CY325" s="65"/>
      <c r="CZ325" s="65"/>
      <c r="DA325" s="65"/>
      <c r="DB325" s="65"/>
      <c r="DC325" s="55"/>
      <c r="DD325" s="68">
        <f t="shared" si="200"/>
        <v>0</v>
      </c>
      <c r="DE325" s="55"/>
      <c r="DF325" s="65"/>
      <c r="DG325" s="65"/>
      <c r="DH325" s="65"/>
      <c r="DI325" s="68">
        <f>SUM(Tableau1[[#This Row],[Entretien et réparation matériel de projection]:[Autres ou non précisé 14]])</f>
        <v>0</v>
      </c>
      <c r="DJ325" s="58"/>
      <c r="DK325" s="58"/>
      <c r="DL325" s="69"/>
      <c r="DM325" s="68">
        <f t="shared" si="181"/>
        <v>0</v>
      </c>
      <c r="DN325" s="58"/>
      <c r="DO325" s="58"/>
      <c r="DP325" s="68">
        <f t="shared" si="182"/>
        <v>0</v>
      </c>
      <c r="DQ325" s="65"/>
      <c r="DR325" s="65"/>
      <c r="DS325" s="68">
        <f t="shared" si="183"/>
        <v>0</v>
      </c>
      <c r="DT325" s="65"/>
      <c r="DU325" s="65"/>
      <c r="DV325" s="65"/>
      <c r="DW325" s="68">
        <f>SUM(Tableau1[[#This Row],[Comission et courtage sur achats]:[Autres ou honoraires
 non précisé ]])</f>
        <v>0</v>
      </c>
      <c r="DX325" s="57"/>
      <c r="DY325" s="57"/>
      <c r="DZ325" s="65"/>
      <c r="EA325" s="65"/>
      <c r="EB325" s="65"/>
      <c r="EC325" s="68">
        <f t="shared" si="184"/>
        <v>0</v>
      </c>
      <c r="ED325" s="69"/>
      <c r="EE325" s="69"/>
      <c r="EF325" s="69"/>
      <c r="EG325" s="69"/>
      <c r="EH325" s="69"/>
      <c r="EI325" s="84">
        <f>SUM(Tableau1[[#This Row],[Transports sur films]:[autres ]])</f>
        <v>0</v>
      </c>
      <c r="EJ325" s="132">
        <v>0</v>
      </c>
      <c r="EK325" s="132"/>
      <c r="EL325" s="68">
        <f t="shared" si="185"/>
        <v>0</v>
      </c>
      <c r="EM325" s="65"/>
      <c r="EN325" s="65">
        <v>0</v>
      </c>
      <c r="EO325" s="65"/>
      <c r="EP325" s="65"/>
      <c r="EQ325" s="65"/>
      <c r="ER325" s="65"/>
      <c r="ES325" s="65"/>
      <c r="ET325" s="68">
        <f t="shared" si="186"/>
        <v>0</v>
      </c>
      <c r="EU325" s="65"/>
      <c r="EV325" s="65"/>
      <c r="EW325" s="65"/>
      <c r="EX325" s="65"/>
      <c r="EY325" s="65"/>
      <c r="EZ325" s="68">
        <f t="shared" si="202"/>
        <v>0</v>
      </c>
      <c r="FA325" s="65"/>
      <c r="FB325" s="65"/>
      <c r="FC325" s="70">
        <f t="shared" si="201"/>
        <v>0</v>
      </c>
      <c r="FD325" s="65"/>
      <c r="FE325" s="71">
        <f t="shared" si="187"/>
        <v>0</v>
      </c>
      <c r="FF325" s="72">
        <f t="shared" si="188"/>
        <v>0</v>
      </c>
      <c r="FG325" s="65"/>
      <c r="FH325" s="65"/>
      <c r="FI325" s="65"/>
      <c r="FJ325" s="56">
        <f t="shared" si="189"/>
        <v>0</v>
      </c>
      <c r="FK325" s="65"/>
      <c r="FL325" s="65"/>
      <c r="FM325" s="65"/>
      <c r="FN325" s="65"/>
      <c r="FO325" s="67">
        <f t="shared" si="190"/>
        <v>0</v>
      </c>
      <c r="FP325" s="57"/>
      <c r="FQ325" s="73"/>
      <c r="FR325" s="73"/>
      <c r="FS325" s="71">
        <f t="shared" si="191"/>
        <v>0</v>
      </c>
      <c r="FT325" s="91"/>
      <c r="FU325" s="91"/>
      <c r="FV325" s="67">
        <f>SUM(Tableau1[[#This Row],[Droits d''auteurs SACEM + cotisations SACEM]:[Autres ou non préciés]])</f>
        <v>0</v>
      </c>
      <c r="FW325" s="75">
        <f t="shared" si="192"/>
        <v>0</v>
      </c>
      <c r="FX325" s="74">
        <v>0</v>
      </c>
      <c r="FY325" s="74"/>
      <c r="FZ325" s="74"/>
      <c r="GA325" s="74"/>
      <c r="GB325" s="71">
        <f t="shared" si="193"/>
        <v>0</v>
      </c>
      <c r="GC325" s="92"/>
      <c r="GD325" s="92"/>
      <c r="GE325" s="67">
        <f t="shared" si="194"/>
        <v>0</v>
      </c>
      <c r="GF325" s="66"/>
      <c r="GG325" s="66"/>
      <c r="GH325" s="66"/>
      <c r="GI325" s="66"/>
      <c r="GJ325" s="77"/>
    </row>
    <row r="326" spans="1:192" ht="18.600000000000001" customHeight="1" x14ac:dyDescent="0.25">
      <c r="A326" s="89"/>
      <c r="B326" s="17"/>
      <c r="C326" s="50"/>
      <c r="D326" s="140"/>
      <c r="E326" s="51"/>
      <c r="F326" s="139">
        <f t="shared" si="198"/>
        <v>1</v>
      </c>
      <c r="G326" s="49"/>
      <c r="H326" s="50"/>
      <c r="I326" s="122"/>
      <c r="J326" s="49"/>
      <c r="K326" s="50"/>
      <c r="L326" s="50"/>
      <c r="M326" s="90"/>
      <c r="N326" s="50"/>
      <c r="O326" s="50"/>
      <c r="P326" s="90"/>
      <c r="Q326" s="52">
        <f t="shared" ref="Q326:Q389" si="203">R326+BH326+BK326</f>
        <v>0</v>
      </c>
      <c r="R326" s="52">
        <f t="shared" ref="R326:R389" si="204">S326+AU326</f>
        <v>0</v>
      </c>
      <c r="S326" s="53">
        <f t="shared" ref="S326:S389" si="205">SUM(T326,AC326,AL326)</f>
        <v>0</v>
      </c>
      <c r="T326" s="54">
        <f t="shared" ref="T326:T389" si="206">SUM(V326:W326,Y326:AB326)</f>
        <v>0</v>
      </c>
      <c r="U326" s="115">
        <f>SUM(Tableau1[[#This Row],[Vente confiserie]:[Vente boisson]])</f>
        <v>0</v>
      </c>
      <c r="V326" s="55"/>
      <c r="W326" s="55"/>
      <c r="X326" s="135">
        <f>SUM(Tableau1[[#This Row],[Vente lunette]:[Location lunette]])</f>
        <v>0</v>
      </c>
      <c r="Y326" s="55"/>
      <c r="Z326" s="55"/>
      <c r="AA326" s="55"/>
      <c r="AB326" s="55"/>
      <c r="AC326" s="56">
        <f t="shared" si="196"/>
        <v>0</v>
      </c>
      <c r="AD326" s="57"/>
      <c r="AE326" s="57"/>
      <c r="AF326" s="57"/>
      <c r="AG326" s="57"/>
      <c r="AH326" s="57"/>
      <c r="AI326" s="57"/>
      <c r="AJ326" s="118">
        <f>(Tableau1[[#This Row],[Recette guichet ]]*1.1275177)-Tableau1[[#This Row],[Recette guichet ]]</f>
        <v>0</v>
      </c>
      <c r="AK326" s="57"/>
      <c r="AL326" s="56">
        <f t="shared" si="197"/>
        <v>0</v>
      </c>
      <c r="AM326" s="58"/>
      <c r="AN326" s="58"/>
      <c r="AO326" s="58"/>
      <c r="AP326" s="115">
        <f t="shared" ref="AP326:AP389" si="207">SUM(AQ326:AS326)</f>
        <v>0</v>
      </c>
      <c r="AQ326" s="69"/>
      <c r="AR326" s="69"/>
      <c r="AS326" s="69"/>
      <c r="AT326" s="69"/>
      <c r="AU326" s="59">
        <f t="shared" ref="AU326:AU389" si="208">SUM(AV326,AZ326,BD326)</f>
        <v>0</v>
      </c>
      <c r="AV326" s="60">
        <f t="shared" ref="AV326:AV389" si="209">SUM(AW326:AY326)</f>
        <v>0</v>
      </c>
      <c r="AW326" s="58"/>
      <c r="AX326" s="58"/>
      <c r="AY326" s="58"/>
      <c r="AZ326" s="60">
        <f t="shared" si="199"/>
        <v>0</v>
      </c>
      <c r="BA326" s="58"/>
      <c r="BB326" s="58"/>
      <c r="BC326" s="58"/>
      <c r="BD326" s="60">
        <f>SUM(Tableau1[[#This Row],[ticket/carte/abonnement périmé]:[Autres ou non précisé 5]])</f>
        <v>0</v>
      </c>
      <c r="BE326" s="58"/>
      <c r="BF326" s="58"/>
      <c r="BG326" s="58"/>
      <c r="BH326" s="61">
        <f t="shared" ref="BH326:BH389" si="210">SUM(BI326:BJ326)</f>
        <v>0</v>
      </c>
      <c r="BI326" s="120"/>
      <c r="BJ326" s="120"/>
      <c r="BK326" s="62">
        <f t="shared" ref="BK326:BK389" si="211">SUM(BL326:BQ326)</f>
        <v>0</v>
      </c>
      <c r="BL326" s="120"/>
      <c r="BM326" s="120"/>
      <c r="BN326" s="120"/>
      <c r="BO326" s="120"/>
      <c r="BP326" s="120"/>
      <c r="BQ326" s="63"/>
      <c r="BR326" s="52">
        <f t="shared" ref="BR326:BR389" si="212">BS326+GB326+GE326+GJ326</f>
        <v>0</v>
      </c>
      <c r="BS326" s="52">
        <f t="shared" ref="BS326:BS389" si="213">BT326+CH326+FE326+FO326+FS326+FV326</f>
        <v>0</v>
      </c>
      <c r="BT326" s="61">
        <f t="shared" ref="BT326:BT389" si="214">SUM(BU326,CC326,BZ326)</f>
        <v>0</v>
      </c>
      <c r="BU326" s="64">
        <f t="shared" ref="BU326:BU389" si="215">SUM(BW326:BY326)</f>
        <v>0</v>
      </c>
      <c r="BV326" s="119">
        <f>SUM(Tableau1[[#This Row],[Achats confiserie]:[Achats boisson]])</f>
        <v>0</v>
      </c>
      <c r="BW326" s="58"/>
      <c r="BX326" s="69"/>
      <c r="BY326" s="58"/>
      <c r="BZ326" s="56">
        <f t="shared" ref="BZ326:BZ389" si="216">SUM(CA326:CB326)</f>
        <v>0</v>
      </c>
      <c r="CA326" s="66"/>
      <c r="CB326" s="66"/>
      <c r="CC326" s="56">
        <f t="shared" ref="CC326:CC389" si="217">SUM(CD326:CG326)</f>
        <v>0</v>
      </c>
      <c r="CD326" s="55"/>
      <c r="CE326" s="65"/>
      <c r="CF326" s="55"/>
      <c r="CG326" s="55"/>
      <c r="CH326" s="67">
        <f t="shared" ref="CH326:CH389" si="218">SUM(CI326,CO326,CX326,DD326,DI326,DM326,DP326,DS326,DW326,EC326,EL326,ET326,EZ326,FC326,EI326)</f>
        <v>0</v>
      </c>
      <c r="CI326" s="68">
        <f t="shared" si="195"/>
        <v>0</v>
      </c>
      <c r="CJ326" s="55"/>
      <c r="CK326" s="55"/>
      <c r="CL326" s="55"/>
      <c r="CM326" s="55"/>
      <c r="CN326" s="55"/>
      <c r="CO326" s="68">
        <f t="shared" ref="CO326:CO389" si="219">SUM(CQ326:CW326)</f>
        <v>0</v>
      </c>
      <c r="CP326" s="75">
        <f>SUM(Tableau1[[#This Row],[Fourniture eau]:[Energie (non précisé)]])</f>
        <v>0</v>
      </c>
      <c r="CQ326" s="55"/>
      <c r="CR326" s="55"/>
      <c r="CS326" s="55"/>
      <c r="CT326" s="55"/>
      <c r="CU326" s="55"/>
      <c r="CV326" s="55">
        <v>0</v>
      </c>
      <c r="CW326" s="55"/>
      <c r="CX326" s="68">
        <f>SUM(Tableau1[[#This Row],[Sous-traitance]:[Autres ou non précisé 12]])</f>
        <v>0</v>
      </c>
      <c r="CY326" s="65"/>
      <c r="CZ326" s="65"/>
      <c r="DA326" s="65"/>
      <c r="DB326" s="65"/>
      <c r="DC326" s="55"/>
      <c r="DD326" s="68">
        <f t="shared" si="200"/>
        <v>0</v>
      </c>
      <c r="DE326" s="55"/>
      <c r="DF326" s="65"/>
      <c r="DG326" s="65"/>
      <c r="DH326" s="65"/>
      <c r="DI326" s="68">
        <f>SUM(Tableau1[[#This Row],[Entretien et réparation matériel de projection]:[Autres ou non précisé 14]])</f>
        <v>0</v>
      </c>
      <c r="DJ326" s="58"/>
      <c r="DK326" s="58"/>
      <c r="DL326" s="69"/>
      <c r="DM326" s="68">
        <f t="shared" ref="DM326:DM389" si="220">SUM(DN326:DO326)</f>
        <v>0</v>
      </c>
      <c r="DN326" s="58"/>
      <c r="DO326" s="58"/>
      <c r="DP326" s="68">
        <f t="shared" ref="DP326:DP389" si="221">SUM(DQ326:DR326)</f>
        <v>0</v>
      </c>
      <c r="DQ326" s="65"/>
      <c r="DR326" s="65"/>
      <c r="DS326" s="68">
        <f t="shared" ref="DS326:DS389" si="222">SUM(DT326:DV326)</f>
        <v>0</v>
      </c>
      <c r="DT326" s="65"/>
      <c r="DU326" s="65"/>
      <c r="DV326" s="65"/>
      <c r="DW326" s="68">
        <f>SUM(Tableau1[[#This Row],[Comission et courtage sur achats]:[Autres ou honoraires
 non précisé ]])</f>
        <v>0</v>
      </c>
      <c r="DX326" s="57"/>
      <c r="DY326" s="57"/>
      <c r="DZ326" s="65"/>
      <c r="EA326" s="65"/>
      <c r="EB326" s="65"/>
      <c r="EC326" s="68">
        <f t="shared" ref="EC326:EC389" si="223">SUM(ED326:EH326)</f>
        <v>0</v>
      </c>
      <c r="ED326" s="69"/>
      <c r="EE326" s="69"/>
      <c r="EF326" s="69"/>
      <c r="EG326" s="69"/>
      <c r="EH326" s="69"/>
      <c r="EI326" s="84">
        <f>SUM(Tableau1[[#This Row],[Transports sur films]:[autres ]])</f>
        <v>0</v>
      </c>
      <c r="EJ326" s="132">
        <v>0</v>
      </c>
      <c r="EK326" s="132"/>
      <c r="EL326" s="68">
        <f t="shared" ref="EL326:EL389" si="224">SUM(EM326:ES326)</f>
        <v>0</v>
      </c>
      <c r="EM326" s="65"/>
      <c r="EN326" s="65">
        <v>0</v>
      </c>
      <c r="EO326" s="65"/>
      <c r="EP326" s="65"/>
      <c r="EQ326" s="65"/>
      <c r="ER326" s="65"/>
      <c r="ES326" s="65"/>
      <c r="ET326" s="68">
        <f t="shared" ref="ET326:ET389" si="225">SUM(EU326:EY326)</f>
        <v>0</v>
      </c>
      <c r="EU326" s="65"/>
      <c r="EV326" s="65"/>
      <c r="EW326" s="65"/>
      <c r="EX326" s="65"/>
      <c r="EY326" s="65"/>
      <c r="EZ326" s="68">
        <f t="shared" si="202"/>
        <v>0</v>
      </c>
      <c r="FA326" s="65"/>
      <c r="FB326" s="65"/>
      <c r="FC326" s="70">
        <f t="shared" si="201"/>
        <v>0</v>
      </c>
      <c r="FD326" s="65"/>
      <c r="FE326" s="71">
        <f t="shared" ref="FE326:FE389" si="226">SUM(FF326,FJ326)</f>
        <v>0</v>
      </c>
      <c r="FF326" s="72">
        <f t="shared" ref="FF326:FF389" si="227">SUM(FG326:FI326)</f>
        <v>0</v>
      </c>
      <c r="FG326" s="65"/>
      <c r="FH326" s="65"/>
      <c r="FI326" s="65"/>
      <c r="FJ326" s="56">
        <f t="shared" ref="FJ326:FJ389" si="228">SUM(FK326:FN326)</f>
        <v>0</v>
      </c>
      <c r="FK326" s="65"/>
      <c r="FL326" s="65"/>
      <c r="FM326" s="65"/>
      <c r="FN326" s="65"/>
      <c r="FO326" s="67">
        <f t="shared" ref="FO326:FO389" si="229">SUM(FP326:FR326)</f>
        <v>0</v>
      </c>
      <c r="FP326" s="57"/>
      <c r="FQ326" s="73"/>
      <c r="FR326" s="73"/>
      <c r="FS326" s="71">
        <f t="shared" ref="FS326:FS389" si="230">SUM(FT326:FU326)</f>
        <v>0</v>
      </c>
      <c r="FT326" s="91"/>
      <c r="FU326" s="91"/>
      <c r="FV326" s="67">
        <f>SUM(Tableau1[[#This Row],[Droits d''auteurs SACEM + cotisations SACEM]:[Autres ou non préciés]])</f>
        <v>0</v>
      </c>
      <c r="FW326" s="75">
        <f t="shared" ref="FW326:FW389" si="231">SUM(FX326:FZ326)</f>
        <v>0</v>
      </c>
      <c r="FX326" s="74">
        <v>0</v>
      </c>
      <c r="FY326" s="74"/>
      <c r="FZ326" s="74"/>
      <c r="GA326" s="74"/>
      <c r="GB326" s="71">
        <f t="shared" ref="GB326:GB389" si="232">SUM(GC326:GD326)</f>
        <v>0</v>
      </c>
      <c r="GC326" s="92"/>
      <c r="GD326" s="92"/>
      <c r="GE326" s="67">
        <f t="shared" ref="GE326:GE389" si="233">SUM(GF326:GI326)</f>
        <v>0</v>
      </c>
      <c r="GF326" s="66"/>
      <c r="GG326" s="66"/>
      <c r="GH326" s="66"/>
      <c r="GI326" s="66"/>
      <c r="GJ326" s="77"/>
    </row>
    <row r="327" spans="1:192" ht="18.600000000000001" customHeight="1" x14ac:dyDescent="0.25">
      <c r="A327" s="89"/>
      <c r="B327" s="17"/>
      <c r="C327" s="50"/>
      <c r="D327" s="140"/>
      <c r="E327" s="51"/>
      <c r="F327" s="139">
        <f t="shared" si="198"/>
        <v>1</v>
      </c>
      <c r="G327" s="49"/>
      <c r="H327" s="50"/>
      <c r="I327" s="122"/>
      <c r="J327" s="49"/>
      <c r="K327" s="50"/>
      <c r="L327" s="50"/>
      <c r="M327" s="90"/>
      <c r="N327" s="50"/>
      <c r="O327" s="50"/>
      <c r="P327" s="90"/>
      <c r="Q327" s="52">
        <f t="shared" si="203"/>
        <v>0</v>
      </c>
      <c r="R327" s="52">
        <f t="shared" si="204"/>
        <v>0</v>
      </c>
      <c r="S327" s="53">
        <f t="shared" si="205"/>
        <v>0</v>
      </c>
      <c r="T327" s="54">
        <f t="shared" si="206"/>
        <v>0</v>
      </c>
      <c r="U327" s="115">
        <f>SUM(Tableau1[[#This Row],[Vente confiserie]:[Vente boisson]])</f>
        <v>0</v>
      </c>
      <c r="V327" s="55"/>
      <c r="W327" s="55"/>
      <c r="X327" s="135">
        <f>SUM(Tableau1[[#This Row],[Vente lunette]:[Location lunette]])</f>
        <v>0</v>
      </c>
      <c r="Y327" s="55"/>
      <c r="Z327" s="55"/>
      <c r="AA327" s="55"/>
      <c r="AB327" s="55"/>
      <c r="AC327" s="56">
        <f t="shared" si="196"/>
        <v>0</v>
      </c>
      <c r="AD327" s="57"/>
      <c r="AE327" s="57"/>
      <c r="AF327" s="57"/>
      <c r="AG327" s="57"/>
      <c r="AH327" s="57"/>
      <c r="AI327" s="57"/>
      <c r="AJ327" s="118">
        <f>(Tableau1[[#This Row],[Recette guichet ]]*1.1275177)-Tableau1[[#This Row],[Recette guichet ]]</f>
        <v>0</v>
      </c>
      <c r="AK327" s="57"/>
      <c r="AL327" s="56">
        <f t="shared" si="197"/>
        <v>0</v>
      </c>
      <c r="AM327" s="58"/>
      <c r="AN327" s="58"/>
      <c r="AO327" s="58"/>
      <c r="AP327" s="115">
        <f t="shared" si="207"/>
        <v>0</v>
      </c>
      <c r="AQ327" s="69"/>
      <c r="AR327" s="69"/>
      <c r="AS327" s="69"/>
      <c r="AT327" s="69"/>
      <c r="AU327" s="59">
        <f t="shared" si="208"/>
        <v>0</v>
      </c>
      <c r="AV327" s="60">
        <f t="shared" si="209"/>
        <v>0</v>
      </c>
      <c r="AW327" s="58"/>
      <c r="AX327" s="58"/>
      <c r="AY327" s="58"/>
      <c r="AZ327" s="60">
        <f t="shared" si="199"/>
        <v>0</v>
      </c>
      <c r="BA327" s="58"/>
      <c r="BB327" s="58"/>
      <c r="BC327" s="58"/>
      <c r="BD327" s="60">
        <f>SUM(Tableau1[[#This Row],[ticket/carte/abonnement périmé]:[Autres ou non précisé 5]])</f>
        <v>0</v>
      </c>
      <c r="BE327" s="58"/>
      <c r="BF327" s="58"/>
      <c r="BG327" s="58"/>
      <c r="BH327" s="61">
        <f t="shared" si="210"/>
        <v>0</v>
      </c>
      <c r="BI327" s="120"/>
      <c r="BJ327" s="120"/>
      <c r="BK327" s="62">
        <f t="shared" si="211"/>
        <v>0</v>
      </c>
      <c r="BL327" s="120"/>
      <c r="BM327" s="120"/>
      <c r="BN327" s="120"/>
      <c r="BO327" s="120"/>
      <c r="BP327" s="120"/>
      <c r="BQ327" s="63"/>
      <c r="BR327" s="52">
        <f t="shared" si="212"/>
        <v>0</v>
      </c>
      <c r="BS327" s="52">
        <f t="shared" si="213"/>
        <v>0</v>
      </c>
      <c r="BT327" s="61">
        <f t="shared" si="214"/>
        <v>0</v>
      </c>
      <c r="BU327" s="64">
        <f t="shared" si="215"/>
        <v>0</v>
      </c>
      <c r="BV327" s="119">
        <f>SUM(Tableau1[[#This Row],[Achats confiserie]:[Achats boisson]])</f>
        <v>0</v>
      </c>
      <c r="BW327" s="58"/>
      <c r="BX327" s="69"/>
      <c r="BY327" s="58"/>
      <c r="BZ327" s="56">
        <f t="shared" si="216"/>
        <v>0</v>
      </c>
      <c r="CA327" s="66"/>
      <c r="CB327" s="66"/>
      <c r="CC327" s="56">
        <f t="shared" si="217"/>
        <v>0</v>
      </c>
      <c r="CD327" s="55"/>
      <c r="CE327" s="65"/>
      <c r="CF327" s="55"/>
      <c r="CG327" s="55"/>
      <c r="CH327" s="67">
        <f t="shared" si="218"/>
        <v>0</v>
      </c>
      <c r="CI327" s="68">
        <f t="shared" si="195"/>
        <v>0</v>
      </c>
      <c r="CJ327" s="55"/>
      <c r="CK327" s="55"/>
      <c r="CL327" s="55"/>
      <c r="CM327" s="55"/>
      <c r="CN327" s="55"/>
      <c r="CO327" s="68">
        <f t="shared" si="219"/>
        <v>0</v>
      </c>
      <c r="CP327" s="75">
        <f>SUM(Tableau1[[#This Row],[Fourniture eau]:[Energie (non précisé)]])</f>
        <v>0</v>
      </c>
      <c r="CQ327" s="55"/>
      <c r="CR327" s="55"/>
      <c r="CS327" s="55"/>
      <c r="CT327" s="55"/>
      <c r="CU327" s="55"/>
      <c r="CV327" s="55">
        <v>0</v>
      </c>
      <c r="CW327" s="55"/>
      <c r="CX327" s="68">
        <f>SUM(Tableau1[[#This Row],[Sous-traitance]:[Autres ou non précisé 12]])</f>
        <v>0</v>
      </c>
      <c r="CY327" s="65"/>
      <c r="CZ327" s="65"/>
      <c r="DA327" s="65"/>
      <c r="DB327" s="65"/>
      <c r="DC327" s="55"/>
      <c r="DD327" s="68">
        <f t="shared" si="200"/>
        <v>0</v>
      </c>
      <c r="DE327" s="55"/>
      <c r="DF327" s="65"/>
      <c r="DG327" s="65"/>
      <c r="DH327" s="65"/>
      <c r="DI327" s="68">
        <f>SUM(Tableau1[[#This Row],[Entretien et réparation matériel de projection]:[Autres ou non précisé 14]])</f>
        <v>0</v>
      </c>
      <c r="DJ327" s="58"/>
      <c r="DK327" s="58"/>
      <c r="DL327" s="69"/>
      <c r="DM327" s="68">
        <f t="shared" si="220"/>
        <v>0</v>
      </c>
      <c r="DN327" s="58"/>
      <c r="DO327" s="58"/>
      <c r="DP327" s="68">
        <f t="shared" si="221"/>
        <v>0</v>
      </c>
      <c r="DQ327" s="65"/>
      <c r="DR327" s="65"/>
      <c r="DS327" s="68">
        <f t="shared" si="222"/>
        <v>0</v>
      </c>
      <c r="DT327" s="65"/>
      <c r="DU327" s="65"/>
      <c r="DV327" s="65"/>
      <c r="DW327" s="68">
        <f>SUM(Tableau1[[#This Row],[Comission et courtage sur achats]:[Autres ou honoraires
 non précisé ]])</f>
        <v>0</v>
      </c>
      <c r="DX327" s="57"/>
      <c r="DY327" s="57"/>
      <c r="DZ327" s="65"/>
      <c r="EA327" s="65"/>
      <c r="EB327" s="65"/>
      <c r="EC327" s="68">
        <f t="shared" si="223"/>
        <v>0</v>
      </c>
      <c r="ED327" s="69"/>
      <c r="EE327" s="69"/>
      <c r="EF327" s="69"/>
      <c r="EG327" s="69"/>
      <c r="EH327" s="69"/>
      <c r="EI327" s="84">
        <f>SUM(Tableau1[[#This Row],[Transports sur films]:[autres ]])</f>
        <v>0</v>
      </c>
      <c r="EJ327" s="132">
        <v>0</v>
      </c>
      <c r="EK327" s="132"/>
      <c r="EL327" s="68">
        <f t="shared" si="224"/>
        <v>0</v>
      </c>
      <c r="EM327" s="65"/>
      <c r="EN327" s="65">
        <v>0</v>
      </c>
      <c r="EO327" s="65"/>
      <c r="EP327" s="65"/>
      <c r="EQ327" s="65"/>
      <c r="ER327" s="65"/>
      <c r="ES327" s="65"/>
      <c r="ET327" s="68">
        <f t="shared" si="225"/>
        <v>0</v>
      </c>
      <c r="EU327" s="65"/>
      <c r="EV327" s="65"/>
      <c r="EW327" s="65"/>
      <c r="EX327" s="65"/>
      <c r="EY327" s="65"/>
      <c r="EZ327" s="68">
        <f t="shared" si="202"/>
        <v>0</v>
      </c>
      <c r="FA327" s="65"/>
      <c r="FB327" s="65"/>
      <c r="FC327" s="70">
        <f t="shared" si="201"/>
        <v>0</v>
      </c>
      <c r="FD327" s="65"/>
      <c r="FE327" s="71">
        <f t="shared" si="226"/>
        <v>0</v>
      </c>
      <c r="FF327" s="72">
        <f t="shared" si="227"/>
        <v>0</v>
      </c>
      <c r="FG327" s="65"/>
      <c r="FH327" s="65"/>
      <c r="FI327" s="65"/>
      <c r="FJ327" s="56">
        <f t="shared" si="228"/>
        <v>0</v>
      </c>
      <c r="FK327" s="65"/>
      <c r="FL327" s="65"/>
      <c r="FM327" s="65"/>
      <c r="FN327" s="65"/>
      <c r="FO327" s="67">
        <f t="shared" si="229"/>
        <v>0</v>
      </c>
      <c r="FP327" s="57"/>
      <c r="FQ327" s="73"/>
      <c r="FR327" s="73"/>
      <c r="FS327" s="71">
        <f t="shared" si="230"/>
        <v>0</v>
      </c>
      <c r="FT327" s="91"/>
      <c r="FU327" s="91"/>
      <c r="FV327" s="67">
        <f>SUM(Tableau1[[#This Row],[Droits d''auteurs SACEM + cotisations SACEM]:[Autres ou non préciés]])</f>
        <v>0</v>
      </c>
      <c r="FW327" s="75">
        <f t="shared" si="231"/>
        <v>0</v>
      </c>
      <c r="FX327" s="74">
        <v>0</v>
      </c>
      <c r="FY327" s="74"/>
      <c r="FZ327" s="74"/>
      <c r="GA327" s="74"/>
      <c r="GB327" s="71">
        <f t="shared" si="232"/>
        <v>0</v>
      </c>
      <c r="GC327" s="92"/>
      <c r="GD327" s="92"/>
      <c r="GE327" s="67">
        <f t="shared" si="233"/>
        <v>0</v>
      </c>
      <c r="GF327" s="66"/>
      <c r="GG327" s="66"/>
      <c r="GH327" s="66"/>
      <c r="GI327" s="66"/>
      <c r="GJ327" s="77"/>
    </row>
    <row r="328" spans="1:192" ht="18.600000000000001" customHeight="1" x14ac:dyDescent="0.25">
      <c r="A328" s="89"/>
      <c r="B328" s="17"/>
      <c r="C328" s="50"/>
      <c r="D328" s="140"/>
      <c r="E328" s="51"/>
      <c r="F328" s="139">
        <f t="shared" si="198"/>
        <v>1</v>
      </c>
      <c r="G328" s="49"/>
      <c r="H328" s="50"/>
      <c r="I328" s="122"/>
      <c r="J328" s="49"/>
      <c r="K328" s="50"/>
      <c r="L328" s="50"/>
      <c r="M328" s="90"/>
      <c r="N328" s="50"/>
      <c r="O328" s="50"/>
      <c r="P328" s="90"/>
      <c r="Q328" s="52">
        <f t="shared" si="203"/>
        <v>0</v>
      </c>
      <c r="R328" s="52">
        <f t="shared" si="204"/>
        <v>0</v>
      </c>
      <c r="S328" s="53">
        <f t="shared" si="205"/>
        <v>0</v>
      </c>
      <c r="T328" s="54">
        <f t="shared" si="206"/>
        <v>0</v>
      </c>
      <c r="U328" s="115">
        <f>SUM(Tableau1[[#This Row],[Vente confiserie]:[Vente boisson]])</f>
        <v>0</v>
      </c>
      <c r="V328" s="55"/>
      <c r="W328" s="55"/>
      <c r="X328" s="135">
        <f>SUM(Tableau1[[#This Row],[Vente lunette]:[Location lunette]])</f>
        <v>0</v>
      </c>
      <c r="Y328" s="55"/>
      <c r="Z328" s="55"/>
      <c r="AA328" s="55"/>
      <c r="AB328" s="55"/>
      <c r="AC328" s="56">
        <f t="shared" si="196"/>
        <v>0</v>
      </c>
      <c r="AD328" s="57"/>
      <c r="AE328" s="57"/>
      <c r="AF328" s="57"/>
      <c r="AG328" s="57"/>
      <c r="AH328" s="57"/>
      <c r="AI328" s="57"/>
      <c r="AJ328" s="118">
        <f>(Tableau1[[#This Row],[Recette guichet ]]*1.1275177)-Tableau1[[#This Row],[Recette guichet ]]</f>
        <v>0</v>
      </c>
      <c r="AK328" s="57"/>
      <c r="AL328" s="56">
        <f t="shared" si="197"/>
        <v>0</v>
      </c>
      <c r="AM328" s="58"/>
      <c r="AN328" s="58"/>
      <c r="AO328" s="58"/>
      <c r="AP328" s="115">
        <f t="shared" si="207"/>
        <v>0</v>
      </c>
      <c r="AQ328" s="69"/>
      <c r="AR328" s="69"/>
      <c r="AS328" s="69"/>
      <c r="AT328" s="69"/>
      <c r="AU328" s="59">
        <f t="shared" si="208"/>
        <v>0</v>
      </c>
      <c r="AV328" s="60">
        <f t="shared" si="209"/>
        <v>0</v>
      </c>
      <c r="AW328" s="58"/>
      <c r="AX328" s="58"/>
      <c r="AY328" s="58"/>
      <c r="AZ328" s="60">
        <f t="shared" si="199"/>
        <v>0</v>
      </c>
      <c r="BA328" s="58"/>
      <c r="BB328" s="58"/>
      <c r="BC328" s="58"/>
      <c r="BD328" s="60">
        <f>SUM(Tableau1[[#This Row],[ticket/carte/abonnement périmé]:[Autres ou non précisé 5]])</f>
        <v>0</v>
      </c>
      <c r="BE328" s="58"/>
      <c r="BF328" s="58"/>
      <c r="BG328" s="58"/>
      <c r="BH328" s="61">
        <f t="shared" si="210"/>
        <v>0</v>
      </c>
      <c r="BI328" s="120"/>
      <c r="BJ328" s="120"/>
      <c r="BK328" s="62">
        <f t="shared" si="211"/>
        <v>0</v>
      </c>
      <c r="BL328" s="120"/>
      <c r="BM328" s="120"/>
      <c r="BN328" s="120"/>
      <c r="BO328" s="120"/>
      <c r="BP328" s="120"/>
      <c r="BQ328" s="63"/>
      <c r="BR328" s="52">
        <f t="shared" si="212"/>
        <v>0</v>
      </c>
      <c r="BS328" s="52">
        <f t="shared" si="213"/>
        <v>0</v>
      </c>
      <c r="BT328" s="61">
        <f t="shared" si="214"/>
        <v>0</v>
      </c>
      <c r="BU328" s="64">
        <f t="shared" si="215"/>
        <v>0</v>
      </c>
      <c r="BV328" s="119">
        <f>SUM(Tableau1[[#This Row],[Achats confiserie]:[Achats boisson]])</f>
        <v>0</v>
      </c>
      <c r="BW328" s="58"/>
      <c r="BX328" s="69"/>
      <c r="BY328" s="58"/>
      <c r="BZ328" s="56">
        <f t="shared" si="216"/>
        <v>0</v>
      </c>
      <c r="CA328" s="66"/>
      <c r="CB328" s="66"/>
      <c r="CC328" s="56">
        <f t="shared" si="217"/>
        <v>0</v>
      </c>
      <c r="CD328" s="55"/>
      <c r="CE328" s="65"/>
      <c r="CF328" s="55"/>
      <c r="CG328" s="55"/>
      <c r="CH328" s="67">
        <f t="shared" si="218"/>
        <v>0</v>
      </c>
      <c r="CI328" s="68">
        <f t="shared" si="195"/>
        <v>0</v>
      </c>
      <c r="CJ328" s="55"/>
      <c r="CK328" s="55"/>
      <c r="CL328" s="55"/>
      <c r="CM328" s="55"/>
      <c r="CN328" s="55"/>
      <c r="CO328" s="68">
        <f t="shared" si="219"/>
        <v>0</v>
      </c>
      <c r="CP328" s="75">
        <f>SUM(Tableau1[[#This Row],[Fourniture eau]:[Energie (non précisé)]])</f>
        <v>0</v>
      </c>
      <c r="CQ328" s="55"/>
      <c r="CR328" s="55"/>
      <c r="CS328" s="55"/>
      <c r="CT328" s="55"/>
      <c r="CU328" s="55"/>
      <c r="CV328" s="55">
        <v>0</v>
      </c>
      <c r="CW328" s="55"/>
      <c r="CX328" s="68">
        <f>SUM(Tableau1[[#This Row],[Sous-traitance]:[Autres ou non précisé 12]])</f>
        <v>0</v>
      </c>
      <c r="CY328" s="65"/>
      <c r="CZ328" s="65"/>
      <c r="DA328" s="65"/>
      <c r="DB328" s="65"/>
      <c r="DC328" s="55"/>
      <c r="DD328" s="68">
        <f t="shared" si="200"/>
        <v>0</v>
      </c>
      <c r="DE328" s="55"/>
      <c r="DF328" s="65"/>
      <c r="DG328" s="65"/>
      <c r="DH328" s="65"/>
      <c r="DI328" s="68">
        <f>SUM(Tableau1[[#This Row],[Entretien et réparation matériel de projection]:[Autres ou non précisé 14]])</f>
        <v>0</v>
      </c>
      <c r="DJ328" s="58"/>
      <c r="DK328" s="58"/>
      <c r="DL328" s="69"/>
      <c r="DM328" s="68">
        <f t="shared" si="220"/>
        <v>0</v>
      </c>
      <c r="DN328" s="58"/>
      <c r="DO328" s="58"/>
      <c r="DP328" s="68">
        <f t="shared" si="221"/>
        <v>0</v>
      </c>
      <c r="DQ328" s="65"/>
      <c r="DR328" s="65"/>
      <c r="DS328" s="68">
        <f t="shared" si="222"/>
        <v>0</v>
      </c>
      <c r="DT328" s="65"/>
      <c r="DU328" s="65"/>
      <c r="DV328" s="65"/>
      <c r="DW328" s="68">
        <f>SUM(Tableau1[[#This Row],[Comission et courtage sur achats]:[Autres ou honoraires
 non précisé ]])</f>
        <v>0</v>
      </c>
      <c r="DX328" s="57"/>
      <c r="DY328" s="57"/>
      <c r="DZ328" s="65"/>
      <c r="EA328" s="65"/>
      <c r="EB328" s="65"/>
      <c r="EC328" s="68">
        <f t="shared" si="223"/>
        <v>0</v>
      </c>
      <c r="ED328" s="69"/>
      <c r="EE328" s="69"/>
      <c r="EF328" s="69"/>
      <c r="EG328" s="69"/>
      <c r="EH328" s="69"/>
      <c r="EI328" s="84">
        <f>SUM(Tableau1[[#This Row],[Transports sur films]:[autres ]])</f>
        <v>0</v>
      </c>
      <c r="EJ328" s="132">
        <v>0</v>
      </c>
      <c r="EK328" s="132"/>
      <c r="EL328" s="68">
        <f t="shared" si="224"/>
        <v>0</v>
      </c>
      <c r="EM328" s="65"/>
      <c r="EN328" s="65">
        <v>0</v>
      </c>
      <c r="EO328" s="65"/>
      <c r="EP328" s="65"/>
      <c r="EQ328" s="65"/>
      <c r="ER328" s="65"/>
      <c r="ES328" s="65"/>
      <c r="ET328" s="68">
        <f t="shared" si="225"/>
        <v>0</v>
      </c>
      <c r="EU328" s="65"/>
      <c r="EV328" s="65"/>
      <c r="EW328" s="65"/>
      <c r="EX328" s="65"/>
      <c r="EY328" s="65"/>
      <c r="EZ328" s="68">
        <f t="shared" si="202"/>
        <v>0</v>
      </c>
      <c r="FA328" s="65"/>
      <c r="FB328" s="65"/>
      <c r="FC328" s="70">
        <f t="shared" si="201"/>
        <v>0</v>
      </c>
      <c r="FD328" s="65"/>
      <c r="FE328" s="71">
        <f t="shared" si="226"/>
        <v>0</v>
      </c>
      <c r="FF328" s="72">
        <f t="shared" si="227"/>
        <v>0</v>
      </c>
      <c r="FG328" s="65"/>
      <c r="FH328" s="65"/>
      <c r="FI328" s="65"/>
      <c r="FJ328" s="56">
        <f t="shared" si="228"/>
        <v>0</v>
      </c>
      <c r="FK328" s="65"/>
      <c r="FL328" s="65"/>
      <c r="FM328" s="65"/>
      <c r="FN328" s="65"/>
      <c r="FO328" s="67">
        <f t="shared" si="229"/>
        <v>0</v>
      </c>
      <c r="FP328" s="57"/>
      <c r="FQ328" s="73"/>
      <c r="FR328" s="73"/>
      <c r="FS328" s="71">
        <f t="shared" si="230"/>
        <v>0</v>
      </c>
      <c r="FT328" s="91"/>
      <c r="FU328" s="91"/>
      <c r="FV328" s="67">
        <f>SUM(Tableau1[[#This Row],[Droits d''auteurs SACEM + cotisations SACEM]:[Autres ou non préciés]])</f>
        <v>0</v>
      </c>
      <c r="FW328" s="75">
        <f t="shared" si="231"/>
        <v>0</v>
      </c>
      <c r="FX328" s="74">
        <v>0</v>
      </c>
      <c r="FY328" s="74"/>
      <c r="FZ328" s="74"/>
      <c r="GA328" s="74"/>
      <c r="GB328" s="71">
        <f t="shared" si="232"/>
        <v>0</v>
      </c>
      <c r="GC328" s="92"/>
      <c r="GD328" s="92"/>
      <c r="GE328" s="67">
        <f t="shared" si="233"/>
        <v>0</v>
      </c>
      <c r="GF328" s="66"/>
      <c r="GG328" s="66"/>
      <c r="GH328" s="66"/>
      <c r="GI328" s="66"/>
      <c r="GJ328" s="77"/>
    </row>
    <row r="329" spans="1:192" ht="18.600000000000001" customHeight="1" x14ac:dyDescent="0.25">
      <c r="A329" s="89"/>
      <c r="B329" s="17"/>
      <c r="C329" s="50"/>
      <c r="D329" s="140"/>
      <c r="E329" s="51"/>
      <c r="F329" s="139">
        <f t="shared" si="198"/>
        <v>1</v>
      </c>
      <c r="G329" s="49"/>
      <c r="H329" s="50"/>
      <c r="I329" s="122"/>
      <c r="J329" s="49"/>
      <c r="K329" s="50"/>
      <c r="L329" s="50"/>
      <c r="M329" s="90"/>
      <c r="N329" s="50"/>
      <c r="O329" s="50"/>
      <c r="P329" s="90"/>
      <c r="Q329" s="52">
        <f t="shared" si="203"/>
        <v>0</v>
      </c>
      <c r="R329" s="52">
        <f t="shared" si="204"/>
        <v>0</v>
      </c>
      <c r="S329" s="53">
        <f t="shared" si="205"/>
        <v>0</v>
      </c>
      <c r="T329" s="54">
        <f t="shared" si="206"/>
        <v>0</v>
      </c>
      <c r="U329" s="115">
        <f>SUM(Tableau1[[#This Row],[Vente confiserie]:[Vente boisson]])</f>
        <v>0</v>
      </c>
      <c r="V329" s="55"/>
      <c r="W329" s="55"/>
      <c r="X329" s="135">
        <f>SUM(Tableau1[[#This Row],[Vente lunette]:[Location lunette]])</f>
        <v>0</v>
      </c>
      <c r="Y329" s="55"/>
      <c r="Z329" s="55"/>
      <c r="AA329" s="55"/>
      <c r="AB329" s="55"/>
      <c r="AC329" s="56">
        <f t="shared" si="196"/>
        <v>0</v>
      </c>
      <c r="AD329" s="57"/>
      <c r="AE329" s="57"/>
      <c r="AF329" s="57"/>
      <c r="AG329" s="57"/>
      <c r="AH329" s="57"/>
      <c r="AI329" s="57"/>
      <c r="AJ329" s="118">
        <f>(Tableau1[[#This Row],[Recette guichet ]]*1.1275177)-Tableau1[[#This Row],[Recette guichet ]]</f>
        <v>0</v>
      </c>
      <c r="AK329" s="57"/>
      <c r="AL329" s="56">
        <f t="shared" si="197"/>
        <v>0</v>
      </c>
      <c r="AM329" s="58"/>
      <c r="AN329" s="58"/>
      <c r="AO329" s="58"/>
      <c r="AP329" s="115">
        <f t="shared" si="207"/>
        <v>0</v>
      </c>
      <c r="AQ329" s="69"/>
      <c r="AR329" s="69"/>
      <c r="AS329" s="69"/>
      <c r="AT329" s="69"/>
      <c r="AU329" s="59">
        <f t="shared" si="208"/>
        <v>0</v>
      </c>
      <c r="AV329" s="60">
        <f t="shared" si="209"/>
        <v>0</v>
      </c>
      <c r="AW329" s="58"/>
      <c r="AX329" s="58"/>
      <c r="AY329" s="58"/>
      <c r="AZ329" s="60">
        <f t="shared" si="199"/>
        <v>0</v>
      </c>
      <c r="BA329" s="58"/>
      <c r="BB329" s="58"/>
      <c r="BC329" s="58"/>
      <c r="BD329" s="60">
        <f>SUM(Tableau1[[#This Row],[ticket/carte/abonnement périmé]:[Autres ou non précisé 5]])</f>
        <v>0</v>
      </c>
      <c r="BE329" s="58"/>
      <c r="BF329" s="58"/>
      <c r="BG329" s="58"/>
      <c r="BH329" s="61">
        <f t="shared" si="210"/>
        <v>0</v>
      </c>
      <c r="BI329" s="120"/>
      <c r="BJ329" s="120"/>
      <c r="BK329" s="62">
        <f t="shared" si="211"/>
        <v>0</v>
      </c>
      <c r="BL329" s="120"/>
      <c r="BM329" s="120"/>
      <c r="BN329" s="120"/>
      <c r="BO329" s="120"/>
      <c r="BP329" s="120"/>
      <c r="BQ329" s="63"/>
      <c r="BR329" s="52">
        <f t="shared" si="212"/>
        <v>0</v>
      </c>
      <c r="BS329" s="52">
        <f t="shared" si="213"/>
        <v>0</v>
      </c>
      <c r="BT329" s="61">
        <f t="shared" si="214"/>
        <v>0</v>
      </c>
      <c r="BU329" s="64">
        <f t="shared" si="215"/>
        <v>0</v>
      </c>
      <c r="BV329" s="119">
        <f>SUM(Tableau1[[#This Row],[Achats confiserie]:[Achats boisson]])</f>
        <v>0</v>
      </c>
      <c r="BW329" s="58"/>
      <c r="BX329" s="69"/>
      <c r="BY329" s="58"/>
      <c r="BZ329" s="56">
        <f t="shared" si="216"/>
        <v>0</v>
      </c>
      <c r="CA329" s="66"/>
      <c r="CB329" s="66"/>
      <c r="CC329" s="56">
        <f t="shared" si="217"/>
        <v>0</v>
      </c>
      <c r="CD329" s="55"/>
      <c r="CE329" s="65"/>
      <c r="CF329" s="55"/>
      <c r="CG329" s="55"/>
      <c r="CH329" s="67">
        <f t="shared" si="218"/>
        <v>0</v>
      </c>
      <c r="CI329" s="68">
        <f t="shared" si="195"/>
        <v>0</v>
      </c>
      <c r="CJ329" s="55"/>
      <c r="CK329" s="55"/>
      <c r="CL329" s="55"/>
      <c r="CM329" s="55"/>
      <c r="CN329" s="55"/>
      <c r="CO329" s="68">
        <f t="shared" si="219"/>
        <v>0</v>
      </c>
      <c r="CP329" s="75">
        <f>SUM(Tableau1[[#This Row],[Fourniture eau]:[Energie (non précisé)]])</f>
        <v>0</v>
      </c>
      <c r="CQ329" s="55"/>
      <c r="CR329" s="55"/>
      <c r="CS329" s="55"/>
      <c r="CT329" s="55"/>
      <c r="CU329" s="55"/>
      <c r="CV329" s="55">
        <v>0</v>
      </c>
      <c r="CW329" s="55"/>
      <c r="CX329" s="68">
        <f>SUM(Tableau1[[#This Row],[Sous-traitance]:[Autres ou non précisé 12]])</f>
        <v>0</v>
      </c>
      <c r="CY329" s="65"/>
      <c r="CZ329" s="65"/>
      <c r="DA329" s="65"/>
      <c r="DB329" s="65"/>
      <c r="DC329" s="55"/>
      <c r="DD329" s="68">
        <f t="shared" si="200"/>
        <v>0</v>
      </c>
      <c r="DE329" s="55"/>
      <c r="DF329" s="65"/>
      <c r="DG329" s="65"/>
      <c r="DH329" s="65"/>
      <c r="DI329" s="68">
        <f>SUM(Tableau1[[#This Row],[Entretien et réparation matériel de projection]:[Autres ou non précisé 14]])</f>
        <v>0</v>
      </c>
      <c r="DJ329" s="58"/>
      <c r="DK329" s="58"/>
      <c r="DL329" s="69"/>
      <c r="DM329" s="68">
        <f t="shared" si="220"/>
        <v>0</v>
      </c>
      <c r="DN329" s="58"/>
      <c r="DO329" s="58"/>
      <c r="DP329" s="68">
        <f t="shared" si="221"/>
        <v>0</v>
      </c>
      <c r="DQ329" s="65"/>
      <c r="DR329" s="65"/>
      <c r="DS329" s="68">
        <f t="shared" si="222"/>
        <v>0</v>
      </c>
      <c r="DT329" s="65"/>
      <c r="DU329" s="65"/>
      <c r="DV329" s="65"/>
      <c r="DW329" s="68">
        <f>SUM(Tableau1[[#This Row],[Comission et courtage sur achats]:[Autres ou honoraires
 non précisé ]])</f>
        <v>0</v>
      </c>
      <c r="DX329" s="57"/>
      <c r="DY329" s="57"/>
      <c r="DZ329" s="65"/>
      <c r="EA329" s="65"/>
      <c r="EB329" s="65"/>
      <c r="EC329" s="68">
        <f t="shared" si="223"/>
        <v>0</v>
      </c>
      <c r="ED329" s="69"/>
      <c r="EE329" s="69"/>
      <c r="EF329" s="69"/>
      <c r="EG329" s="69"/>
      <c r="EH329" s="69"/>
      <c r="EI329" s="84">
        <f>SUM(Tableau1[[#This Row],[Transports sur films]:[autres ]])</f>
        <v>0</v>
      </c>
      <c r="EJ329" s="132">
        <v>0</v>
      </c>
      <c r="EK329" s="132"/>
      <c r="EL329" s="68">
        <f t="shared" si="224"/>
        <v>0</v>
      </c>
      <c r="EM329" s="65"/>
      <c r="EN329" s="65">
        <v>0</v>
      </c>
      <c r="EO329" s="65"/>
      <c r="EP329" s="65"/>
      <c r="EQ329" s="65"/>
      <c r="ER329" s="65"/>
      <c r="ES329" s="65"/>
      <c r="ET329" s="68">
        <f t="shared" si="225"/>
        <v>0</v>
      </c>
      <c r="EU329" s="65"/>
      <c r="EV329" s="65"/>
      <c r="EW329" s="65"/>
      <c r="EX329" s="65"/>
      <c r="EY329" s="65"/>
      <c r="EZ329" s="68">
        <f t="shared" si="202"/>
        <v>0</v>
      </c>
      <c r="FA329" s="65"/>
      <c r="FB329" s="65"/>
      <c r="FC329" s="70">
        <f t="shared" si="201"/>
        <v>0</v>
      </c>
      <c r="FD329" s="65"/>
      <c r="FE329" s="71">
        <f t="shared" si="226"/>
        <v>0</v>
      </c>
      <c r="FF329" s="72">
        <f t="shared" si="227"/>
        <v>0</v>
      </c>
      <c r="FG329" s="65"/>
      <c r="FH329" s="65"/>
      <c r="FI329" s="65"/>
      <c r="FJ329" s="56">
        <f t="shared" si="228"/>
        <v>0</v>
      </c>
      <c r="FK329" s="65"/>
      <c r="FL329" s="65"/>
      <c r="FM329" s="65"/>
      <c r="FN329" s="65"/>
      <c r="FO329" s="67">
        <f t="shared" si="229"/>
        <v>0</v>
      </c>
      <c r="FP329" s="57"/>
      <c r="FQ329" s="73"/>
      <c r="FR329" s="73"/>
      <c r="FS329" s="71">
        <f t="shared" si="230"/>
        <v>0</v>
      </c>
      <c r="FT329" s="91"/>
      <c r="FU329" s="91"/>
      <c r="FV329" s="67">
        <f>SUM(Tableau1[[#This Row],[Droits d''auteurs SACEM + cotisations SACEM]:[Autres ou non préciés]])</f>
        <v>0</v>
      </c>
      <c r="FW329" s="75">
        <f t="shared" si="231"/>
        <v>0</v>
      </c>
      <c r="FX329" s="74">
        <v>0</v>
      </c>
      <c r="FY329" s="74"/>
      <c r="FZ329" s="74"/>
      <c r="GA329" s="74"/>
      <c r="GB329" s="71">
        <f t="shared" si="232"/>
        <v>0</v>
      </c>
      <c r="GC329" s="92"/>
      <c r="GD329" s="92"/>
      <c r="GE329" s="67">
        <f t="shared" si="233"/>
        <v>0</v>
      </c>
      <c r="GF329" s="66"/>
      <c r="GG329" s="66"/>
      <c r="GH329" s="66"/>
      <c r="GI329" s="66"/>
      <c r="GJ329" s="77"/>
    </row>
    <row r="330" spans="1:192" ht="18.600000000000001" customHeight="1" x14ac:dyDescent="0.25">
      <c r="A330" s="89"/>
      <c r="B330" s="17"/>
      <c r="C330" s="50"/>
      <c r="D330" s="140"/>
      <c r="E330" s="51"/>
      <c r="F330" s="139">
        <f t="shared" si="198"/>
        <v>1</v>
      </c>
      <c r="G330" s="49"/>
      <c r="H330" s="50"/>
      <c r="I330" s="122"/>
      <c r="J330" s="49"/>
      <c r="K330" s="50"/>
      <c r="L330" s="50"/>
      <c r="M330" s="90"/>
      <c r="N330" s="50"/>
      <c r="O330" s="50"/>
      <c r="P330" s="90"/>
      <c r="Q330" s="52">
        <f t="shared" si="203"/>
        <v>0</v>
      </c>
      <c r="R330" s="52">
        <f t="shared" si="204"/>
        <v>0</v>
      </c>
      <c r="S330" s="53">
        <f t="shared" si="205"/>
        <v>0</v>
      </c>
      <c r="T330" s="54">
        <f t="shared" si="206"/>
        <v>0</v>
      </c>
      <c r="U330" s="115">
        <f>SUM(Tableau1[[#This Row],[Vente confiserie]:[Vente boisson]])</f>
        <v>0</v>
      </c>
      <c r="V330" s="55"/>
      <c r="W330" s="55"/>
      <c r="X330" s="135">
        <f>SUM(Tableau1[[#This Row],[Vente lunette]:[Location lunette]])</f>
        <v>0</v>
      </c>
      <c r="Y330" s="55"/>
      <c r="Z330" s="55"/>
      <c r="AA330" s="55"/>
      <c r="AB330" s="55"/>
      <c r="AC330" s="56">
        <f t="shared" si="196"/>
        <v>0</v>
      </c>
      <c r="AD330" s="57"/>
      <c r="AE330" s="57"/>
      <c r="AF330" s="57"/>
      <c r="AG330" s="57"/>
      <c r="AH330" s="57"/>
      <c r="AI330" s="57"/>
      <c r="AJ330" s="118">
        <f>(Tableau1[[#This Row],[Recette guichet ]]*1.1275177)-Tableau1[[#This Row],[Recette guichet ]]</f>
        <v>0</v>
      </c>
      <c r="AK330" s="57"/>
      <c r="AL330" s="56">
        <f t="shared" si="197"/>
        <v>0</v>
      </c>
      <c r="AM330" s="58"/>
      <c r="AN330" s="58"/>
      <c r="AO330" s="58"/>
      <c r="AP330" s="115">
        <f t="shared" si="207"/>
        <v>0</v>
      </c>
      <c r="AQ330" s="69"/>
      <c r="AR330" s="69"/>
      <c r="AS330" s="69"/>
      <c r="AT330" s="69"/>
      <c r="AU330" s="59">
        <f t="shared" si="208"/>
        <v>0</v>
      </c>
      <c r="AV330" s="60">
        <f t="shared" si="209"/>
        <v>0</v>
      </c>
      <c r="AW330" s="58"/>
      <c r="AX330" s="58"/>
      <c r="AY330" s="58"/>
      <c r="AZ330" s="60">
        <f t="shared" si="199"/>
        <v>0</v>
      </c>
      <c r="BA330" s="58"/>
      <c r="BB330" s="58"/>
      <c r="BC330" s="58"/>
      <c r="BD330" s="60">
        <f>SUM(Tableau1[[#This Row],[ticket/carte/abonnement périmé]:[Autres ou non précisé 5]])</f>
        <v>0</v>
      </c>
      <c r="BE330" s="58"/>
      <c r="BF330" s="58"/>
      <c r="BG330" s="58"/>
      <c r="BH330" s="61">
        <f t="shared" si="210"/>
        <v>0</v>
      </c>
      <c r="BI330" s="120"/>
      <c r="BJ330" s="120"/>
      <c r="BK330" s="62">
        <f t="shared" si="211"/>
        <v>0</v>
      </c>
      <c r="BL330" s="120"/>
      <c r="BM330" s="120"/>
      <c r="BN330" s="120"/>
      <c r="BO330" s="120"/>
      <c r="BP330" s="120"/>
      <c r="BQ330" s="63"/>
      <c r="BR330" s="52">
        <f t="shared" si="212"/>
        <v>0</v>
      </c>
      <c r="BS330" s="52">
        <f t="shared" si="213"/>
        <v>0</v>
      </c>
      <c r="BT330" s="61">
        <f t="shared" si="214"/>
        <v>0</v>
      </c>
      <c r="BU330" s="64">
        <f t="shared" si="215"/>
        <v>0</v>
      </c>
      <c r="BV330" s="119">
        <f>SUM(Tableau1[[#This Row],[Achats confiserie]:[Achats boisson]])</f>
        <v>0</v>
      </c>
      <c r="BW330" s="58"/>
      <c r="BX330" s="69"/>
      <c r="BY330" s="58"/>
      <c r="BZ330" s="56">
        <f t="shared" si="216"/>
        <v>0</v>
      </c>
      <c r="CA330" s="66"/>
      <c r="CB330" s="66"/>
      <c r="CC330" s="56">
        <f t="shared" si="217"/>
        <v>0</v>
      </c>
      <c r="CD330" s="55"/>
      <c r="CE330" s="65"/>
      <c r="CF330" s="55"/>
      <c r="CG330" s="55"/>
      <c r="CH330" s="67">
        <f t="shared" si="218"/>
        <v>0</v>
      </c>
      <c r="CI330" s="68">
        <f t="shared" si="195"/>
        <v>0</v>
      </c>
      <c r="CJ330" s="55"/>
      <c r="CK330" s="55"/>
      <c r="CL330" s="55"/>
      <c r="CM330" s="55"/>
      <c r="CN330" s="55"/>
      <c r="CO330" s="68">
        <f t="shared" si="219"/>
        <v>0</v>
      </c>
      <c r="CP330" s="75">
        <f>SUM(Tableau1[[#This Row],[Fourniture eau]:[Energie (non précisé)]])</f>
        <v>0</v>
      </c>
      <c r="CQ330" s="55"/>
      <c r="CR330" s="55"/>
      <c r="CS330" s="55"/>
      <c r="CT330" s="55"/>
      <c r="CU330" s="55"/>
      <c r="CV330" s="55">
        <v>0</v>
      </c>
      <c r="CW330" s="55"/>
      <c r="CX330" s="68">
        <f>SUM(Tableau1[[#This Row],[Sous-traitance]:[Autres ou non précisé 12]])</f>
        <v>0</v>
      </c>
      <c r="CY330" s="65"/>
      <c r="CZ330" s="65"/>
      <c r="DA330" s="65"/>
      <c r="DB330" s="65"/>
      <c r="DC330" s="55"/>
      <c r="DD330" s="68">
        <f t="shared" si="200"/>
        <v>0</v>
      </c>
      <c r="DE330" s="55"/>
      <c r="DF330" s="65"/>
      <c r="DG330" s="65"/>
      <c r="DH330" s="65"/>
      <c r="DI330" s="68">
        <f>SUM(Tableau1[[#This Row],[Entretien et réparation matériel de projection]:[Autres ou non précisé 14]])</f>
        <v>0</v>
      </c>
      <c r="DJ330" s="58"/>
      <c r="DK330" s="58"/>
      <c r="DL330" s="69"/>
      <c r="DM330" s="68">
        <f t="shared" si="220"/>
        <v>0</v>
      </c>
      <c r="DN330" s="58"/>
      <c r="DO330" s="58"/>
      <c r="DP330" s="68">
        <f t="shared" si="221"/>
        <v>0</v>
      </c>
      <c r="DQ330" s="65"/>
      <c r="DR330" s="65"/>
      <c r="DS330" s="68">
        <f t="shared" si="222"/>
        <v>0</v>
      </c>
      <c r="DT330" s="65"/>
      <c r="DU330" s="65"/>
      <c r="DV330" s="65"/>
      <c r="DW330" s="68">
        <f>SUM(Tableau1[[#This Row],[Comission et courtage sur achats]:[Autres ou honoraires
 non précisé ]])</f>
        <v>0</v>
      </c>
      <c r="DX330" s="57"/>
      <c r="DY330" s="57"/>
      <c r="DZ330" s="65"/>
      <c r="EA330" s="65"/>
      <c r="EB330" s="65"/>
      <c r="EC330" s="68">
        <f t="shared" si="223"/>
        <v>0</v>
      </c>
      <c r="ED330" s="69"/>
      <c r="EE330" s="69"/>
      <c r="EF330" s="69"/>
      <c r="EG330" s="69"/>
      <c r="EH330" s="69"/>
      <c r="EI330" s="84">
        <f>SUM(Tableau1[[#This Row],[Transports sur films]:[autres ]])</f>
        <v>0</v>
      </c>
      <c r="EJ330" s="132">
        <v>0</v>
      </c>
      <c r="EK330" s="132"/>
      <c r="EL330" s="68">
        <f t="shared" si="224"/>
        <v>0</v>
      </c>
      <c r="EM330" s="65"/>
      <c r="EN330" s="65">
        <v>0</v>
      </c>
      <c r="EO330" s="65"/>
      <c r="EP330" s="65"/>
      <c r="EQ330" s="65"/>
      <c r="ER330" s="65"/>
      <c r="ES330" s="65"/>
      <c r="ET330" s="68">
        <f t="shared" si="225"/>
        <v>0</v>
      </c>
      <c r="EU330" s="65"/>
      <c r="EV330" s="65"/>
      <c r="EW330" s="65"/>
      <c r="EX330" s="65"/>
      <c r="EY330" s="65"/>
      <c r="EZ330" s="68">
        <f t="shared" si="202"/>
        <v>0</v>
      </c>
      <c r="FA330" s="65"/>
      <c r="FB330" s="65"/>
      <c r="FC330" s="70">
        <f t="shared" si="201"/>
        <v>0</v>
      </c>
      <c r="FD330" s="65"/>
      <c r="FE330" s="71">
        <f t="shared" si="226"/>
        <v>0</v>
      </c>
      <c r="FF330" s="72">
        <f t="shared" si="227"/>
        <v>0</v>
      </c>
      <c r="FG330" s="65"/>
      <c r="FH330" s="65"/>
      <c r="FI330" s="65"/>
      <c r="FJ330" s="56">
        <f t="shared" si="228"/>
        <v>0</v>
      </c>
      <c r="FK330" s="65"/>
      <c r="FL330" s="65"/>
      <c r="FM330" s="65"/>
      <c r="FN330" s="65"/>
      <c r="FO330" s="67">
        <f t="shared" si="229"/>
        <v>0</v>
      </c>
      <c r="FP330" s="57"/>
      <c r="FQ330" s="73"/>
      <c r="FR330" s="73"/>
      <c r="FS330" s="71">
        <f t="shared" si="230"/>
        <v>0</v>
      </c>
      <c r="FT330" s="91"/>
      <c r="FU330" s="91"/>
      <c r="FV330" s="67">
        <f>SUM(Tableau1[[#This Row],[Droits d''auteurs SACEM + cotisations SACEM]:[Autres ou non préciés]])</f>
        <v>0</v>
      </c>
      <c r="FW330" s="75">
        <f t="shared" si="231"/>
        <v>0</v>
      </c>
      <c r="FX330" s="74">
        <v>0</v>
      </c>
      <c r="FY330" s="74"/>
      <c r="FZ330" s="74"/>
      <c r="GA330" s="74"/>
      <c r="GB330" s="71">
        <f t="shared" si="232"/>
        <v>0</v>
      </c>
      <c r="GC330" s="92"/>
      <c r="GD330" s="92"/>
      <c r="GE330" s="67">
        <f t="shared" si="233"/>
        <v>0</v>
      </c>
      <c r="GF330" s="66"/>
      <c r="GG330" s="66"/>
      <c r="GH330" s="66"/>
      <c r="GI330" s="66"/>
      <c r="GJ330" s="77"/>
    </row>
    <row r="331" spans="1:192" ht="18.600000000000001" customHeight="1" x14ac:dyDescent="0.25">
      <c r="A331" s="89"/>
      <c r="B331" s="17"/>
      <c r="C331" s="50"/>
      <c r="D331" s="140"/>
      <c r="E331" s="51"/>
      <c r="F331" s="139">
        <f t="shared" si="198"/>
        <v>1</v>
      </c>
      <c r="G331" s="49"/>
      <c r="H331" s="50"/>
      <c r="I331" s="122"/>
      <c r="J331" s="49"/>
      <c r="K331" s="50"/>
      <c r="L331" s="50"/>
      <c r="M331" s="90"/>
      <c r="N331" s="50"/>
      <c r="O331" s="50"/>
      <c r="P331" s="90"/>
      <c r="Q331" s="52">
        <f t="shared" si="203"/>
        <v>0</v>
      </c>
      <c r="R331" s="52">
        <f t="shared" si="204"/>
        <v>0</v>
      </c>
      <c r="S331" s="53">
        <f t="shared" si="205"/>
        <v>0</v>
      </c>
      <c r="T331" s="54">
        <f t="shared" si="206"/>
        <v>0</v>
      </c>
      <c r="U331" s="115">
        <f>SUM(Tableau1[[#This Row],[Vente confiserie]:[Vente boisson]])</f>
        <v>0</v>
      </c>
      <c r="V331" s="55"/>
      <c r="W331" s="55"/>
      <c r="X331" s="135">
        <f>SUM(Tableau1[[#This Row],[Vente lunette]:[Location lunette]])</f>
        <v>0</v>
      </c>
      <c r="Y331" s="55"/>
      <c r="Z331" s="55"/>
      <c r="AA331" s="55"/>
      <c r="AB331" s="55"/>
      <c r="AC331" s="56">
        <f t="shared" si="196"/>
        <v>0</v>
      </c>
      <c r="AD331" s="57"/>
      <c r="AE331" s="57"/>
      <c r="AF331" s="57"/>
      <c r="AG331" s="57"/>
      <c r="AH331" s="57"/>
      <c r="AI331" s="57"/>
      <c r="AJ331" s="118">
        <f>(Tableau1[[#This Row],[Recette guichet ]]*1.1275177)-Tableau1[[#This Row],[Recette guichet ]]</f>
        <v>0</v>
      </c>
      <c r="AK331" s="57"/>
      <c r="AL331" s="56">
        <f t="shared" si="197"/>
        <v>0</v>
      </c>
      <c r="AM331" s="58"/>
      <c r="AN331" s="58"/>
      <c r="AO331" s="58"/>
      <c r="AP331" s="115">
        <f t="shared" si="207"/>
        <v>0</v>
      </c>
      <c r="AQ331" s="69"/>
      <c r="AR331" s="69"/>
      <c r="AS331" s="69"/>
      <c r="AT331" s="69"/>
      <c r="AU331" s="59">
        <f t="shared" si="208"/>
        <v>0</v>
      </c>
      <c r="AV331" s="60">
        <f t="shared" si="209"/>
        <v>0</v>
      </c>
      <c r="AW331" s="58"/>
      <c r="AX331" s="58"/>
      <c r="AY331" s="58"/>
      <c r="AZ331" s="60">
        <f t="shared" si="199"/>
        <v>0</v>
      </c>
      <c r="BA331" s="58"/>
      <c r="BB331" s="58"/>
      <c r="BC331" s="58"/>
      <c r="BD331" s="60">
        <f>SUM(Tableau1[[#This Row],[ticket/carte/abonnement périmé]:[Autres ou non précisé 5]])</f>
        <v>0</v>
      </c>
      <c r="BE331" s="58"/>
      <c r="BF331" s="58"/>
      <c r="BG331" s="58"/>
      <c r="BH331" s="61">
        <f t="shared" si="210"/>
        <v>0</v>
      </c>
      <c r="BI331" s="120"/>
      <c r="BJ331" s="120"/>
      <c r="BK331" s="62">
        <f t="shared" si="211"/>
        <v>0</v>
      </c>
      <c r="BL331" s="120"/>
      <c r="BM331" s="120"/>
      <c r="BN331" s="120"/>
      <c r="BO331" s="120"/>
      <c r="BP331" s="120"/>
      <c r="BQ331" s="63"/>
      <c r="BR331" s="52">
        <f t="shared" si="212"/>
        <v>0</v>
      </c>
      <c r="BS331" s="52">
        <f t="shared" si="213"/>
        <v>0</v>
      </c>
      <c r="BT331" s="61">
        <f t="shared" si="214"/>
        <v>0</v>
      </c>
      <c r="BU331" s="64">
        <f t="shared" si="215"/>
        <v>0</v>
      </c>
      <c r="BV331" s="119">
        <f>SUM(Tableau1[[#This Row],[Achats confiserie]:[Achats boisson]])</f>
        <v>0</v>
      </c>
      <c r="BW331" s="58"/>
      <c r="BX331" s="69"/>
      <c r="BY331" s="58"/>
      <c r="BZ331" s="56">
        <f t="shared" si="216"/>
        <v>0</v>
      </c>
      <c r="CA331" s="66"/>
      <c r="CB331" s="66"/>
      <c r="CC331" s="56">
        <f t="shared" si="217"/>
        <v>0</v>
      </c>
      <c r="CD331" s="55"/>
      <c r="CE331" s="65"/>
      <c r="CF331" s="55"/>
      <c r="CG331" s="55"/>
      <c r="CH331" s="67">
        <f t="shared" si="218"/>
        <v>0</v>
      </c>
      <c r="CI331" s="68">
        <f t="shared" si="195"/>
        <v>0</v>
      </c>
      <c r="CJ331" s="55"/>
      <c r="CK331" s="55"/>
      <c r="CL331" s="55"/>
      <c r="CM331" s="55"/>
      <c r="CN331" s="55"/>
      <c r="CO331" s="68">
        <f t="shared" si="219"/>
        <v>0</v>
      </c>
      <c r="CP331" s="75">
        <f>SUM(Tableau1[[#This Row],[Fourniture eau]:[Energie (non précisé)]])</f>
        <v>0</v>
      </c>
      <c r="CQ331" s="55"/>
      <c r="CR331" s="55"/>
      <c r="CS331" s="55"/>
      <c r="CT331" s="55"/>
      <c r="CU331" s="55"/>
      <c r="CV331" s="55">
        <v>0</v>
      </c>
      <c r="CW331" s="55"/>
      <c r="CX331" s="68">
        <f>SUM(Tableau1[[#This Row],[Sous-traitance]:[Autres ou non précisé 12]])</f>
        <v>0</v>
      </c>
      <c r="CY331" s="65"/>
      <c r="CZ331" s="65"/>
      <c r="DA331" s="65"/>
      <c r="DB331" s="65"/>
      <c r="DC331" s="55"/>
      <c r="DD331" s="68">
        <f t="shared" si="200"/>
        <v>0</v>
      </c>
      <c r="DE331" s="55"/>
      <c r="DF331" s="65"/>
      <c r="DG331" s="65"/>
      <c r="DH331" s="65"/>
      <c r="DI331" s="68">
        <f>SUM(Tableau1[[#This Row],[Entretien et réparation matériel de projection]:[Autres ou non précisé 14]])</f>
        <v>0</v>
      </c>
      <c r="DJ331" s="58"/>
      <c r="DK331" s="58"/>
      <c r="DL331" s="69"/>
      <c r="DM331" s="68">
        <f t="shared" si="220"/>
        <v>0</v>
      </c>
      <c r="DN331" s="58"/>
      <c r="DO331" s="58"/>
      <c r="DP331" s="68">
        <f t="shared" si="221"/>
        <v>0</v>
      </c>
      <c r="DQ331" s="65"/>
      <c r="DR331" s="65"/>
      <c r="DS331" s="68">
        <f t="shared" si="222"/>
        <v>0</v>
      </c>
      <c r="DT331" s="65"/>
      <c r="DU331" s="65"/>
      <c r="DV331" s="65"/>
      <c r="DW331" s="68">
        <f>SUM(Tableau1[[#This Row],[Comission et courtage sur achats]:[Autres ou honoraires
 non précisé ]])</f>
        <v>0</v>
      </c>
      <c r="DX331" s="57"/>
      <c r="DY331" s="57"/>
      <c r="DZ331" s="65"/>
      <c r="EA331" s="65"/>
      <c r="EB331" s="65"/>
      <c r="EC331" s="68">
        <f t="shared" si="223"/>
        <v>0</v>
      </c>
      <c r="ED331" s="69"/>
      <c r="EE331" s="69"/>
      <c r="EF331" s="69"/>
      <c r="EG331" s="69"/>
      <c r="EH331" s="69"/>
      <c r="EI331" s="84">
        <f>SUM(Tableau1[[#This Row],[Transports sur films]:[autres ]])</f>
        <v>0</v>
      </c>
      <c r="EJ331" s="132">
        <v>0</v>
      </c>
      <c r="EK331" s="132"/>
      <c r="EL331" s="68">
        <f t="shared" si="224"/>
        <v>0</v>
      </c>
      <c r="EM331" s="65"/>
      <c r="EN331" s="65">
        <v>0</v>
      </c>
      <c r="EO331" s="65"/>
      <c r="EP331" s="65"/>
      <c r="EQ331" s="65"/>
      <c r="ER331" s="65"/>
      <c r="ES331" s="65"/>
      <c r="ET331" s="68">
        <f t="shared" si="225"/>
        <v>0</v>
      </c>
      <c r="EU331" s="65"/>
      <c r="EV331" s="65"/>
      <c r="EW331" s="65"/>
      <c r="EX331" s="65"/>
      <c r="EY331" s="65"/>
      <c r="EZ331" s="68">
        <f t="shared" si="202"/>
        <v>0</v>
      </c>
      <c r="FA331" s="65"/>
      <c r="FB331" s="65"/>
      <c r="FC331" s="70">
        <f t="shared" si="201"/>
        <v>0</v>
      </c>
      <c r="FD331" s="65"/>
      <c r="FE331" s="71">
        <f t="shared" si="226"/>
        <v>0</v>
      </c>
      <c r="FF331" s="72">
        <f t="shared" si="227"/>
        <v>0</v>
      </c>
      <c r="FG331" s="65"/>
      <c r="FH331" s="65"/>
      <c r="FI331" s="65"/>
      <c r="FJ331" s="56">
        <f t="shared" si="228"/>
        <v>0</v>
      </c>
      <c r="FK331" s="65"/>
      <c r="FL331" s="65"/>
      <c r="FM331" s="65"/>
      <c r="FN331" s="65"/>
      <c r="FO331" s="67">
        <f t="shared" si="229"/>
        <v>0</v>
      </c>
      <c r="FP331" s="57"/>
      <c r="FQ331" s="73"/>
      <c r="FR331" s="73"/>
      <c r="FS331" s="71">
        <f t="shared" si="230"/>
        <v>0</v>
      </c>
      <c r="FT331" s="91"/>
      <c r="FU331" s="91"/>
      <c r="FV331" s="67">
        <f>SUM(Tableau1[[#This Row],[Droits d''auteurs SACEM + cotisations SACEM]:[Autres ou non préciés]])</f>
        <v>0</v>
      </c>
      <c r="FW331" s="75">
        <f t="shared" si="231"/>
        <v>0</v>
      </c>
      <c r="FX331" s="74">
        <v>0</v>
      </c>
      <c r="FY331" s="74"/>
      <c r="FZ331" s="74"/>
      <c r="GA331" s="74"/>
      <c r="GB331" s="71">
        <f t="shared" si="232"/>
        <v>0</v>
      </c>
      <c r="GC331" s="92"/>
      <c r="GD331" s="92"/>
      <c r="GE331" s="67">
        <f t="shared" si="233"/>
        <v>0</v>
      </c>
      <c r="GF331" s="66"/>
      <c r="GG331" s="66"/>
      <c r="GH331" s="66"/>
      <c r="GI331" s="66"/>
      <c r="GJ331" s="77"/>
    </row>
    <row r="332" spans="1:192" ht="18.600000000000001" customHeight="1" x14ac:dyDescent="0.25">
      <c r="A332" s="89"/>
      <c r="B332" s="17"/>
      <c r="C332" s="50"/>
      <c r="D332" s="140"/>
      <c r="E332" s="51"/>
      <c r="F332" s="139">
        <f t="shared" si="198"/>
        <v>1</v>
      </c>
      <c r="G332" s="49"/>
      <c r="H332" s="50"/>
      <c r="I332" s="122"/>
      <c r="J332" s="49"/>
      <c r="K332" s="50"/>
      <c r="L332" s="50"/>
      <c r="M332" s="90"/>
      <c r="N332" s="50"/>
      <c r="O332" s="50"/>
      <c r="P332" s="90"/>
      <c r="Q332" s="52">
        <f t="shared" si="203"/>
        <v>0</v>
      </c>
      <c r="R332" s="52">
        <f t="shared" si="204"/>
        <v>0</v>
      </c>
      <c r="S332" s="53">
        <f t="shared" si="205"/>
        <v>0</v>
      </c>
      <c r="T332" s="54">
        <f t="shared" si="206"/>
        <v>0</v>
      </c>
      <c r="U332" s="115">
        <f>SUM(Tableau1[[#This Row],[Vente confiserie]:[Vente boisson]])</f>
        <v>0</v>
      </c>
      <c r="V332" s="55"/>
      <c r="W332" s="55"/>
      <c r="X332" s="135">
        <f>SUM(Tableau1[[#This Row],[Vente lunette]:[Location lunette]])</f>
        <v>0</v>
      </c>
      <c r="Y332" s="55"/>
      <c r="Z332" s="55"/>
      <c r="AA332" s="55"/>
      <c r="AB332" s="55"/>
      <c r="AC332" s="56">
        <f t="shared" si="196"/>
        <v>0</v>
      </c>
      <c r="AD332" s="57"/>
      <c r="AE332" s="57"/>
      <c r="AF332" s="57"/>
      <c r="AG332" s="57"/>
      <c r="AH332" s="57"/>
      <c r="AI332" s="57"/>
      <c r="AJ332" s="118">
        <f>(Tableau1[[#This Row],[Recette guichet ]]*1.1275177)-Tableau1[[#This Row],[Recette guichet ]]</f>
        <v>0</v>
      </c>
      <c r="AK332" s="57"/>
      <c r="AL332" s="56">
        <f t="shared" si="197"/>
        <v>0</v>
      </c>
      <c r="AM332" s="58"/>
      <c r="AN332" s="58"/>
      <c r="AO332" s="58"/>
      <c r="AP332" s="115">
        <f t="shared" si="207"/>
        <v>0</v>
      </c>
      <c r="AQ332" s="69"/>
      <c r="AR332" s="69"/>
      <c r="AS332" s="69"/>
      <c r="AT332" s="69"/>
      <c r="AU332" s="59">
        <f t="shared" si="208"/>
        <v>0</v>
      </c>
      <c r="AV332" s="60">
        <f t="shared" si="209"/>
        <v>0</v>
      </c>
      <c r="AW332" s="58"/>
      <c r="AX332" s="58"/>
      <c r="AY332" s="58"/>
      <c r="AZ332" s="60">
        <f t="shared" si="199"/>
        <v>0</v>
      </c>
      <c r="BA332" s="58"/>
      <c r="BB332" s="58"/>
      <c r="BC332" s="58"/>
      <c r="BD332" s="60">
        <f>SUM(Tableau1[[#This Row],[ticket/carte/abonnement périmé]:[Autres ou non précisé 5]])</f>
        <v>0</v>
      </c>
      <c r="BE332" s="58"/>
      <c r="BF332" s="58"/>
      <c r="BG332" s="58"/>
      <c r="BH332" s="61">
        <f t="shared" si="210"/>
        <v>0</v>
      </c>
      <c r="BI332" s="120"/>
      <c r="BJ332" s="120"/>
      <c r="BK332" s="62">
        <f t="shared" si="211"/>
        <v>0</v>
      </c>
      <c r="BL332" s="120"/>
      <c r="BM332" s="120"/>
      <c r="BN332" s="120"/>
      <c r="BO332" s="120"/>
      <c r="BP332" s="120"/>
      <c r="BQ332" s="63"/>
      <c r="BR332" s="52">
        <f t="shared" si="212"/>
        <v>0</v>
      </c>
      <c r="BS332" s="52">
        <f t="shared" si="213"/>
        <v>0</v>
      </c>
      <c r="BT332" s="61">
        <f t="shared" si="214"/>
        <v>0</v>
      </c>
      <c r="BU332" s="64">
        <f t="shared" si="215"/>
        <v>0</v>
      </c>
      <c r="BV332" s="119">
        <f>SUM(Tableau1[[#This Row],[Achats confiserie]:[Achats boisson]])</f>
        <v>0</v>
      </c>
      <c r="BW332" s="58"/>
      <c r="BX332" s="69"/>
      <c r="BY332" s="58"/>
      <c r="BZ332" s="56">
        <f t="shared" si="216"/>
        <v>0</v>
      </c>
      <c r="CA332" s="66"/>
      <c r="CB332" s="66"/>
      <c r="CC332" s="56">
        <f t="shared" si="217"/>
        <v>0</v>
      </c>
      <c r="CD332" s="55"/>
      <c r="CE332" s="65"/>
      <c r="CF332" s="55"/>
      <c r="CG332" s="55"/>
      <c r="CH332" s="67">
        <f t="shared" si="218"/>
        <v>0</v>
      </c>
      <c r="CI332" s="68">
        <f t="shared" si="195"/>
        <v>0</v>
      </c>
      <c r="CJ332" s="55"/>
      <c r="CK332" s="55"/>
      <c r="CL332" s="55"/>
      <c r="CM332" s="55"/>
      <c r="CN332" s="55"/>
      <c r="CO332" s="68">
        <f t="shared" si="219"/>
        <v>0</v>
      </c>
      <c r="CP332" s="75">
        <f>SUM(Tableau1[[#This Row],[Fourniture eau]:[Energie (non précisé)]])</f>
        <v>0</v>
      </c>
      <c r="CQ332" s="55"/>
      <c r="CR332" s="55"/>
      <c r="CS332" s="55"/>
      <c r="CT332" s="55"/>
      <c r="CU332" s="55"/>
      <c r="CV332" s="55">
        <v>0</v>
      </c>
      <c r="CW332" s="55"/>
      <c r="CX332" s="68">
        <f>SUM(Tableau1[[#This Row],[Sous-traitance]:[Autres ou non précisé 12]])</f>
        <v>0</v>
      </c>
      <c r="CY332" s="65"/>
      <c r="CZ332" s="65"/>
      <c r="DA332" s="65"/>
      <c r="DB332" s="65"/>
      <c r="DC332" s="55"/>
      <c r="DD332" s="68">
        <f t="shared" si="200"/>
        <v>0</v>
      </c>
      <c r="DE332" s="55"/>
      <c r="DF332" s="65"/>
      <c r="DG332" s="65"/>
      <c r="DH332" s="65"/>
      <c r="DI332" s="68">
        <f>SUM(Tableau1[[#This Row],[Entretien et réparation matériel de projection]:[Autres ou non précisé 14]])</f>
        <v>0</v>
      </c>
      <c r="DJ332" s="58"/>
      <c r="DK332" s="58"/>
      <c r="DL332" s="69"/>
      <c r="DM332" s="68">
        <f t="shared" si="220"/>
        <v>0</v>
      </c>
      <c r="DN332" s="58"/>
      <c r="DO332" s="58"/>
      <c r="DP332" s="68">
        <f t="shared" si="221"/>
        <v>0</v>
      </c>
      <c r="DQ332" s="65"/>
      <c r="DR332" s="65"/>
      <c r="DS332" s="68">
        <f t="shared" si="222"/>
        <v>0</v>
      </c>
      <c r="DT332" s="65"/>
      <c r="DU332" s="65"/>
      <c r="DV332" s="65"/>
      <c r="DW332" s="68">
        <f>SUM(Tableau1[[#This Row],[Comission et courtage sur achats]:[Autres ou honoraires
 non précisé ]])</f>
        <v>0</v>
      </c>
      <c r="DX332" s="57"/>
      <c r="DY332" s="57"/>
      <c r="DZ332" s="65"/>
      <c r="EA332" s="65"/>
      <c r="EB332" s="65"/>
      <c r="EC332" s="68">
        <f t="shared" si="223"/>
        <v>0</v>
      </c>
      <c r="ED332" s="69"/>
      <c r="EE332" s="69"/>
      <c r="EF332" s="69"/>
      <c r="EG332" s="69"/>
      <c r="EH332" s="69"/>
      <c r="EI332" s="84">
        <f>SUM(Tableau1[[#This Row],[Transports sur films]:[autres ]])</f>
        <v>0</v>
      </c>
      <c r="EJ332" s="132">
        <v>0</v>
      </c>
      <c r="EK332" s="132"/>
      <c r="EL332" s="68">
        <f t="shared" si="224"/>
        <v>0</v>
      </c>
      <c r="EM332" s="65"/>
      <c r="EN332" s="65">
        <v>0</v>
      </c>
      <c r="EO332" s="65"/>
      <c r="EP332" s="65"/>
      <c r="EQ332" s="65"/>
      <c r="ER332" s="65"/>
      <c r="ES332" s="65"/>
      <c r="ET332" s="68">
        <f t="shared" si="225"/>
        <v>0</v>
      </c>
      <c r="EU332" s="65"/>
      <c r="EV332" s="65"/>
      <c r="EW332" s="65"/>
      <c r="EX332" s="65"/>
      <c r="EY332" s="65"/>
      <c r="EZ332" s="68">
        <f t="shared" si="202"/>
        <v>0</v>
      </c>
      <c r="FA332" s="65"/>
      <c r="FB332" s="65"/>
      <c r="FC332" s="70">
        <f t="shared" si="201"/>
        <v>0</v>
      </c>
      <c r="FD332" s="65"/>
      <c r="FE332" s="71">
        <f t="shared" si="226"/>
        <v>0</v>
      </c>
      <c r="FF332" s="72">
        <f t="shared" si="227"/>
        <v>0</v>
      </c>
      <c r="FG332" s="65"/>
      <c r="FH332" s="65"/>
      <c r="FI332" s="65"/>
      <c r="FJ332" s="56">
        <f t="shared" si="228"/>
        <v>0</v>
      </c>
      <c r="FK332" s="65"/>
      <c r="FL332" s="65"/>
      <c r="FM332" s="65"/>
      <c r="FN332" s="65"/>
      <c r="FO332" s="67">
        <f t="shared" si="229"/>
        <v>0</v>
      </c>
      <c r="FP332" s="57"/>
      <c r="FQ332" s="73"/>
      <c r="FR332" s="73"/>
      <c r="FS332" s="71">
        <f t="shared" si="230"/>
        <v>0</v>
      </c>
      <c r="FT332" s="91"/>
      <c r="FU332" s="91"/>
      <c r="FV332" s="67">
        <f>SUM(Tableau1[[#This Row],[Droits d''auteurs SACEM + cotisations SACEM]:[Autres ou non préciés]])</f>
        <v>0</v>
      </c>
      <c r="FW332" s="75">
        <f t="shared" si="231"/>
        <v>0</v>
      </c>
      <c r="FX332" s="74">
        <v>0</v>
      </c>
      <c r="FY332" s="74"/>
      <c r="FZ332" s="74"/>
      <c r="GA332" s="74"/>
      <c r="GB332" s="71">
        <f t="shared" si="232"/>
        <v>0</v>
      </c>
      <c r="GC332" s="92"/>
      <c r="GD332" s="92"/>
      <c r="GE332" s="67">
        <f t="shared" si="233"/>
        <v>0</v>
      </c>
      <c r="GF332" s="66"/>
      <c r="GG332" s="66"/>
      <c r="GH332" s="66"/>
      <c r="GI332" s="66"/>
      <c r="GJ332" s="77"/>
    </row>
    <row r="333" spans="1:192" ht="18.600000000000001" customHeight="1" x14ac:dyDescent="0.25">
      <c r="A333" s="89"/>
      <c r="B333" s="17"/>
      <c r="C333" s="50"/>
      <c r="D333" s="140"/>
      <c r="E333" s="51"/>
      <c r="F333" s="139">
        <f t="shared" si="198"/>
        <v>1</v>
      </c>
      <c r="G333" s="49"/>
      <c r="H333" s="50"/>
      <c r="I333" s="122"/>
      <c r="J333" s="49"/>
      <c r="K333" s="50"/>
      <c r="L333" s="50"/>
      <c r="M333" s="90"/>
      <c r="N333" s="50"/>
      <c r="O333" s="50"/>
      <c r="P333" s="90"/>
      <c r="Q333" s="52">
        <f t="shared" si="203"/>
        <v>0</v>
      </c>
      <c r="R333" s="52">
        <f t="shared" si="204"/>
        <v>0</v>
      </c>
      <c r="S333" s="53">
        <f t="shared" si="205"/>
        <v>0</v>
      </c>
      <c r="T333" s="54">
        <f t="shared" si="206"/>
        <v>0</v>
      </c>
      <c r="U333" s="115">
        <f>SUM(Tableau1[[#This Row],[Vente confiserie]:[Vente boisson]])</f>
        <v>0</v>
      </c>
      <c r="V333" s="55"/>
      <c r="W333" s="55"/>
      <c r="X333" s="135">
        <f>SUM(Tableau1[[#This Row],[Vente lunette]:[Location lunette]])</f>
        <v>0</v>
      </c>
      <c r="Y333" s="55"/>
      <c r="Z333" s="55"/>
      <c r="AA333" s="55"/>
      <c r="AB333" s="55"/>
      <c r="AC333" s="56">
        <f t="shared" si="196"/>
        <v>0</v>
      </c>
      <c r="AD333" s="57"/>
      <c r="AE333" s="57"/>
      <c r="AF333" s="57"/>
      <c r="AG333" s="57"/>
      <c r="AH333" s="57"/>
      <c r="AI333" s="57"/>
      <c r="AJ333" s="118">
        <f>(Tableau1[[#This Row],[Recette guichet ]]*1.1275177)-Tableau1[[#This Row],[Recette guichet ]]</f>
        <v>0</v>
      </c>
      <c r="AK333" s="57"/>
      <c r="AL333" s="56">
        <f t="shared" si="197"/>
        <v>0</v>
      </c>
      <c r="AM333" s="58"/>
      <c r="AN333" s="58"/>
      <c r="AO333" s="58"/>
      <c r="AP333" s="115">
        <f t="shared" si="207"/>
        <v>0</v>
      </c>
      <c r="AQ333" s="69"/>
      <c r="AR333" s="69"/>
      <c r="AS333" s="69"/>
      <c r="AT333" s="69"/>
      <c r="AU333" s="59">
        <f t="shared" si="208"/>
        <v>0</v>
      </c>
      <c r="AV333" s="60">
        <f t="shared" si="209"/>
        <v>0</v>
      </c>
      <c r="AW333" s="58"/>
      <c r="AX333" s="58"/>
      <c r="AY333" s="58"/>
      <c r="AZ333" s="60">
        <f t="shared" si="199"/>
        <v>0</v>
      </c>
      <c r="BA333" s="58"/>
      <c r="BB333" s="58"/>
      <c r="BC333" s="58"/>
      <c r="BD333" s="60">
        <f>SUM(Tableau1[[#This Row],[ticket/carte/abonnement périmé]:[Autres ou non précisé 5]])</f>
        <v>0</v>
      </c>
      <c r="BE333" s="58"/>
      <c r="BF333" s="58"/>
      <c r="BG333" s="58"/>
      <c r="BH333" s="61">
        <f t="shared" si="210"/>
        <v>0</v>
      </c>
      <c r="BI333" s="120"/>
      <c r="BJ333" s="120"/>
      <c r="BK333" s="62">
        <f t="shared" si="211"/>
        <v>0</v>
      </c>
      <c r="BL333" s="120"/>
      <c r="BM333" s="120"/>
      <c r="BN333" s="120"/>
      <c r="BO333" s="120"/>
      <c r="BP333" s="120"/>
      <c r="BQ333" s="63"/>
      <c r="BR333" s="52">
        <f t="shared" si="212"/>
        <v>0</v>
      </c>
      <c r="BS333" s="52">
        <f t="shared" si="213"/>
        <v>0</v>
      </c>
      <c r="BT333" s="61">
        <f t="shared" si="214"/>
        <v>0</v>
      </c>
      <c r="BU333" s="64">
        <f t="shared" si="215"/>
        <v>0</v>
      </c>
      <c r="BV333" s="119">
        <f>SUM(Tableau1[[#This Row],[Achats confiserie]:[Achats boisson]])</f>
        <v>0</v>
      </c>
      <c r="BW333" s="58"/>
      <c r="BX333" s="69"/>
      <c r="BY333" s="58"/>
      <c r="BZ333" s="56">
        <f t="shared" si="216"/>
        <v>0</v>
      </c>
      <c r="CA333" s="66"/>
      <c r="CB333" s="66"/>
      <c r="CC333" s="56">
        <f t="shared" si="217"/>
        <v>0</v>
      </c>
      <c r="CD333" s="55"/>
      <c r="CE333" s="65"/>
      <c r="CF333" s="55"/>
      <c r="CG333" s="55"/>
      <c r="CH333" s="67">
        <f t="shared" si="218"/>
        <v>0</v>
      </c>
      <c r="CI333" s="68">
        <f t="shared" si="195"/>
        <v>0</v>
      </c>
      <c r="CJ333" s="55"/>
      <c r="CK333" s="55"/>
      <c r="CL333" s="55"/>
      <c r="CM333" s="55"/>
      <c r="CN333" s="55"/>
      <c r="CO333" s="68">
        <f t="shared" si="219"/>
        <v>0</v>
      </c>
      <c r="CP333" s="75">
        <f>SUM(Tableau1[[#This Row],[Fourniture eau]:[Energie (non précisé)]])</f>
        <v>0</v>
      </c>
      <c r="CQ333" s="55"/>
      <c r="CR333" s="55"/>
      <c r="CS333" s="55"/>
      <c r="CT333" s="55"/>
      <c r="CU333" s="55"/>
      <c r="CV333" s="55">
        <v>0</v>
      </c>
      <c r="CW333" s="55"/>
      <c r="CX333" s="68">
        <f>SUM(Tableau1[[#This Row],[Sous-traitance]:[Autres ou non précisé 12]])</f>
        <v>0</v>
      </c>
      <c r="CY333" s="65"/>
      <c r="CZ333" s="65"/>
      <c r="DA333" s="65"/>
      <c r="DB333" s="65"/>
      <c r="DC333" s="55"/>
      <c r="DD333" s="68">
        <f t="shared" si="200"/>
        <v>0</v>
      </c>
      <c r="DE333" s="55"/>
      <c r="DF333" s="65"/>
      <c r="DG333" s="65"/>
      <c r="DH333" s="65"/>
      <c r="DI333" s="68">
        <f>SUM(Tableau1[[#This Row],[Entretien et réparation matériel de projection]:[Autres ou non précisé 14]])</f>
        <v>0</v>
      </c>
      <c r="DJ333" s="58"/>
      <c r="DK333" s="58"/>
      <c r="DL333" s="69"/>
      <c r="DM333" s="68">
        <f t="shared" si="220"/>
        <v>0</v>
      </c>
      <c r="DN333" s="58"/>
      <c r="DO333" s="58"/>
      <c r="DP333" s="68">
        <f t="shared" si="221"/>
        <v>0</v>
      </c>
      <c r="DQ333" s="65"/>
      <c r="DR333" s="65"/>
      <c r="DS333" s="68">
        <f t="shared" si="222"/>
        <v>0</v>
      </c>
      <c r="DT333" s="65"/>
      <c r="DU333" s="65"/>
      <c r="DV333" s="65"/>
      <c r="DW333" s="68">
        <f>SUM(Tableau1[[#This Row],[Comission et courtage sur achats]:[Autres ou honoraires
 non précisé ]])</f>
        <v>0</v>
      </c>
      <c r="DX333" s="57"/>
      <c r="DY333" s="57"/>
      <c r="DZ333" s="65"/>
      <c r="EA333" s="65"/>
      <c r="EB333" s="65"/>
      <c r="EC333" s="68">
        <f t="shared" si="223"/>
        <v>0</v>
      </c>
      <c r="ED333" s="69"/>
      <c r="EE333" s="69"/>
      <c r="EF333" s="69"/>
      <c r="EG333" s="69"/>
      <c r="EH333" s="69"/>
      <c r="EI333" s="84">
        <f>SUM(Tableau1[[#This Row],[Transports sur films]:[autres ]])</f>
        <v>0</v>
      </c>
      <c r="EJ333" s="132">
        <v>0</v>
      </c>
      <c r="EK333" s="132"/>
      <c r="EL333" s="68">
        <f t="shared" si="224"/>
        <v>0</v>
      </c>
      <c r="EM333" s="65"/>
      <c r="EN333" s="65">
        <v>0</v>
      </c>
      <c r="EO333" s="65"/>
      <c r="EP333" s="65"/>
      <c r="EQ333" s="65"/>
      <c r="ER333" s="65"/>
      <c r="ES333" s="65"/>
      <c r="ET333" s="68">
        <f t="shared" si="225"/>
        <v>0</v>
      </c>
      <c r="EU333" s="65"/>
      <c r="EV333" s="65"/>
      <c r="EW333" s="65"/>
      <c r="EX333" s="65"/>
      <c r="EY333" s="65"/>
      <c r="EZ333" s="68">
        <f t="shared" si="202"/>
        <v>0</v>
      </c>
      <c r="FA333" s="65"/>
      <c r="FB333" s="65"/>
      <c r="FC333" s="70">
        <f t="shared" si="201"/>
        <v>0</v>
      </c>
      <c r="FD333" s="65"/>
      <c r="FE333" s="71">
        <f t="shared" si="226"/>
        <v>0</v>
      </c>
      <c r="FF333" s="72">
        <f t="shared" si="227"/>
        <v>0</v>
      </c>
      <c r="FG333" s="65"/>
      <c r="FH333" s="65"/>
      <c r="FI333" s="65"/>
      <c r="FJ333" s="56">
        <f t="shared" si="228"/>
        <v>0</v>
      </c>
      <c r="FK333" s="65"/>
      <c r="FL333" s="65"/>
      <c r="FM333" s="65"/>
      <c r="FN333" s="65"/>
      <c r="FO333" s="67">
        <f t="shared" si="229"/>
        <v>0</v>
      </c>
      <c r="FP333" s="57"/>
      <c r="FQ333" s="73"/>
      <c r="FR333" s="73"/>
      <c r="FS333" s="71">
        <f t="shared" si="230"/>
        <v>0</v>
      </c>
      <c r="FT333" s="91"/>
      <c r="FU333" s="91"/>
      <c r="FV333" s="67">
        <f>SUM(Tableau1[[#This Row],[Droits d''auteurs SACEM + cotisations SACEM]:[Autres ou non préciés]])</f>
        <v>0</v>
      </c>
      <c r="FW333" s="75">
        <f t="shared" si="231"/>
        <v>0</v>
      </c>
      <c r="FX333" s="74">
        <v>0</v>
      </c>
      <c r="FY333" s="74"/>
      <c r="FZ333" s="74"/>
      <c r="GA333" s="74"/>
      <c r="GB333" s="71">
        <f t="shared" si="232"/>
        <v>0</v>
      </c>
      <c r="GC333" s="92"/>
      <c r="GD333" s="92"/>
      <c r="GE333" s="67">
        <f t="shared" si="233"/>
        <v>0</v>
      </c>
      <c r="GF333" s="66"/>
      <c r="GG333" s="66"/>
      <c r="GH333" s="66"/>
      <c r="GI333" s="66"/>
      <c r="GJ333" s="77"/>
    </row>
    <row r="334" spans="1:192" ht="18.600000000000001" customHeight="1" x14ac:dyDescent="0.25">
      <c r="A334" s="89"/>
      <c r="B334" s="17"/>
      <c r="C334" s="50"/>
      <c r="D334" s="140"/>
      <c r="E334" s="51"/>
      <c r="F334" s="139">
        <f t="shared" si="198"/>
        <v>1</v>
      </c>
      <c r="G334" s="49"/>
      <c r="H334" s="50"/>
      <c r="I334" s="122"/>
      <c r="J334" s="49"/>
      <c r="K334" s="50"/>
      <c r="L334" s="50"/>
      <c r="M334" s="90"/>
      <c r="N334" s="50"/>
      <c r="O334" s="50"/>
      <c r="P334" s="90"/>
      <c r="Q334" s="52">
        <f t="shared" si="203"/>
        <v>0</v>
      </c>
      <c r="R334" s="52">
        <f t="shared" si="204"/>
        <v>0</v>
      </c>
      <c r="S334" s="53">
        <f t="shared" si="205"/>
        <v>0</v>
      </c>
      <c r="T334" s="54">
        <f t="shared" si="206"/>
        <v>0</v>
      </c>
      <c r="U334" s="115">
        <f>SUM(Tableau1[[#This Row],[Vente confiserie]:[Vente boisson]])</f>
        <v>0</v>
      </c>
      <c r="V334" s="55"/>
      <c r="W334" s="55"/>
      <c r="X334" s="135">
        <f>SUM(Tableau1[[#This Row],[Vente lunette]:[Location lunette]])</f>
        <v>0</v>
      </c>
      <c r="Y334" s="55"/>
      <c r="Z334" s="55"/>
      <c r="AA334" s="55"/>
      <c r="AB334" s="55"/>
      <c r="AC334" s="56">
        <f t="shared" si="196"/>
        <v>0</v>
      </c>
      <c r="AD334" s="57"/>
      <c r="AE334" s="57"/>
      <c r="AF334" s="57"/>
      <c r="AG334" s="57"/>
      <c r="AH334" s="57"/>
      <c r="AI334" s="57"/>
      <c r="AJ334" s="118">
        <f>(Tableau1[[#This Row],[Recette guichet ]]*1.1275177)-Tableau1[[#This Row],[Recette guichet ]]</f>
        <v>0</v>
      </c>
      <c r="AK334" s="57"/>
      <c r="AL334" s="56">
        <f t="shared" si="197"/>
        <v>0</v>
      </c>
      <c r="AM334" s="58"/>
      <c r="AN334" s="58"/>
      <c r="AO334" s="58"/>
      <c r="AP334" s="115">
        <f t="shared" si="207"/>
        <v>0</v>
      </c>
      <c r="AQ334" s="69"/>
      <c r="AR334" s="69"/>
      <c r="AS334" s="69"/>
      <c r="AT334" s="69"/>
      <c r="AU334" s="59">
        <f t="shared" si="208"/>
        <v>0</v>
      </c>
      <c r="AV334" s="60">
        <f t="shared" si="209"/>
        <v>0</v>
      </c>
      <c r="AW334" s="58"/>
      <c r="AX334" s="58"/>
      <c r="AY334" s="58"/>
      <c r="AZ334" s="60">
        <f t="shared" si="199"/>
        <v>0</v>
      </c>
      <c r="BA334" s="58"/>
      <c r="BB334" s="58"/>
      <c r="BC334" s="58"/>
      <c r="BD334" s="60">
        <f>SUM(Tableau1[[#This Row],[ticket/carte/abonnement périmé]:[Autres ou non précisé 5]])</f>
        <v>0</v>
      </c>
      <c r="BE334" s="58"/>
      <c r="BF334" s="58"/>
      <c r="BG334" s="58"/>
      <c r="BH334" s="61">
        <f t="shared" si="210"/>
        <v>0</v>
      </c>
      <c r="BI334" s="120"/>
      <c r="BJ334" s="120"/>
      <c r="BK334" s="62">
        <f t="shared" si="211"/>
        <v>0</v>
      </c>
      <c r="BL334" s="120"/>
      <c r="BM334" s="120"/>
      <c r="BN334" s="120"/>
      <c r="BO334" s="120"/>
      <c r="BP334" s="120"/>
      <c r="BQ334" s="63"/>
      <c r="BR334" s="52">
        <f t="shared" si="212"/>
        <v>0</v>
      </c>
      <c r="BS334" s="52">
        <f t="shared" si="213"/>
        <v>0</v>
      </c>
      <c r="BT334" s="61">
        <f t="shared" si="214"/>
        <v>0</v>
      </c>
      <c r="BU334" s="64">
        <f t="shared" si="215"/>
        <v>0</v>
      </c>
      <c r="BV334" s="119">
        <f>SUM(Tableau1[[#This Row],[Achats confiserie]:[Achats boisson]])</f>
        <v>0</v>
      </c>
      <c r="BW334" s="58"/>
      <c r="BX334" s="69"/>
      <c r="BY334" s="58"/>
      <c r="BZ334" s="56">
        <f t="shared" si="216"/>
        <v>0</v>
      </c>
      <c r="CA334" s="66"/>
      <c r="CB334" s="66"/>
      <c r="CC334" s="56">
        <f t="shared" si="217"/>
        <v>0</v>
      </c>
      <c r="CD334" s="55"/>
      <c r="CE334" s="65"/>
      <c r="CF334" s="55"/>
      <c r="CG334" s="55"/>
      <c r="CH334" s="67">
        <f t="shared" si="218"/>
        <v>0</v>
      </c>
      <c r="CI334" s="68">
        <f t="shared" si="195"/>
        <v>0</v>
      </c>
      <c r="CJ334" s="55"/>
      <c r="CK334" s="55"/>
      <c r="CL334" s="55"/>
      <c r="CM334" s="55"/>
      <c r="CN334" s="55"/>
      <c r="CO334" s="68">
        <f t="shared" si="219"/>
        <v>0</v>
      </c>
      <c r="CP334" s="75">
        <f>SUM(Tableau1[[#This Row],[Fourniture eau]:[Energie (non précisé)]])</f>
        <v>0</v>
      </c>
      <c r="CQ334" s="55"/>
      <c r="CR334" s="55"/>
      <c r="CS334" s="55"/>
      <c r="CT334" s="55"/>
      <c r="CU334" s="55"/>
      <c r="CV334" s="55">
        <v>0</v>
      </c>
      <c r="CW334" s="55"/>
      <c r="CX334" s="68">
        <f>SUM(Tableau1[[#This Row],[Sous-traitance]:[Autres ou non précisé 12]])</f>
        <v>0</v>
      </c>
      <c r="CY334" s="65"/>
      <c r="CZ334" s="65"/>
      <c r="DA334" s="65"/>
      <c r="DB334" s="65"/>
      <c r="DC334" s="55"/>
      <c r="DD334" s="68">
        <f t="shared" si="200"/>
        <v>0</v>
      </c>
      <c r="DE334" s="55"/>
      <c r="DF334" s="65"/>
      <c r="DG334" s="65"/>
      <c r="DH334" s="65"/>
      <c r="DI334" s="68">
        <f>SUM(Tableau1[[#This Row],[Entretien et réparation matériel de projection]:[Autres ou non précisé 14]])</f>
        <v>0</v>
      </c>
      <c r="DJ334" s="58"/>
      <c r="DK334" s="58"/>
      <c r="DL334" s="69"/>
      <c r="DM334" s="68">
        <f t="shared" si="220"/>
        <v>0</v>
      </c>
      <c r="DN334" s="58"/>
      <c r="DO334" s="58"/>
      <c r="DP334" s="68">
        <f t="shared" si="221"/>
        <v>0</v>
      </c>
      <c r="DQ334" s="65"/>
      <c r="DR334" s="65"/>
      <c r="DS334" s="68">
        <f t="shared" si="222"/>
        <v>0</v>
      </c>
      <c r="DT334" s="65"/>
      <c r="DU334" s="65"/>
      <c r="DV334" s="65"/>
      <c r="DW334" s="68">
        <f>SUM(Tableau1[[#This Row],[Comission et courtage sur achats]:[Autres ou honoraires
 non précisé ]])</f>
        <v>0</v>
      </c>
      <c r="DX334" s="57"/>
      <c r="DY334" s="57"/>
      <c r="DZ334" s="65"/>
      <c r="EA334" s="65"/>
      <c r="EB334" s="65"/>
      <c r="EC334" s="68">
        <f t="shared" si="223"/>
        <v>0</v>
      </c>
      <c r="ED334" s="69"/>
      <c r="EE334" s="69"/>
      <c r="EF334" s="69"/>
      <c r="EG334" s="69"/>
      <c r="EH334" s="69"/>
      <c r="EI334" s="84">
        <f>SUM(Tableau1[[#This Row],[Transports sur films]:[autres ]])</f>
        <v>0</v>
      </c>
      <c r="EJ334" s="132">
        <v>0</v>
      </c>
      <c r="EK334" s="132"/>
      <c r="EL334" s="68">
        <f t="shared" si="224"/>
        <v>0</v>
      </c>
      <c r="EM334" s="65"/>
      <c r="EN334" s="65">
        <v>0</v>
      </c>
      <c r="EO334" s="65"/>
      <c r="EP334" s="65"/>
      <c r="EQ334" s="65"/>
      <c r="ER334" s="65"/>
      <c r="ES334" s="65"/>
      <c r="ET334" s="68">
        <f t="shared" si="225"/>
        <v>0</v>
      </c>
      <c r="EU334" s="65"/>
      <c r="EV334" s="65"/>
      <c r="EW334" s="65"/>
      <c r="EX334" s="65"/>
      <c r="EY334" s="65"/>
      <c r="EZ334" s="68">
        <f t="shared" si="202"/>
        <v>0</v>
      </c>
      <c r="FA334" s="65"/>
      <c r="FB334" s="65"/>
      <c r="FC334" s="70">
        <f t="shared" si="201"/>
        <v>0</v>
      </c>
      <c r="FD334" s="65"/>
      <c r="FE334" s="71">
        <f t="shared" si="226"/>
        <v>0</v>
      </c>
      <c r="FF334" s="72">
        <f t="shared" si="227"/>
        <v>0</v>
      </c>
      <c r="FG334" s="65"/>
      <c r="FH334" s="65"/>
      <c r="FI334" s="65"/>
      <c r="FJ334" s="56">
        <f t="shared" si="228"/>
        <v>0</v>
      </c>
      <c r="FK334" s="65"/>
      <c r="FL334" s="65"/>
      <c r="FM334" s="65"/>
      <c r="FN334" s="65"/>
      <c r="FO334" s="67">
        <f t="shared" si="229"/>
        <v>0</v>
      </c>
      <c r="FP334" s="57"/>
      <c r="FQ334" s="73"/>
      <c r="FR334" s="73"/>
      <c r="FS334" s="71">
        <f t="shared" si="230"/>
        <v>0</v>
      </c>
      <c r="FT334" s="91"/>
      <c r="FU334" s="91"/>
      <c r="FV334" s="67">
        <f>SUM(Tableau1[[#This Row],[Droits d''auteurs SACEM + cotisations SACEM]:[Autres ou non préciés]])</f>
        <v>0</v>
      </c>
      <c r="FW334" s="75">
        <f t="shared" si="231"/>
        <v>0</v>
      </c>
      <c r="FX334" s="74">
        <v>0</v>
      </c>
      <c r="FY334" s="74"/>
      <c r="FZ334" s="74"/>
      <c r="GA334" s="74"/>
      <c r="GB334" s="71">
        <f t="shared" si="232"/>
        <v>0</v>
      </c>
      <c r="GC334" s="92"/>
      <c r="GD334" s="92"/>
      <c r="GE334" s="67">
        <f t="shared" si="233"/>
        <v>0</v>
      </c>
      <c r="GF334" s="66"/>
      <c r="GG334" s="66"/>
      <c r="GH334" s="66"/>
      <c r="GI334" s="66"/>
      <c r="GJ334" s="77"/>
    </row>
    <row r="335" spans="1:192" ht="18.600000000000001" customHeight="1" x14ac:dyDescent="0.25">
      <c r="A335" s="89"/>
      <c r="B335" s="17"/>
      <c r="C335" s="50"/>
      <c r="D335" s="140"/>
      <c r="E335" s="51"/>
      <c r="F335" s="139">
        <f t="shared" si="198"/>
        <v>1</v>
      </c>
      <c r="G335" s="49"/>
      <c r="H335" s="50"/>
      <c r="I335" s="122"/>
      <c r="J335" s="49"/>
      <c r="K335" s="50"/>
      <c r="L335" s="50"/>
      <c r="M335" s="90"/>
      <c r="N335" s="50"/>
      <c r="O335" s="50"/>
      <c r="P335" s="90"/>
      <c r="Q335" s="52">
        <f t="shared" si="203"/>
        <v>0</v>
      </c>
      <c r="R335" s="52">
        <f t="shared" si="204"/>
        <v>0</v>
      </c>
      <c r="S335" s="53">
        <f t="shared" si="205"/>
        <v>0</v>
      </c>
      <c r="T335" s="54">
        <f t="shared" si="206"/>
        <v>0</v>
      </c>
      <c r="U335" s="115">
        <f>SUM(Tableau1[[#This Row],[Vente confiserie]:[Vente boisson]])</f>
        <v>0</v>
      </c>
      <c r="V335" s="55"/>
      <c r="W335" s="55"/>
      <c r="X335" s="135">
        <f>SUM(Tableau1[[#This Row],[Vente lunette]:[Location lunette]])</f>
        <v>0</v>
      </c>
      <c r="Y335" s="55"/>
      <c r="Z335" s="55"/>
      <c r="AA335" s="55"/>
      <c r="AB335" s="55"/>
      <c r="AC335" s="56">
        <f t="shared" si="196"/>
        <v>0</v>
      </c>
      <c r="AD335" s="57"/>
      <c r="AE335" s="57"/>
      <c r="AF335" s="57"/>
      <c r="AG335" s="57"/>
      <c r="AH335" s="57"/>
      <c r="AI335" s="57"/>
      <c r="AJ335" s="118">
        <f>(Tableau1[[#This Row],[Recette guichet ]]*1.1275177)-Tableau1[[#This Row],[Recette guichet ]]</f>
        <v>0</v>
      </c>
      <c r="AK335" s="57"/>
      <c r="AL335" s="56">
        <f t="shared" si="197"/>
        <v>0</v>
      </c>
      <c r="AM335" s="58"/>
      <c r="AN335" s="58"/>
      <c r="AO335" s="58"/>
      <c r="AP335" s="115">
        <f t="shared" si="207"/>
        <v>0</v>
      </c>
      <c r="AQ335" s="69"/>
      <c r="AR335" s="69"/>
      <c r="AS335" s="69"/>
      <c r="AT335" s="69"/>
      <c r="AU335" s="59">
        <f t="shared" si="208"/>
        <v>0</v>
      </c>
      <c r="AV335" s="60">
        <f t="shared" si="209"/>
        <v>0</v>
      </c>
      <c r="AW335" s="58"/>
      <c r="AX335" s="58"/>
      <c r="AY335" s="58"/>
      <c r="AZ335" s="60">
        <f t="shared" si="199"/>
        <v>0</v>
      </c>
      <c r="BA335" s="58"/>
      <c r="BB335" s="58"/>
      <c r="BC335" s="58"/>
      <c r="BD335" s="60">
        <f>SUM(Tableau1[[#This Row],[ticket/carte/abonnement périmé]:[Autres ou non précisé 5]])</f>
        <v>0</v>
      </c>
      <c r="BE335" s="58"/>
      <c r="BF335" s="58"/>
      <c r="BG335" s="58"/>
      <c r="BH335" s="61">
        <f t="shared" si="210"/>
        <v>0</v>
      </c>
      <c r="BI335" s="120"/>
      <c r="BJ335" s="120"/>
      <c r="BK335" s="62">
        <f t="shared" si="211"/>
        <v>0</v>
      </c>
      <c r="BL335" s="120"/>
      <c r="BM335" s="120"/>
      <c r="BN335" s="120"/>
      <c r="BO335" s="120"/>
      <c r="BP335" s="120"/>
      <c r="BQ335" s="63"/>
      <c r="BR335" s="52">
        <f t="shared" si="212"/>
        <v>0</v>
      </c>
      <c r="BS335" s="52">
        <f t="shared" si="213"/>
        <v>0</v>
      </c>
      <c r="BT335" s="61">
        <f t="shared" si="214"/>
        <v>0</v>
      </c>
      <c r="BU335" s="64">
        <f t="shared" si="215"/>
        <v>0</v>
      </c>
      <c r="BV335" s="119">
        <f>SUM(Tableau1[[#This Row],[Achats confiserie]:[Achats boisson]])</f>
        <v>0</v>
      </c>
      <c r="BW335" s="58"/>
      <c r="BX335" s="69"/>
      <c r="BY335" s="58"/>
      <c r="BZ335" s="56">
        <f t="shared" si="216"/>
        <v>0</v>
      </c>
      <c r="CA335" s="66"/>
      <c r="CB335" s="66"/>
      <c r="CC335" s="56">
        <f t="shared" si="217"/>
        <v>0</v>
      </c>
      <c r="CD335" s="55"/>
      <c r="CE335" s="65"/>
      <c r="CF335" s="55"/>
      <c r="CG335" s="55"/>
      <c r="CH335" s="67">
        <f t="shared" si="218"/>
        <v>0</v>
      </c>
      <c r="CI335" s="68">
        <f t="shared" si="195"/>
        <v>0</v>
      </c>
      <c r="CJ335" s="55"/>
      <c r="CK335" s="55"/>
      <c r="CL335" s="55"/>
      <c r="CM335" s="55"/>
      <c r="CN335" s="55"/>
      <c r="CO335" s="68">
        <f t="shared" si="219"/>
        <v>0</v>
      </c>
      <c r="CP335" s="75">
        <f>SUM(Tableau1[[#This Row],[Fourniture eau]:[Energie (non précisé)]])</f>
        <v>0</v>
      </c>
      <c r="CQ335" s="55"/>
      <c r="CR335" s="55"/>
      <c r="CS335" s="55"/>
      <c r="CT335" s="55"/>
      <c r="CU335" s="55"/>
      <c r="CV335" s="55">
        <v>0</v>
      </c>
      <c r="CW335" s="55"/>
      <c r="CX335" s="68">
        <f>SUM(Tableau1[[#This Row],[Sous-traitance]:[Autres ou non précisé 12]])</f>
        <v>0</v>
      </c>
      <c r="CY335" s="65"/>
      <c r="CZ335" s="65"/>
      <c r="DA335" s="65"/>
      <c r="DB335" s="65"/>
      <c r="DC335" s="55"/>
      <c r="DD335" s="68">
        <f t="shared" si="200"/>
        <v>0</v>
      </c>
      <c r="DE335" s="55"/>
      <c r="DF335" s="65"/>
      <c r="DG335" s="65"/>
      <c r="DH335" s="65"/>
      <c r="DI335" s="68">
        <f>SUM(Tableau1[[#This Row],[Entretien et réparation matériel de projection]:[Autres ou non précisé 14]])</f>
        <v>0</v>
      </c>
      <c r="DJ335" s="58"/>
      <c r="DK335" s="58"/>
      <c r="DL335" s="69"/>
      <c r="DM335" s="68">
        <f t="shared" si="220"/>
        <v>0</v>
      </c>
      <c r="DN335" s="58"/>
      <c r="DO335" s="58"/>
      <c r="DP335" s="68">
        <f t="shared" si="221"/>
        <v>0</v>
      </c>
      <c r="DQ335" s="65"/>
      <c r="DR335" s="65"/>
      <c r="DS335" s="68">
        <f t="shared" si="222"/>
        <v>0</v>
      </c>
      <c r="DT335" s="65"/>
      <c r="DU335" s="65"/>
      <c r="DV335" s="65"/>
      <c r="DW335" s="68">
        <f>SUM(Tableau1[[#This Row],[Comission et courtage sur achats]:[Autres ou honoraires
 non précisé ]])</f>
        <v>0</v>
      </c>
      <c r="DX335" s="57"/>
      <c r="DY335" s="57"/>
      <c r="DZ335" s="65"/>
      <c r="EA335" s="65"/>
      <c r="EB335" s="65"/>
      <c r="EC335" s="68">
        <f t="shared" si="223"/>
        <v>0</v>
      </c>
      <c r="ED335" s="69"/>
      <c r="EE335" s="69"/>
      <c r="EF335" s="69"/>
      <c r="EG335" s="69"/>
      <c r="EH335" s="69"/>
      <c r="EI335" s="84">
        <f>SUM(Tableau1[[#This Row],[Transports sur films]:[autres ]])</f>
        <v>0</v>
      </c>
      <c r="EJ335" s="132">
        <v>0</v>
      </c>
      <c r="EK335" s="132"/>
      <c r="EL335" s="68">
        <f t="shared" si="224"/>
        <v>0</v>
      </c>
      <c r="EM335" s="65"/>
      <c r="EN335" s="65">
        <v>0</v>
      </c>
      <c r="EO335" s="65"/>
      <c r="EP335" s="65"/>
      <c r="EQ335" s="65"/>
      <c r="ER335" s="65"/>
      <c r="ES335" s="65"/>
      <c r="ET335" s="68">
        <f t="shared" si="225"/>
        <v>0</v>
      </c>
      <c r="EU335" s="65"/>
      <c r="EV335" s="65"/>
      <c r="EW335" s="65"/>
      <c r="EX335" s="65"/>
      <c r="EY335" s="65"/>
      <c r="EZ335" s="68">
        <f t="shared" si="202"/>
        <v>0</v>
      </c>
      <c r="FA335" s="65"/>
      <c r="FB335" s="65"/>
      <c r="FC335" s="70">
        <f t="shared" si="201"/>
        <v>0</v>
      </c>
      <c r="FD335" s="65"/>
      <c r="FE335" s="71">
        <f t="shared" si="226"/>
        <v>0</v>
      </c>
      <c r="FF335" s="72">
        <f t="shared" si="227"/>
        <v>0</v>
      </c>
      <c r="FG335" s="65"/>
      <c r="FH335" s="65"/>
      <c r="FI335" s="65"/>
      <c r="FJ335" s="56">
        <f t="shared" si="228"/>
        <v>0</v>
      </c>
      <c r="FK335" s="65"/>
      <c r="FL335" s="65"/>
      <c r="FM335" s="65"/>
      <c r="FN335" s="65"/>
      <c r="FO335" s="67">
        <f t="shared" si="229"/>
        <v>0</v>
      </c>
      <c r="FP335" s="57"/>
      <c r="FQ335" s="73"/>
      <c r="FR335" s="73"/>
      <c r="FS335" s="71">
        <f t="shared" si="230"/>
        <v>0</v>
      </c>
      <c r="FT335" s="91"/>
      <c r="FU335" s="91"/>
      <c r="FV335" s="67">
        <f>SUM(Tableau1[[#This Row],[Droits d''auteurs SACEM + cotisations SACEM]:[Autres ou non préciés]])</f>
        <v>0</v>
      </c>
      <c r="FW335" s="75">
        <f t="shared" si="231"/>
        <v>0</v>
      </c>
      <c r="FX335" s="74">
        <v>0</v>
      </c>
      <c r="FY335" s="74"/>
      <c r="FZ335" s="74"/>
      <c r="GA335" s="74"/>
      <c r="GB335" s="71">
        <f t="shared" si="232"/>
        <v>0</v>
      </c>
      <c r="GC335" s="92"/>
      <c r="GD335" s="92"/>
      <c r="GE335" s="67">
        <f t="shared" si="233"/>
        <v>0</v>
      </c>
      <c r="GF335" s="66"/>
      <c r="GG335" s="66"/>
      <c r="GH335" s="66"/>
      <c r="GI335" s="66"/>
      <c r="GJ335" s="77"/>
    </row>
    <row r="336" spans="1:192" ht="18.600000000000001" customHeight="1" x14ac:dyDescent="0.25">
      <c r="A336" s="89"/>
      <c r="B336" s="17"/>
      <c r="C336" s="50"/>
      <c r="D336" s="140"/>
      <c r="E336" s="51"/>
      <c r="F336" s="139">
        <f t="shared" si="198"/>
        <v>1</v>
      </c>
      <c r="G336" s="49"/>
      <c r="H336" s="50"/>
      <c r="I336" s="122"/>
      <c r="J336" s="49"/>
      <c r="K336" s="50"/>
      <c r="L336" s="50"/>
      <c r="M336" s="90"/>
      <c r="N336" s="50"/>
      <c r="O336" s="50"/>
      <c r="P336" s="90"/>
      <c r="Q336" s="52">
        <f t="shared" si="203"/>
        <v>0</v>
      </c>
      <c r="R336" s="52">
        <f t="shared" si="204"/>
        <v>0</v>
      </c>
      <c r="S336" s="53">
        <f t="shared" si="205"/>
        <v>0</v>
      </c>
      <c r="T336" s="54">
        <f t="shared" si="206"/>
        <v>0</v>
      </c>
      <c r="U336" s="115">
        <f>SUM(Tableau1[[#This Row],[Vente confiserie]:[Vente boisson]])</f>
        <v>0</v>
      </c>
      <c r="V336" s="95"/>
      <c r="W336" s="95"/>
      <c r="X336" s="136">
        <f>SUM(Tableau1[[#This Row],[Vente lunette]:[Location lunette]])</f>
        <v>0</v>
      </c>
      <c r="Y336" s="95"/>
      <c r="Z336" s="95"/>
      <c r="AA336" s="95"/>
      <c r="AB336" s="95"/>
      <c r="AC336" s="56">
        <f t="shared" si="196"/>
        <v>0</v>
      </c>
      <c r="AD336" s="57"/>
      <c r="AE336" s="57"/>
      <c r="AF336" s="57"/>
      <c r="AG336" s="57"/>
      <c r="AH336" s="57"/>
      <c r="AI336" s="57"/>
      <c r="AJ336" s="118">
        <f>(Tableau1[[#This Row],[Recette guichet ]]*1.1275177)-Tableau1[[#This Row],[Recette guichet ]]</f>
        <v>0</v>
      </c>
      <c r="AK336" s="57"/>
      <c r="AL336" s="56">
        <f t="shared" si="197"/>
        <v>0</v>
      </c>
      <c r="AM336" s="58"/>
      <c r="AN336" s="58"/>
      <c r="AO336" s="58"/>
      <c r="AP336" s="115">
        <f t="shared" si="207"/>
        <v>0</v>
      </c>
      <c r="AQ336" s="69"/>
      <c r="AR336" s="69"/>
      <c r="AS336" s="69"/>
      <c r="AT336" s="69"/>
      <c r="AU336" s="59">
        <f t="shared" si="208"/>
        <v>0</v>
      </c>
      <c r="AV336" s="60">
        <f t="shared" si="209"/>
        <v>0</v>
      </c>
      <c r="AW336" s="58"/>
      <c r="AX336" s="58"/>
      <c r="AY336" s="58"/>
      <c r="AZ336" s="60">
        <f t="shared" si="199"/>
        <v>0</v>
      </c>
      <c r="BA336" s="58"/>
      <c r="BB336" s="58"/>
      <c r="BC336" s="58"/>
      <c r="BD336" s="60">
        <f>SUM(Tableau1[[#This Row],[ticket/carte/abonnement périmé]:[Autres ou non précisé 5]])</f>
        <v>0</v>
      </c>
      <c r="BE336" s="58"/>
      <c r="BF336" s="58"/>
      <c r="BG336" s="58"/>
      <c r="BH336" s="61">
        <f t="shared" si="210"/>
        <v>0</v>
      </c>
      <c r="BI336" s="120"/>
      <c r="BJ336" s="120"/>
      <c r="BK336" s="62">
        <f t="shared" si="211"/>
        <v>0</v>
      </c>
      <c r="BL336" s="120"/>
      <c r="BM336" s="120"/>
      <c r="BN336" s="120"/>
      <c r="BO336" s="120"/>
      <c r="BP336" s="120"/>
      <c r="BQ336" s="63"/>
      <c r="BR336" s="52">
        <f t="shared" si="212"/>
        <v>0</v>
      </c>
      <c r="BS336" s="52">
        <f t="shared" si="213"/>
        <v>0</v>
      </c>
      <c r="BT336" s="61">
        <f t="shared" si="214"/>
        <v>0</v>
      </c>
      <c r="BU336" s="64">
        <f t="shared" si="215"/>
        <v>0</v>
      </c>
      <c r="BV336" s="119">
        <f>SUM(Tableau1[[#This Row],[Achats confiserie]:[Achats boisson]])</f>
        <v>0</v>
      </c>
      <c r="BW336" s="58"/>
      <c r="BX336" s="69"/>
      <c r="BY336" s="58"/>
      <c r="BZ336" s="56">
        <f t="shared" si="216"/>
        <v>0</v>
      </c>
      <c r="CA336" s="66"/>
      <c r="CB336" s="66"/>
      <c r="CC336" s="56">
        <f t="shared" si="217"/>
        <v>0</v>
      </c>
      <c r="CD336" s="55"/>
      <c r="CE336" s="65"/>
      <c r="CF336" s="55"/>
      <c r="CG336" s="55"/>
      <c r="CH336" s="67">
        <f t="shared" si="218"/>
        <v>0</v>
      </c>
      <c r="CI336" s="68">
        <f t="shared" si="195"/>
        <v>0</v>
      </c>
      <c r="CJ336" s="55"/>
      <c r="CK336" s="55"/>
      <c r="CL336" s="55"/>
      <c r="CM336" s="55"/>
      <c r="CN336" s="55"/>
      <c r="CO336" s="68">
        <f t="shared" si="219"/>
        <v>0</v>
      </c>
      <c r="CP336" s="75">
        <f>SUM(Tableau1[[#This Row],[Fourniture eau]:[Energie (non précisé)]])</f>
        <v>0</v>
      </c>
      <c r="CQ336" s="55"/>
      <c r="CR336" s="55"/>
      <c r="CS336" s="55"/>
      <c r="CT336" s="55"/>
      <c r="CU336" s="55"/>
      <c r="CV336" s="55">
        <v>0</v>
      </c>
      <c r="CW336" s="55"/>
      <c r="CX336" s="68">
        <f>SUM(Tableau1[[#This Row],[Sous-traitance]:[Autres ou non précisé 12]])</f>
        <v>0</v>
      </c>
      <c r="CY336" s="65"/>
      <c r="CZ336" s="65"/>
      <c r="DA336" s="65"/>
      <c r="DB336" s="65"/>
      <c r="DC336" s="55"/>
      <c r="DD336" s="68">
        <f t="shared" si="200"/>
        <v>0</v>
      </c>
      <c r="DE336" s="55"/>
      <c r="DF336" s="65"/>
      <c r="DG336" s="65"/>
      <c r="DH336" s="65"/>
      <c r="DI336" s="68">
        <f>SUM(Tableau1[[#This Row],[Entretien et réparation matériel de projection]:[Autres ou non précisé 14]])</f>
        <v>0</v>
      </c>
      <c r="DJ336" s="58"/>
      <c r="DK336" s="58"/>
      <c r="DL336" s="69"/>
      <c r="DM336" s="68">
        <f t="shared" si="220"/>
        <v>0</v>
      </c>
      <c r="DN336" s="58"/>
      <c r="DO336" s="58"/>
      <c r="DP336" s="68">
        <f t="shared" si="221"/>
        <v>0</v>
      </c>
      <c r="DQ336" s="65"/>
      <c r="DR336" s="65"/>
      <c r="DS336" s="68">
        <f t="shared" si="222"/>
        <v>0</v>
      </c>
      <c r="DT336" s="65"/>
      <c r="DU336" s="65"/>
      <c r="DV336" s="65"/>
      <c r="DW336" s="68">
        <f>SUM(Tableau1[[#This Row],[Comission et courtage sur achats]:[Autres ou honoraires
 non précisé ]])</f>
        <v>0</v>
      </c>
      <c r="DX336" s="57"/>
      <c r="DY336" s="57"/>
      <c r="DZ336" s="65"/>
      <c r="EA336" s="65"/>
      <c r="EB336" s="65"/>
      <c r="EC336" s="68">
        <f t="shared" si="223"/>
        <v>0</v>
      </c>
      <c r="ED336" s="69"/>
      <c r="EE336" s="69"/>
      <c r="EF336" s="69"/>
      <c r="EG336" s="69"/>
      <c r="EH336" s="69"/>
      <c r="EI336" s="84">
        <f>SUM(Tableau1[[#This Row],[Transports sur films]:[autres ]])</f>
        <v>0</v>
      </c>
      <c r="EJ336" s="132">
        <v>0</v>
      </c>
      <c r="EK336" s="132"/>
      <c r="EL336" s="68">
        <f t="shared" si="224"/>
        <v>0</v>
      </c>
      <c r="EM336" s="65"/>
      <c r="EN336" s="65">
        <v>0</v>
      </c>
      <c r="EO336" s="65"/>
      <c r="EP336" s="65"/>
      <c r="EQ336" s="65"/>
      <c r="ER336" s="65"/>
      <c r="ES336" s="65"/>
      <c r="ET336" s="68">
        <f t="shared" si="225"/>
        <v>0</v>
      </c>
      <c r="EU336" s="65"/>
      <c r="EV336" s="65"/>
      <c r="EW336" s="65"/>
      <c r="EX336" s="65"/>
      <c r="EY336" s="65"/>
      <c r="EZ336" s="68">
        <f t="shared" si="202"/>
        <v>0</v>
      </c>
      <c r="FA336" s="65"/>
      <c r="FB336" s="65"/>
      <c r="FC336" s="70">
        <f t="shared" si="201"/>
        <v>0</v>
      </c>
      <c r="FD336" s="65"/>
      <c r="FE336" s="71">
        <f t="shared" si="226"/>
        <v>0</v>
      </c>
      <c r="FF336" s="72">
        <f t="shared" si="227"/>
        <v>0</v>
      </c>
      <c r="FG336" s="65"/>
      <c r="FH336" s="65"/>
      <c r="FI336" s="65"/>
      <c r="FJ336" s="56">
        <f t="shared" si="228"/>
        <v>0</v>
      </c>
      <c r="FK336" s="65"/>
      <c r="FL336" s="65"/>
      <c r="FM336" s="65"/>
      <c r="FN336" s="65"/>
      <c r="FO336" s="67">
        <f t="shared" si="229"/>
        <v>0</v>
      </c>
      <c r="FP336" s="57"/>
      <c r="FQ336" s="73"/>
      <c r="FR336" s="73"/>
      <c r="FS336" s="71">
        <f t="shared" si="230"/>
        <v>0</v>
      </c>
      <c r="FT336" s="91"/>
      <c r="FU336" s="91"/>
      <c r="FV336" s="67">
        <f>SUM(Tableau1[[#This Row],[Droits d''auteurs SACEM + cotisations SACEM]:[Autres ou non préciés]])</f>
        <v>0</v>
      </c>
      <c r="FW336" s="75">
        <f t="shared" si="231"/>
        <v>0</v>
      </c>
      <c r="FX336" s="74">
        <v>0</v>
      </c>
      <c r="FY336" s="74"/>
      <c r="FZ336" s="74"/>
      <c r="GA336" s="74"/>
      <c r="GB336" s="71">
        <f t="shared" si="232"/>
        <v>0</v>
      </c>
      <c r="GC336" s="92"/>
      <c r="GD336" s="92"/>
      <c r="GE336" s="67">
        <f t="shared" si="233"/>
        <v>0</v>
      </c>
      <c r="GF336" s="66"/>
      <c r="GG336" s="66"/>
      <c r="GH336" s="66"/>
      <c r="GI336" s="66"/>
      <c r="GJ336" s="77"/>
    </row>
    <row r="337" spans="1:192" ht="18.600000000000001" customHeight="1" x14ac:dyDescent="0.25">
      <c r="A337" s="89"/>
      <c r="B337" s="17"/>
      <c r="C337" s="50"/>
      <c r="D337" s="140"/>
      <c r="E337" s="51"/>
      <c r="F337" s="139">
        <f t="shared" si="198"/>
        <v>1</v>
      </c>
      <c r="G337" s="49"/>
      <c r="H337" s="50"/>
      <c r="I337" s="122"/>
      <c r="J337" s="49"/>
      <c r="K337" s="50"/>
      <c r="L337" s="50"/>
      <c r="M337" s="90"/>
      <c r="N337" s="50"/>
      <c r="O337" s="50"/>
      <c r="P337" s="90"/>
      <c r="Q337" s="52">
        <f t="shared" si="203"/>
        <v>0</v>
      </c>
      <c r="R337" s="52">
        <f t="shared" si="204"/>
        <v>0</v>
      </c>
      <c r="S337" s="53">
        <f t="shared" si="205"/>
        <v>0</v>
      </c>
      <c r="T337" s="54">
        <f t="shared" si="206"/>
        <v>0</v>
      </c>
      <c r="U337" s="115">
        <f>SUM(Tableau1[[#This Row],[Vente confiserie]:[Vente boisson]])</f>
        <v>0</v>
      </c>
      <c r="V337" s="95"/>
      <c r="W337" s="95"/>
      <c r="X337" s="136">
        <f>SUM(Tableau1[[#This Row],[Vente lunette]:[Location lunette]])</f>
        <v>0</v>
      </c>
      <c r="Y337" s="95"/>
      <c r="Z337" s="95"/>
      <c r="AA337" s="95"/>
      <c r="AB337" s="95"/>
      <c r="AC337" s="56">
        <f t="shared" si="196"/>
        <v>0</v>
      </c>
      <c r="AD337" s="57"/>
      <c r="AE337" s="57"/>
      <c r="AF337" s="57"/>
      <c r="AG337" s="57"/>
      <c r="AH337" s="57"/>
      <c r="AI337" s="57"/>
      <c r="AJ337" s="118">
        <f>(Tableau1[[#This Row],[Recette guichet ]]*1.1275177)-Tableau1[[#This Row],[Recette guichet ]]</f>
        <v>0</v>
      </c>
      <c r="AK337" s="57"/>
      <c r="AL337" s="56">
        <f t="shared" si="197"/>
        <v>0</v>
      </c>
      <c r="AM337" s="58"/>
      <c r="AN337" s="58"/>
      <c r="AO337" s="58"/>
      <c r="AP337" s="115">
        <f t="shared" si="207"/>
        <v>0</v>
      </c>
      <c r="AQ337" s="69"/>
      <c r="AR337" s="69"/>
      <c r="AS337" s="69"/>
      <c r="AT337" s="69"/>
      <c r="AU337" s="59">
        <f t="shared" si="208"/>
        <v>0</v>
      </c>
      <c r="AV337" s="60">
        <f t="shared" si="209"/>
        <v>0</v>
      </c>
      <c r="AW337" s="58"/>
      <c r="AX337" s="58"/>
      <c r="AY337" s="58"/>
      <c r="AZ337" s="60">
        <f t="shared" si="199"/>
        <v>0</v>
      </c>
      <c r="BA337" s="58"/>
      <c r="BB337" s="58"/>
      <c r="BC337" s="58"/>
      <c r="BD337" s="60">
        <f>SUM(Tableau1[[#This Row],[ticket/carte/abonnement périmé]:[Autres ou non précisé 5]])</f>
        <v>0</v>
      </c>
      <c r="BE337" s="58"/>
      <c r="BF337" s="58"/>
      <c r="BG337" s="58"/>
      <c r="BH337" s="61">
        <f t="shared" si="210"/>
        <v>0</v>
      </c>
      <c r="BI337" s="120"/>
      <c r="BJ337" s="120"/>
      <c r="BK337" s="62">
        <f t="shared" si="211"/>
        <v>0</v>
      </c>
      <c r="BL337" s="120"/>
      <c r="BM337" s="120"/>
      <c r="BN337" s="120"/>
      <c r="BO337" s="120"/>
      <c r="BP337" s="120"/>
      <c r="BQ337" s="63"/>
      <c r="BR337" s="52">
        <f t="shared" si="212"/>
        <v>0</v>
      </c>
      <c r="BS337" s="52">
        <f t="shared" si="213"/>
        <v>0</v>
      </c>
      <c r="BT337" s="61">
        <f t="shared" si="214"/>
        <v>0</v>
      </c>
      <c r="BU337" s="64">
        <f t="shared" si="215"/>
        <v>0</v>
      </c>
      <c r="BV337" s="119">
        <f>SUM(Tableau1[[#This Row],[Achats confiserie]:[Achats boisson]])</f>
        <v>0</v>
      </c>
      <c r="BW337" s="58"/>
      <c r="BX337" s="69"/>
      <c r="BY337" s="58"/>
      <c r="BZ337" s="56">
        <f t="shared" si="216"/>
        <v>0</v>
      </c>
      <c r="CA337" s="66"/>
      <c r="CB337" s="66"/>
      <c r="CC337" s="56">
        <f t="shared" si="217"/>
        <v>0</v>
      </c>
      <c r="CD337" s="55"/>
      <c r="CE337" s="65"/>
      <c r="CF337" s="55"/>
      <c r="CG337" s="55"/>
      <c r="CH337" s="67">
        <f t="shared" si="218"/>
        <v>0</v>
      </c>
      <c r="CI337" s="68">
        <f t="shared" si="195"/>
        <v>0</v>
      </c>
      <c r="CJ337" s="55"/>
      <c r="CK337" s="55"/>
      <c r="CL337" s="55"/>
      <c r="CM337" s="55"/>
      <c r="CN337" s="55"/>
      <c r="CO337" s="68">
        <f t="shared" si="219"/>
        <v>0</v>
      </c>
      <c r="CP337" s="75">
        <f>SUM(Tableau1[[#This Row],[Fourniture eau]:[Energie (non précisé)]])</f>
        <v>0</v>
      </c>
      <c r="CQ337" s="55"/>
      <c r="CR337" s="55"/>
      <c r="CS337" s="55"/>
      <c r="CT337" s="55"/>
      <c r="CU337" s="55"/>
      <c r="CV337" s="55">
        <v>0</v>
      </c>
      <c r="CW337" s="55"/>
      <c r="CX337" s="68">
        <f>SUM(Tableau1[[#This Row],[Sous-traitance]:[Autres ou non précisé 12]])</f>
        <v>0</v>
      </c>
      <c r="CY337" s="65"/>
      <c r="CZ337" s="65"/>
      <c r="DA337" s="65"/>
      <c r="DB337" s="65"/>
      <c r="DC337" s="55"/>
      <c r="DD337" s="68">
        <f t="shared" si="200"/>
        <v>0</v>
      </c>
      <c r="DE337" s="55"/>
      <c r="DF337" s="65"/>
      <c r="DG337" s="65"/>
      <c r="DH337" s="65"/>
      <c r="DI337" s="68">
        <f>SUM(Tableau1[[#This Row],[Entretien et réparation matériel de projection]:[Autres ou non précisé 14]])</f>
        <v>0</v>
      </c>
      <c r="DJ337" s="58"/>
      <c r="DK337" s="58"/>
      <c r="DL337" s="69"/>
      <c r="DM337" s="68">
        <f t="shared" si="220"/>
        <v>0</v>
      </c>
      <c r="DN337" s="58"/>
      <c r="DO337" s="58"/>
      <c r="DP337" s="68">
        <f t="shared" si="221"/>
        <v>0</v>
      </c>
      <c r="DQ337" s="65"/>
      <c r="DR337" s="65"/>
      <c r="DS337" s="68">
        <f t="shared" si="222"/>
        <v>0</v>
      </c>
      <c r="DT337" s="65"/>
      <c r="DU337" s="65"/>
      <c r="DV337" s="65"/>
      <c r="DW337" s="68">
        <f>SUM(Tableau1[[#This Row],[Comission et courtage sur achats]:[Autres ou honoraires
 non précisé ]])</f>
        <v>0</v>
      </c>
      <c r="DX337" s="57"/>
      <c r="DY337" s="57"/>
      <c r="DZ337" s="65"/>
      <c r="EA337" s="65"/>
      <c r="EB337" s="65"/>
      <c r="EC337" s="68">
        <f t="shared" si="223"/>
        <v>0</v>
      </c>
      <c r="ED337" s="69"/>
      <c r="EE337" s="69"/>
      <c r="EF337" s="69"/>
      <c r="EG337" s="69"/>
      <c r="EH337" s="69"/>
      <c r="EI337" s="84">
        <f>SUM(Tableau1[[#This Row],[Transports sur films]:[autres ]])</f>
        <v>0</v>
      </c>
      <c r="EJ337" s="132">
        <v>0</v>
      </c>
      <c r="EK337" s="132"/>
      <c r="EL337" s="68">
        <f t="shared" si="224"/>
        <v>0</v>
      </c>
      <c r="EM337" s="65"/>
      <c r="EN337" s="65">
        <v>0</v>
      </c>
      <c r="EO337" s="65"/>
      <c r="EP337" s="65"/>
      <c r="EQ337" s="65"/>
      <c r="ER337" s="65"/>
      <c r="ES337" s="65"/>
      <c r="ET337" s="68">
        <f t="shared" si="225"/>
        <v>0</v>
      </c>
      <c r="EU337" s="65"/>
      <c r="EV337" s="65"/>
      <c r="EW337" s="65"/>
      <c r="EX337" s="65"/>
      <c r="EY337" s="65"/>
      <c r="EZ337" s="68">
        <f t="shared" si="202"/>
        <v>0</v>
      </c>
      <c r="FA337" s="65"/>
      <c r="FB337" s="65"/>
      <c r="FC337" s="70">
        <f t="shared" si="201"/>
        <v>0</v>
      </c>
      <c r="FD337" s="65"/>
      <c r="FE337" s="71">
        <f t="shared" si="226"/>
        <v>0</v>
      </c>
      <c r="FF337" s="72">
        <f t="shared" si="227"/>
        <v>0</v>
      </c>
      <c r="FG337" s="65"/>
      <c r="FH337" s="65"/>
      <c r="FI337" s="65"/>
      <c r="FJ337" s="56">
        <f t="shared" si="228"/>
        <v>0</v>
      </c>
      <c r="FK337" s="65"/>
      <c r="FL337" s="65"/>
      <c r="FM337" s="65"/>
      <c r="FN337" s="65"/>
      <c r="FO337" s="67">
        <f t="shared" si="229"/>
        <v>0</v>
      </c>
      <c r="FP337" s="57"/>
      <c r="FQ337" s="73"/>
      <c r="FR337" s="73"/>
      <c r="FS337" s="71">
        <f t="shared" si="230"/>
        <v>0</v>
      </c>
      <c r="FT337" s="91"/>
      <c r="FU337" s="91"/>
      <c r="FV337" s="67">
        <f>SUM(Tableau1[[#This Row],[Droits d''auteurs SACEM + cotisations SACEM]:[Autres ou non préciés]])</f>
        <v>0</v>
      </c>
      <c r="FW337" s="75">
        <f t="shared" si="231"/>
        <v>0</v>
      </c>
      <c r="FX337" s="74">
        <v>0</v>
      </c>
      <c r="FY337" s="74"/>
      <c r="FZ337" s="74"/>
      <c r="GA337" s="74"/>
      <c r="GB337" s="71">
        <f t="shared" si="232"/>
        <v>0</v>
      </c>
      <c r="GC337" s="92"/>
      <c r="GD337" s="92"/>
      <c r="GE337" s="67">
        <f t="shared" si="233"/>
        <v>0</v>
      </c>
      <c r="GF337" s="66"/>
      <c r="GG337" s="66"/>
      <c r="GH337" s="66"/>
      <c r="GI337" s="66"/>
      <c r="GJ337" s="77"/>
    </row>
    <row r="338" spans="1:192" ht="18.600000000000001" customHeight="1" x14ac:dyDescent="0.25">
      <c r="A338" s="89"/>
      <c r="B338" s="17"/>
      <c r="C338" s="50"/>
      <c r="D338" s="140"/>
      <c r="E338" s="51"/>
      <c r="F338" s="139">
        <f t="shared" si="198"/>
        <v>1</v>
      </c>
      <c r="G338" s="49"/>
      <c r="H338" s="50"/>
      <c r="I338" s="122"/>
      <c r="J338" s="49"/>
      <c r="K338" s="50"/>
      <c r="L338" s="50"/>
      <c r="M338" s="90"/>
      <c r="N338" s="50"/>
      <c r="O338" s="50"/>
      <c r="P338" s="90"/>
      <c r="Q338" s="52">
        <f t="shared" si="203"/>
        <v>0</v>
      </c>
      <c r="R338" s="52">
        <f t="shared" si="204"/>
        <v>0</v>
      </c>
      <c r="S338" s="53">
        <f t="shared" si="205"/>
        <v>0</v>
      </c>
      <c r="T338" s="54">
        <f t="shared" si="206"/>
        <v>0</v>
      </c>
      <c r="U338" s="115">
        <f>SUM(Tableau1[[#This Row],[Vente confiserie]:[Vente boisson]])</f>
        <v>0</v>
      </c>
      <c r="V338" s="95"/>
      <c r="W338" s="95"/>
      <c r="X338" s="136">
        <f>SUM(Tableau1[[#This Row],[Vente lunette]:[Location lunette]])</f>
        <v>0</v>
      </c>
      <c r="Y338" s="95"/>
      <c r="Z338" s="95"/>
      <c r="AA338" s="95"/>
      <c r="AB338" s="95"/>
      <c r="AC338" s="56">
        <f t="shared" si="196"/>
        <v>0</v>
      </c>
      <c r="AD338" s="57"/>
      <c r="AE338" s="57"/>
      <c r="AF338" s="57"/>
      <c r="AG338" s="57"/>
      <c r="AH338" s="57"/>
      <c r="AI338" s="57"/>
      <c r="AJ338" s="118">
        <f>(Tableau1[[#This Row],[Recette guichet ]]*1.1275177)-Tableau1[[#This Row],[Recette guichet ]]</f>
        <v>0</v>
      </c>
      <c r="AK338" s="57"/>
      <c r="AL338" s="56">
        <f t="shared" si="197"/>
        <v>0</v>
      </c>
      <c r="AM338" s="58"/>
      <c r="AN338" s="58"/>
      <c r="AO338" s="58"/>
      <c r="AP338" s="115">
        <f t="shared" si="207"/>
        <v>0</v>
      </c>
      <c r="AQ338" s="69"/>
      <c r="AR338" s="69"/>
      <c r="AS338" s="69"/>
      <c r="AT338" s="69"/>
      <c r="AU338" s="59">
        <f t="shared" si="208"/>
        <v>0</v>
      </c>
      <c r="AV338" s="60">
        <f t="shared" si="209"/>
        <v>0</v>
      </c>
      <c r="AW338" s="58"/>
      <c r="AX338" s="58"/>
      <c r="AY338" s="58"/>
      <c r="AZ338" s="60">
        <f t="shared" si="199"/>
        <v>0</v>
      </c>
      <c r="BA338" s="58"/>
      <c r="BB338" s="58"/>
      <c r="BC338" s="58"/>
      <c r="BD338" s="60">
        <f>SUM(Tableau1[[#This Row],[ticket/carte/abonnement périmé]:[Autres ou non précisé 5]])</f>
        <v>0</v>
      </c>
      <c r="BE338" s="58"/>
      <c r="BF338" s="58"/>
      <c r="BG338" s="58"/>
      <c r="BH338" s="61">
        <f t="shared" si="210"/>
        <v>0</v>
      </c>
      <c r="BI338" s="120"/>
      <c r="BJ338" s="120"/>
      <c r="BK338" s="62">
        <f t="shared" si="211"/>
        <v>0</v>
      </c>
      <c r="BL338" s="120"/>
      <c r="BM338" s="120"/>
      <c r="BN338" s="120"/>
      <c r="BO338" s="120"/>
      <c r="BP338" s="120"/>
      <c r="BQ338" s="63"/>
      <c r="BR338" s="52">
        <f t="shared" si="212"/>
        <v>0</v>
      </c>
      <c r="BS338" s="52">
        <f t="shared" si="213"/>
        <v>0</v>
      </c>
      <c r="BT338" s="61">
        <f t="shared" si="214"/>
        <v>0</v>
      </c>
      <c r="BU338" s="64">
        <f t="shared" si="215"/>
        <v>0</v>
      </c>
      <c r="BV338" s="119">
        <f>SUM(Tableau1[[#This Row],[Achats confiserie]:[Achats boisson]])</f>
        <v>0</v>
      </c>
      <c r="BW338" s="58"/>
      <c r="BX338" s="69"/>
      <c r="BY338" s="58"/>
      <c r="BZ338" s="56">
        <f t="shared" si="216"/>
        <v>0</v>
      </c>
      <c r="CA338" s="66"/>
      <c r="CB338" s="66"/>
      <c r="CC338" s="56">
        <f t="shared" si="217"/>
        <v>0</v>
      </c>
      <c r="CD338" s="55"/>
      <c r="CE338" s="65"/>
      <c r="CF338" s="55"/>
      <c r="CG338" s="55"/>
      <c r="CH338" s="67">
        <f t="shared" si="218"/>
        <v>0</v>
      </c>
      <c r="CI338" s="68">
        <f t="shared" si="195"/>
        <v>0</v>
      </c>
      <c r="CJ338" s="55"/>
      <c r="CK338" s="55"/>
      <c r="CL338" s="55"/>
      <c r="CM338" s="55"/>
      <c r="CN338" s="55"/>
      <c r="CO338" s="68">
        <f t="shared" si="219"/>
        <v>0</v>
      </c>
      <c r="CP338" s="75">
        <f>SUM(Tableau1[[#This Row],[Fourniture eau]:[Energie (non précisé)]])</f>
        <v>0</v>
      </c>
      <c r="CQ338" s="55"/>
      <c r="CR338" s="55"/>
      <c r="CS338" s="55"/>
      <c r="CT338" s="55"/>
      <c r="CU338" s="55"/>
      <c r="CV338" s="55">
        <v>0</v>
      </c>
      <c r="CW338" s="55"/>
      <c r="CX338" s="68">
        <f>SUM(Tableau1[[#This Row],[Sous-traitance]:[Autres ou non précisé 12]])</f>
        <v>0</v>
      </c>
      <c r="CY338" s="65"/>
      <c r="CZ338" s="65"/>
      <c r="DA338" s="65"/>
      <c r="DB338" s="65"/>
      <c r="DC338" s="55"/>
      <c r="DD338" s="68">
        <f t="shared" si="200"/>
        <v>0</v>
      </c>
      <c r="DE338" s="55"/>
      <c r="DF338" s="65"/>
      <c r="DG338" s="65"/>
      <c r="DH338" s="65"/>
      <c r="DI338" s="68">
        <f>SUM(Tableau1[[#This Row],[Entretien et réparation matériel de projection]:[Autres ou non précisé 14]])</f>
        <v>0</v>
      </c>
      <c r="DJ338" s="58"/>
      <c r="DK338" s="58"/>
      <c r="DL338" s="69"/>
      <c r="DM338" s="68">
        <f t="shared" si="220"/>
        <v>0</v>
      </c>
      <c r="DN338" s="58"/>
      <c r="DO338" s="58"/>
      <c r="DP338" s="68">
        <f t="shared" si="221"/>
        <v>0</v>
      </c>
      <c r="DQ338" s="65"/>
      <c r="DR338" s="65"/>
      <c r="DS338" s="68">
        <f t="shared" si="222"/>
        <v>0</v>
      </c>
      <c r="DT338" s="65"/>
      <c r="DU338" s="65"/>
      <c r="DV338" s="65"/>
      <c r="DW338" s="68">
        <f>SUM(Tableau1[[#This Row],[Comission et courtage sur achats]:[Autres ou honoraires
 non précisé ]])</f>
        <v>0</v>
      </c>
      <c r="DX338" s="57"/>
      <c r="DY338" s="57"/>
      <c r="DZ338" s="65"/>
      <c r="EA338" s="65"/>
      <c r="EB338" s="65"/>
      <c r="EC338" s="68">
        <f t="shared" si="223"/>
        <v>0</v>
      </c>
      <c r="ED338" s="69"/>
      <c r="EE338" s="69"/>
      <c r="EF338" s="69"/>
      <c r="EG338" s="69"/>
      <c r="EH338" s="69"/>
      <c r="EI338" s="84">
        <f>SUM(Tableau1[[#This Row],[Transports sur films]:[autres ]])</f>
        <v>0</v>
      </c>
      <c r="EJ338" s="132">
        <v>0</v>
      </c>
      <c r="EK338" s="132"/>
      <c r="EL338" s="68">
        <f t="shared" si="224"/>
        <v>0</v>
      </c>
      <c r="EM338" s="65"/>
      <c r="EN338" s="65">
        <v>0</v>
      </c>
      <c r="EO338" s="65"/>
      <c r="EP338" s="65"/>
      <c r="EQ338" s="65"/>
      <c r="ER338" s="65"/>
      <c r="ES338" s="65"/>
      <c r="ET338" s="68">
        <f t="shared" si="225"/>
        <v>0</v>
      </c>
      <c r="EU338" s="65"/>
      <c r="EV338" s="65"/>
      <c r="EW338" s="65"/>
      <c r="EX338" s="65"/>
      <c r="EY338" s="65"/>
      <c r="EZ338" s="68">
        <f t="shared" si="202"/>
        <v>0</v>
      </c>
      <c r="FA338" s="65"/>
      <c r="FB338" s="65"/>
      <c r="FC338" s="70">
        <f t="shared" si="201"/>
        <v>0</v>
      </c>
      <c r="FD338" s="65"/>
      <c r="FE338" s="71">
        <f t="shared" si="226"/>
        <v>0</v>
      </c>
      <c r="FF338" s="72">
        <f t="shared" si="227"/>
        <v>0</v>
      </c>
      <c r="FG338" s="65"/>
      <c r="FH338" s="65"/>
      <c r="FI338" s="65"/>
      <c r="FJ338" s="56">
        <f t="shared" si="228"/>
        <v>0</v>
      </c>
      <c r="FK338" s="65"/>
      <c r="FL338" s="65"/>
      <c r="FM338" s="65"/>
      <c r="FN338" s="65"/>
      <c r="FO338" s="67">
        <f t="shared" si="229"/>
        <v>0</v>
      </c>
      <c r="FP338" s="57"/>
      <c r="FQ338" s="73"/>
      <c r="FR338" s="73"/>
      <c r="FS338" s="71">
        <f t="shared" si="230"/>
        <v>0</v>
      </c>
      <c r="FT338" s="91"/>
      <c r="FU338" s="91"/>
      <c r="FV338" s="67">
        <f>SUM(Tableau1[[#This Row],[Droits d''auteurs SACEM + cotisations SACEM]:[Autres ou non préciés]])</f>
        <v>0</v>
      </c>
      <c r="FW338" s="75">
        <f t="shared" si="231"/>
        <v>0</v>
      </c>
      <c r="FX338" s="74">
        <v>0</v>
      </c>
      <c r="FY338" s="74"/>
      <c r="FZ338" s="74"/>
      <c r="GA338" s="74"/>
      <c r="GB338" s="71">
        <f t="shared" si="232"/>
        <v>0</v>
      </c>
      <c r="GC338" s="92"/>
      <c r="GD338" s="92"/>
      <c r="GE338" s="67">
        <f t="shared" si="233"/>
        <v>0</v>
      </c>
      <c r="GF338" s="66"/>
      <c r="GG338" s="66"/>
      <c r="GH338" s="66"/>
      <c r="GI338" s="66"/>
      <c r="GJ338" s="77"/>
    </row>
    <row r="339" spans="1:192" ht="18.600000000000001" customHeight="1" x14ac:dyDescent="0.25">
      <c r="A339" s="89"/>
      <c r="B339" s="17"/>
      <c r="C339" s="50"/>
      <c r="D339" s="140"/>
      <c r="E339" s="51"/>
      <c r="F339" s="139">
        <f t="shared" si="198"/>
        <v>1</v>
      </c>
      <c r="G339" s="49"/>
      <c r="H339" s="50"/>
      <c r="I339" s="122"/>
      <c r="J339" s="49"/>
      <c r="K339" s="50"/>
      <c r="L339" s="50"/>
      <c r="M339" s="90"/>
      <c r="N339" s="50"/>
      <c r="O339" s="50"/>
      <c r="P339" s="90"/>
      <c r="Q339" s="52">
        <f t="shared" si="203"/>
        <v>0</v>
      </c>
      <c r="R339" s="52">
        <f t="shared" si="204"/>
        <v>0</v>
      </c>
      <c r="S339" s="53">
        <f t="shared" si="205"/>
        <v>0</v>
      </c>
      <c r="T339" s="54">
        <f t="shared" si="206"/>
        <v>0</v>
      </c>
      <c r="U339" s="115">
        <f>SUM(Tableau1[[#This Row],[Vente confiserie]:[Vente boisson]])</f>
        <v>0</v>
      </c>
      <c r="V339" s="95"/>
      <c r="W339" s="95"/>
      <c r="X339" s="136">
        <f>SUM(Tableau1[[#This Row],[Vente lunette]:[Location lunette]])</f>
        <v>0</v>
      </c>
      <c r="Y339" s="95"/>
      <c r="Z339" s="95"/>
      <c r="AA339" s="95"/>
      <c r="AB339" s="95"/>
      <c r="AC339" s="56">
        <f t="shared" si="196"/>
        <v>0</v>
      </c>
      <c r="AD339" s="57"/>
      <c r="AE339" s="57"/>
      <c r="AF339" s="57"/>
      <c r="AG339" s="57"/>
      <c r="AH339" s="57"/>
      <c r="AI339" s="57"/>
      <c r="AJ339" s="118">
        <f>(Tableau1[[#This Row],[Recette guichet ]]*1.1275177)-Tableau1[[#This Row],[Recette guichet ]]</f>
        <v>0</v>
      </c>
      <c r="AK339" s="57"/>
      <c r="AL339" s="56">
        <f t="shared" si="197"/>
        <v>0</v>
      </c>
      <c r="AM339" s="58"/>
      <c r="AN339" s="58"/>
      <c r="AO339" s="58"/>
      <c r="AP339" s="115">
        <f t="shared" si="207"/>
        <v>0</v>
      </c>
      <c r="AQ339" s="69"/>
      <c r="AR339" s="69"/>
      <c r="AS339" s="69"/>
      <c r="AT339" s="69"/>
      <c r="AU339" s="59">
        <f t="shared" si="208"/>
        <v>0</v>
      </c>
      <c r="AV339" s="60">
        <f t="shared" si="209"/>
        <v>0</v>
      </c>
      <c r="AW339" s="58"/>
      <c r="AX339" s="58"/>
      <c r="AY339" s="58"/>
      <c r="AZ339" s="60">
        <f t="shared" si="199"/>
        <v>0</v>
      </c>
      <c r="BA339" s="58"/>
      <c r="BB339" s="58"/>
      <c r="BC339" s="58"/>
      <c r="BD339" s="60">
        <f>SUM(Tableau1[[#This Row],[ticket/carte/abonnement périmé]:[Autres ou non précisé 5]])</f>
        <v>0</v>
      </c>
      <c r="BE339" s="58"/>
      <c r="BF339" s="58"/>
      <c r="BG339" s="58"/>
      <c r="BH339" s="61">
        <f t="shared" si="210"/>
        <v>0</v>
      </c>
      <c r="BI339" s="120"/>
      <c r="BJ339" s="120"/>
      <c r="BK339" s="62">
        <f t="shared" si="211"/>
        <v>0</v>
      </c>
      <c r="BL339" s="120"/>
      <c r="BM339" s="120"/>
      <c r="BN339" s="120"/>
      <c r="BO339" s="120"/>
      <c r="BP339" s="120"/>
      <c r="BQ339" s="63"/>
      <c r="BR339" s="52">
        <f t="shared" si="212"/>
        <v>0</v>
      </c>
      <c r="BS339" s="52">
        <f t="shared" si="213"/>
        <v>0</v>
      </c>
      <c r="BT339" s="61">
        <f t="shared" si="214"/>
        <v>0</v>
      </c>
      <c r="BU339" s="64">
        <f t="shared" si="215"/>
        <v>0</v>
      </c>
      <c r="BV339" s="119">
        <f>SUM(Tableau1[[#This Row],[Achats confiserie]:[Achats boisson]])</f>
        <v>0</v>
      </c>
      <c r="BW339" s="58"/>
      <c r="BX339" s="69"/>
      <c r="BY339" s="58"/>
      <c r="BZ339" s="56">
        <f t="shared" si="216"/>
        <v>0</v>
      </c>
      <c r="CA339" s="66"/>
      <c r="CB339" s="66"/>
      <c r="CC339" s="56">
        <f t="shared" si="217"/>
        <v>0</v>
      </c>
      <c r="CD339" s="55"/>
      <c r="CE339" s="65"/>
      <c r="CF339" s="55"/>
      <c r="CG339" s="55"/>
      <c r="CH339" s="67">
        <f t="shared" si="218"/>
        <v>0</v>
      </c>
      <c r="CI339" s="68">
        <f t="shared" ref="CI339:CI402" si="234">SUM(CJ339:CN339)</f>
        <v>0</v>
      </c>
      <c r="CJ339" s="55"/>
      <c r="CK339" s="55"/>
      <c r="CL339" s="55"/>
      <c r="CM339" s="55"/>
      <c r="CN339" s="55"/>
      <c r="CO339" s="68">
        <f t="shared" si="219"/>
        <v>0</v>
      </c>
      <c r="CP339" s="75">
        <f>SUM(Tableau1[[#This Row],[Fourniture eau]:[Energie (non précisé)]])</f>
        <v>0</v>
      </c>
      <c r="CQ339" s="55"/>
      <c r="CR339" s="55"/>
      <c r="CS339" s="55"/>
      <c r="CT339" s="55"/>
      <c r="CU339" s="55"/>
      <c r="CV339" s="55">
        <v>0</v>
      </c>
      <c r="CW339" s="55"/>
      <c r="CX339" s="68">
        <f>SUM(Tableau1[[#This Row],[Sous-traitance]:[Autres ou non précisé 12]])</f>
        <v>0</v>
      </c>
      <c r="CY339" s="65"/>
      <c r="CZ339" s="65"/>
      <c r="DA339" s="65"/>
      <c r="DB339" s="65"/>
      <c r="DC339" s="55"/>
      <c r="DD339" s="68">
        <f t="shared" si="200"/>
        <v>0</v>
      </c>
      <c r="DE339" s="55"/>
      <c r="DF339" s="65"/>
      <c r="DG339" s="65"/>
      <c r="DH339" s="65"/>
      <c r="DI339" s="68">
        <f>SUM(Tableau1[[#This Row],[Entretien et réparation matériel de projection]:[Autres ou non précisé 14]])</f>
        <v>0</v>
      </c>
      <c r="DJ339" s="58"/>
      <c r="DK339" s="58"/>
      <c r="DL339" s="69"/>
      <c r="DM339" s="68">
        <f t="shared" si="220"/>
        <v>0</v>
      </c>
      <c r="DN339" s="58"/>
      <c r="DO339" s="58"/>
      <c r="DP339" s="68">
        <f t="shared" si="221"/>
        <v>0</v>
      </c>
      <c r="DQ339" s="65"/>
      <c r="DR339" s="65"/>
      <c r="DS339" s="68">
        <f t="shared" si="222"/>
        <v>0</v>
      </c>
      <c r="DT339" s="65"/>
      <c r="DU339" s="65"/>
      <c r="DV339" s="65"/>
      <c r="DW339" s="68">
        <f>SUM(Tableau1[[#This Row],[Comission et courtage sur achats]:[Autres ou honoraires
 non précisé ]])</f>
        <v>0</v>
      </c>
      <c r="DX339" s="57"/>
      <c r="DY339" s="57"/>
      <c r="DZ339" s="65"/>
      <c r="EA339" s="65"/>
      <c r="EB339" s="65"/>
      <c r="EC339" s="68">
        <f t="shared" si="223"/>
        <v>0</v>
      </c>
      <c r="ED339" s="69"/>
      <c r="EE339" s="69"/>
      <c r="EF339" s="69"/>
      <c r="EG339" s="69"/>
      <c r="EH339" s="69"/>
      <c r="EI339" s="84">
        <f>SUM(Tableau1[[#This Row],[Transports sur films]:[autres ]])</f>
        <v>0</v>
      </c>
      <c r="EJ339" s="132">
        <v>0</v>
      </c>
      <c r="EK339" s="132"/>
      <c r="EL339" s="68">
        <f t="shared" si="224"/>
        <v>0</v>
      </c>
      <c r="EM339" s="65"/>
      <c r="EN339" s="65">
        <v>0</v>
      </c>
      <c r="EO339" s="65"/>
      <c r="EP339" s="65"/>
      <c r="EQ339" s="65"/>
      <c r="ER339" s="65"/>
      <c r="ES339" s="65"/>
      <c r="ET339" s="68">
        <f t="shared" si="225"/>
        <v>0</v>
      </c>
      <c r="EU339" s="65"/>
      <c r="EV339" s="65"/>
      <c r="EW339" s="65"/>
      <c r="EX339" s="65"/>
      <c r="EY339" s="65"/>
      <c r="EZ339" s="68">
        <f t="shared" si="202"/>
        <v>0</v>
      </c>
      <c r="FA339" s="65"/>
      <c r="FB339" s="65"/>
      <c r="FC339" s="70">
        <f t="shared" si="201"/>
        <v>0</v>
      </c>
      <c r="FD339" s="65"/>
      <c r="FE339" s="71">
        <f t="shared" si="226"/>
        <v>0</v>
      </c>
      <c r="FF339" s="72">
        <f t="shared" si="227"/>
        <v>0</v>
      </c>
      <c r="FG339" s="65"/>
      <c r="FH339" s="65"/>
      <c r="FI339" s="65"/>
      <c r="FJ339" s="56">
        <f t="shared" si="228"/>
        <v>0</v>
      </c>
      <c r="FK339" s="65"/>
      <c r="FL339" s="65"/>
      <c r="FM339" s="65"/>
      <c r="FN339" s="65"/>
      <c r="FO339" s="67">
        <f t="shared" si="229"/>
        <v>0</v>
      </c>
      <c r="FP339" s="57"/>
      <c r="FQ339" s="73"/>
      <c r="FR339" s="73"/>
      <c r="FS339" s="71">
        <f t="shared" si="230"/>
        <v>0</v>
      </c>
      <c r="FT339" s="91"/>
      <c r="FU339" s="91"/>
      <c r="FV339" s="67">
        <f>SUM(Tableau1[[#This Row],[Droits d''auteurs SACEM + cotisations SACEM]:[Autres ou non préciés]])</f>
        <v>0</v>
      </c>
      <c r="FW339" s="75">
        <f t="shared" si="231"/>
        <v>0</v>
      </c>
      <c r="FX339" s="74">
        <v>0</v>
      </c>
      <c r="FY339" s="74"/>
      <c r="FZ339" s="74"/>
      <c r="GA339" s="74"/>
      <c r="GB339" s="71">
        <f t="shared" si="232"/>
        <v>0</v>
      </c>
      <c r="GC339" s="92"/>
      <c r="GD339" s="92"/>
      <c r="GE339" s="67">
        <f t="shared" si="233"/>
        <v>0</v>
      </c>
      <c r="GF339" s="66"/>
      <c r="GG339" s="66"/>
      <c r="GH339" s="66"/>
      <c r="GI339" s="66"/>
      <c r="GJ339" s="77"/>
    </row>
    <row r="340" spans="1:192" ht="18.600000000000001" customHeight="1" x14ac:dyDescent="0.25">
      <c r="A340" s="89"/>
      <c r="B340" s="17"/>
      <c r="C340" s="50"/>
      <c r="D340" s="140"/>
      <c r="E340" s="51"/>
      <c r="F340" s="139">
        <f t="shared" si="198"/>
        <v>1</v>
      </c>
      <c r="G340" s="49"/>
      <c r="H340" s="50"/>
      <c r="I340" s="122"/>
      <c r="J340" s="49"/>
      <c r="K340" s="50"/>
      <c r="L340" s="50"/>
      <c r="M340" s="90"/>
      <c r="N340" s="50"/>
      <c r="O340" s="50"/>
      <c r="P340" s="90"/>
      <c r="Q340" s="52">
        <f t="shared" si="203"/>
        <v>0</v>
      </c>
      <c r="R340" s="52">
        <f t="shared" si="204"/>
        <v>0</v>
      </c>
      <c r="S340" s="53">
        <f t="shared" si="205"/>
        <v>0</v>
      </c>
      <c r="T340" s="54">
        <f t="shared" si="206"/>
        <v>0</v>
      </c>
      <c r="U340" s="115">
        <f>SUM(Tableau1[[#This Row],[Vente confiserie]:[Vente boisson]])</f>
        <v>0</v>
      </c>
      <c r="V340" s="95"/>
      <c r="W340" s="95"/>
      <c r="X340" s="136">
        <f>SUM(Tableau1[[#This Row],[Vente lunette]:[Location lunette]])</f>
        <v>0</v>
      </c>
      <c r="Y340" s="95"/>
      <c r="Z340" s="95"/>
      <c r="AA340" s="95"/>
      <c r="AB340" s="95"/>
      <c r="AC340" s="56">
        <f t="shared" si="196"/>
        <v>0</v>
      </c>
      <c r="AD340" s="57"/>
      <c r="AE340" s="57"/>
      <c r="AF340" s="57"/>
      <c r="AG340" s="57"/>
      <c r="AH340" s="57"/>
      <c r="AI340" s="57"/>
      <c r="AJ340" s="118">
        <f>(Tableau1[[#This Row],[Recette guichet ]]*1.1275177)-Tableau1[[#This Row],[Recette guichet ]]</f>
        <v>0</v>
      </c>
      <c r="AK340" s="57"/>
      <c r="AL340" s="56">
        <f t="shared" si="197"/>
        <v>0</v>
      </c>
      <c r="AM340" s="58"/>
      <c r="AN340" s="58"/>
      <c r="AO340" s="58"/>
      <c r="AP340" s="115">
        <f t="shared" si="207"/>
        <v>0</v>
      </c>
      <c r="AQ340" s="69"/>
      <c r="AR340" s="69"/>
      <c r="AS340" s="69"/>
      <c r="AT340" s="69"/>
      <c r="AU340" s="59">
        <f t="shared" si="208"/>
        <v>0</v>
      </c>
      <c r="AV340" s="60">
        <f t="shared" si="209"/>
        <v>0</v>
      </c>
      <c r="AW340" s="58"/>
      <c r="AX340" s="58"/>
      <c r="AY340" s="58"/>
      <c r="AZ340" s="60">
        <f t="shared" si="199"/>
        <v>0</v>
      </c>
      <c r="BA340" s="58"/>
      <c r="BB340" s="58"/>
      <c r="BC340" s="58"/>
      <c r="BD340" s="60">
        <f>SUM(Tableau1[[#This Row],[ticket/carte/abonnement périmé]:[Autres ou non précisé 5]])</f>
        <v>0</v>
      </c>
      <c r="BE340" s="58"/>
      <c r="BF340" s="58"/>
      <c r="BG340" s="58"/>
      <c r="BH340" s="61">
        <f t="shared" si="210"/>
        <v>0</v>
      </c>
      <c r="BI340" s="120"/>
      <c r="BJ340" s="120"/>
      <c r="BK340" s="62">
        <f t="shared" si="211"/>
        <v>0</v>
      </c>
      <c r="BL340" s="120"/>
      <c r="BM340" s="120"/>
      <c r="BN340" s="120"/>
      <c r="BO340" s="120"/>
      <c r="BP340" s="120"/>
      <c r="BQ340" s="63"/>
      <c r="BR340" s="52">
        <f t="shared" si="212"/>
        <v>0</v>
      </c>
      <c r="BS340" s="52">
        <f t="shared" si="213"/>
        <v>0</v>
      </c>
      <c r="BT340" s="61">
        <f t="shared" si="214"/>
        <v>0</v>
      </c>
      <c r="BU340" s="64">
        <f t="shared" si="215"/>
        <v>0</v>
      </c>
      <c r="BV340" s="119">
        <f>SUM(Tableau1[[#This Row],[Achats confiserie]:[Achats boisson]])</f>
        <v>0</v>
      </c>
      <c r="BW340" s="58"/>
      <c r="BX340" s="69"/>
      <c r="BY340" s="58"/>
      <c r="BZ340" s="56">
        <f t="shared" si="216"/>
        <v>0</v>
      </c>
      <c r="CA340" s="66"/>
      <c r="CB340" s="66"/>
      <c r="CC340" s="56">
        <f t="shared" si="217"/>
        <v>0</v>
      </c>
      <c r="CD340" s="55"/>
      <c r="CE340" s="65"/>
      <c r="CF340" s="55"/>
      <c r="CG340" s="55"/>
      <c r="CH340" s="67">
        <f t="shared" si="218"/>
        <v>0</v>
      </c>
      <c r="CI340" s="68">
        <f t="shared" si="234"/>
        <v>0</v>
      </c>
      <c r="CJ340" s="55"/>
      <c r="CK340" s="55"/>
      <c r="CL340" s="55"/>
      <c r="CM340" s="55"/>
      <c r="CN340" s="55"/>
      <c r="CO340" s="68">
        <f t="shared" si="219"/>
        <v>0</v>
      </c>
      <c r="CP340" s="75">
        <f>SUM(Tableau1[[#This Row],[Fourniture eau]:[Energie (non précisé)]])</f>
        <v>0</v>
      </c>
      <c r="CQ340" s="55"/>
      <c r="CR340" s="55"/>
      <c r="CS340" s="55"/>
      <c r="CT340" s="55"/>
      <c r="CU340" s="55"/>
      <c r="CV340" s="55">
        <v>0</v>
      </c>
      <c r="CW340" s="55"/>
      <c r="CX340" s="68">
        <f>SUM(Tableau1[[#This Row],[Sous-traitance]:[Autres ou non précisé 12]])</f>
        <v>0</v>
      </c>
      <c r="CY340" s="65"/>
      <c r="CZ340" s="65"/>
      <c r="DA340" s="65"/>
      <c r="DB340" s="65"/>
      <c r="DC340" s="55"/>
      <c r="DD340" s="68">
        <f t="shared" si="200"/>
        <v>0</v>
      </c>
      <c r="DE340" s="55"/>
      <c r="DF340" s="65"/>
      <c r="DG340" s="65"/>
      <c r="DH340" s="65"/>
      <c r="DI340" s="68">
        <f>SUM(Tableau1[[#This Row],[Entretien et réparation matériel de projection]:[Autres ou non précisé 14]])</f>
        <v>0</v>
      </c>
      <c r="DJ340" s="58"/>
      <c r="DK340" s="58"/>
      <c r="DL340" s="69"/>
      <c r="DM340" s="68">
        <f t="shared" si="220"/>
        <v>0</v>
      </c>
      <c r="DN340" s="58"/>
      <c r="DO340" s="58"/>
      <c r="DP340" s="68">
        <f t="shared" si="221"/>
        <v>0</v>
      </c>
      <c r="DQ340" s="65"/>
      <c r="DR340" s="65"/>
      <c r="DS340" s="68">
        <f t="shared" si="222"/>
        <v>0</v>
      </c>
      <c r="DT340" s="65"/>
      <c r="DU340" s="65"/>
      <c r="DV340" s="65"/>
      <c r="DW340" s="68">
        <f>SUM(Tableau1[[#This Row],[Comission et courtage sur achats]:[Autres ou honoraires
 non précisé ]])</f>
        <v>0</v>
      </c>
      <c r="DX340" s="57"/>
      <c r="DY340" s="57"/>
      <c r="DZ340" s="65"/>
      <c r="EA340" s="65"/>
      <c r="EB340" s="65"/>
      <c r="EC340" s="68">
        <f t="shared" si="223"/>
        <v>0</v>
      </c>
      <c r="ED340" s="69"/>
      <c r="EE340" s="69"/>
      <c r="EF340" s="69"/>
      <c r="EG340" s="69"/>
      <c r="EH340" s="69"/>
      <c r="EI340" s="84">
        <f>SUM(Tableau1[[#This Row],[Transports sur films]:[autres ]])</f>
        <v>0</v>
      </c>
      <c r="EJ340" s="132">
        <v>0</v>
      </c>
      <c r="EK340" s="132"/>
      <c r="EL340" s="68">
        <f t="shared" si="224"/>
        <v>0</v>
      </c>
      <c r="EM340" s="65"/>
      <c r="EN340" s="65">
        <v>0</v>
      </c>
      <c r="EO340" s="65"/>
      <c r="EP340" s="65"/>
      <c r="EQ340" s="65"/>
      <c r="ER340" s="65"/>
      <c r="ES340" s="65"/>
      <c r="ET340" s="68">
        <f t="shared" si="225"/>
        <v>0</v>
      </c>
      <c r="EU340" s="65"/>
      <c r="EV340" s="65"/>
      <c r="EW340" s="65"/>
      <c r="EX340" s="65"/>
      <c r="EY340" s="65"/>
      <c r="EZ340" s="68">
        <f t="shared" si="202"/>
        <v>0</v>
      </c>
      <c r="FA340" s="65"/>
      <c r="FB340" s="65"/>
      <c r="FC340" s="70">
        <f t="shared" si="201"/>
        <v>0</v>
      </c>
      <c r="FD340" s="65"/>
      <c r="FE340" s="71">
        <f t="shared" si="226"/>
        <v>0</v>
      </c>
      <c r="FF340" s="72">
        <f t="shared" si="227"/>
        <v>0</v>
      </c>
      <c r="FG340" s="65"/>
      <c r="FH340" s="65"/>
      <c r="FI340" s="65"/>
      <c r="FJ340" s="56">
        <f t="shared" si="228"/>
        <v>0</v>
      </c>
      <c r="FK340" s="65"/>
      <c r="FL340" s="65"/>
      <c r="FM340" s="65"/>
      <c r="FN340" s="65"/>
      <c r="FO340" s="67">
        <f t="shared" si="229"/>
        <v>0</v>
      </c>
      <c r="FP340" s="57"/>
      <c r="FQ340" s="73"/>
      <c r="FR340" s="73"/>
      <c r="FS340" s="71">
        <f t="shared" si="230"/>
        <v>0</v>
      </c>
      <c r="FT340" s="91"/>
      <c r="FU340" s="91"/>
      <c r="FV340" s="67">
        <f>SUM(Tableau1[[#This Row],[Droits d''auteurs SACEM + cotisations SACEM]:[Autres ou non préciés]])</f>
        <v>0</v>
      </c>
      <c r="FW340" s="75">
        <f t="shared" si="231"/>
        <v>0</v>
      </c>
      <c r="FX340" s="74">
        <v>0</v>
      </c>
      <c r="FY340" s="74"/>
      <c r="FZ340" s="74"/>
      <c r="GA340" s="74"/>
      <c r="GB340" s="71">
        <f t="shared" si="232"/>
        <v>0</v>
      </c>
      <c r="GC340" s="92"/>
      <c r="GD340" s="92"/>
      <c r="GE340" s="67">
        <f t="shared" si="233"/>
        <v>0</v>
      </c>
      <c r="GF340" s="66"/>
      <c r="GG340" s="66"/>
      <c r="GH340" s="66"/>
      <c r="GI340" s="66"/>
      <c r="GJ340" s="77"/>
    </row>
    <row r="341" spans="1:192" ht="18.600000000000001" customHeight="1" x14ac:dyDescent="0.25">
      <c r="A341" s="89"/>
      <c r="B341" s="17"/>
      <c r="C341" s="50"/>
      <c r="D341" s="140"/>
      <c r="E341" s="51"/>
      <c r="F341" s="139">
        <f t="shared" si="198"/>
        <v>1</v>
      </c>
      <c r="G341" s="49"/>
      <c r="H341" s="50"/>
      <c r="I341" s="122"/>
      <c r="J341" s="49"/>
      <c r="K341" s="50"/>
      <c r="L341" s="50"/>
      <c r="M341" s="90"/>
      <c r="N341" s="50"/>
      <c r="O341" s="50"/>
      <c r="P341" s="90"/>
      <c r="Q341" s="52">
        <f t="shared" si="203"/>
        <v>0</v>
      </c>
      <c r="R341" s="52">
        <f t="shared" si="204"/>
        <v>0</v>
      </c>
      <c r="S341" s="53">
        <f t="shared" si="205"/>
        <v>0</v>
      </c>
      <c r="T341" s="54">
        <f t="shared" si="206"/>
        <v>0</v>
      </c>
      <c r="U341" s="115">
        <f>SUM(Tableau1[[#This Row],[Vente confiserie]:[Vente boisson]])</f>
        <v>0</v>
      </c>
      <c r="V341" s="95"/>
      <c r="W341" s="95"/>
      <c r="X341" s="136">
        <f>SUM(Tableau1[[#This Row],[Vente lunette]:[Location lunette]])</f>
        <v>0</v>
      </c>
      <c r="Y341" s="95"/>
      <c r="Z341" s="95"/>
      <c r="AA341" s="95"/>
      <c r="AB341" s="95"/>
      <c r="AC341" s="56">
        <f t="shared" ref="AC341:AC404" si="235">SUM(AD341:AI341,AK341)</f>
        <v>0</v>
      </c>
      <c r="AD341" s="57"/>
      <c r="AE341" s="57"/>
      <c r="AF341" s="57"/>
      <c r="AG341" s="57"/>
      <c r="AH341" s="57"/>
      <c r="AI341" s="57"/>
      <c r="AJ341" s="118">
        <f>(Tableau1[[#This Row],[Recette guichet ]]*1.1275177)-Tableau1[[#This Row],[Recette guichet ]]</f>
        <v>0</v>
      </c>
      <c r="AK341" s="57"/>
      <c r="AL341" s="56">
        <f t="shared" si="197"/>
        <v>0</v>
      </c>
      <c r="AM341" s="58"/>
      <c r="AN341" s="58"/>
      <c r="AO341" s="58"/>
      <c r="AP341" s="115">
        <f t="shared" si="207"/>
        <v>0</v>
      </c>
      <c r="AQ341" s="69"/>
      <c r="AR341" s="69"/>
      <c r="AS341" s="69"/>
      <c r="AT341" s="69"/>
      <c r="AU341" s="59">
        <f t="shared" si="208"/>
        <v>0</v>
      </c>
      <c r="AV341" s="60">
        <f t="shared" si="209"/>
        <v>0</v>
      </c>
      <c r="AW341" s="58"/>
      <c r="AX341" s="58"/>
      <c r="AY341" s="58"/>
      <c r="AZ341" s="60">
        <f t="shared" si="199"/>
        <v>0</v>
      </c>
      <c r="BA341" s="58"/>
      <c r="BB341" s="58"/>
      <c r="BC341" s="58"/>
      <c r="BD341" s="60">
        <f>SUM(Tableau1[[#This Row],[ticket/carte/abonnement périmé]:[Autres ou non précisé 5]])</f>
        <v>0</v>
      </c>
      <c r="BE341" s="58"/>
      <c r="BF341" s="58"/>
      <c r="BG341" s="58"/>
      <c r="BH341" s="61">
        <f t="shared" si="210"/>
        <v>0</v>
      </c>
      <c r="BI341" s="120"/>
      <c r="BJ341" s="120"/>
      <c r="BK341" s="62">
        <f t="shared" si="211"/>
        <v>0</v>
      </c>
      <c r="BL341" s="120"/>
      <c r="BM341" s="120"/>
      <c r="BN341" s="120"/>
      <c r="BO341" s="120"/>
      <c r="BP341" s="120"/>
      <c r="BQ341" s="63"/>
      <c r="BR341" s="52">
        <f t="shared" si="212"/>
        <v>0</v>
      </c>
      <c r="BS341" s="52">
        <f t="shared" si="213"/>
        <v>0</v>
      </c>
      <c r="BT341" s="61">
        <f t="shared" si="214"/>
        <v>0</v>
      </c>
      <c r="BU341" s="64">
        <f t="shared" si="215"/>
        <v>0</v>
      </c>
      <c r="BV341" s="119">
        <f>SUM(Tableau1[[#This Row],[Achats confiserie]:[Achats boisson]])</f>
        <v>0</v>
      </c>
      <c r="BW341" s="58"/>
      <c r="BX341" s="69"/>
      <c r="BY341" s="58"/>
      <c r="BZ341" s="56">
        <f t="shared" si="216"/>
        <v>0</v>
      </c>
      <c r="CA341" s="66"/>
      <c r="CB341" s="66"/>
      <c r="CC341" s="56">
        <f t="shared" si="217"/>
        <v>0</v>
      </c>
      <c r="CD341" s="55"/>
      <c r="CE341" s="65"/>
      <c r="CF341" s="55"/>
      <c r="CG341" s="55"/>
      <c r="CH341" s="67">
        <f t="shared" si="218"/>
        <v>0</v>
      </c>
      <c r="CI341" s="68">
        <f t="shared" si="234"/>
        <v>0</v>
      </c>
      <c r="CJ341" s="55"/>
      <c r="CK341" s="55"/>
      <c r="CL341" s="55"/>
      <c r="CM341" s="55"/>
      <c r="CN341" s="55"/>
      <c r="CO341" s="68">
        <f t="shared" si="219"/>
        <v>0</v>
      </c>
      <c r="CP341" s="75">
        <f>SUM(Tableau1[[#This Row],[Fourniture eau]:[Energie (non précisé)]])</f>
        <v>0</v>
      </c>
      <c r="CQ341" s="55"/>
      <c r="CR341" s="55"/>
      <c r="CS341" s="55"/>
      <c r="CT341" s="55"/>
      <c r="CU341" s="55"/>
      <c r="CV341" s="55">
        <v>0</v>
      </c>
      <c r="CW341" s="55"/>
      <c r="CX341" s="68">
        <f>SUM(Tableau1[[#This Row],[Sous-traitance]:[Autres ou non précisé 12]])</f>
        <v>0</v>
      </c>
      <c r="CY341" s="65"/>
      <c r="CZ341" s="65"/>
      <c r="DA341" s="65"/>
      <c r="DB341" s="65"/>
      <c r="DC341" s="55"/>
      <c r="DD341" s="68">
        <f t="shared" si="200"/>
        <v>0</v>
      </c>
      <c r="DE341" s="55"/>
      <c r="DF341" s="65"/>
      <c r="DG341" s="65"/>
      <c r="DH341" s="65"/>
      <c r="DI341" s="68">
        <f>SUM(Tableau1[[#This Row],[Entretien et réparation matériel de projection]:[Autres ou non précisé 14]])</f>
        <v>0</v>
      </c>
      <c r="DJ341" s="58"/>
      <c r="DK341" s="58"/>
      <c r="DL341" s="69"/>
      <c r="DM341" s="68">
        <f t="shared" si="220"/>
        <v>0</v>
      </c>
      <c r="DN341" s="58"/>
      <c r="DO341" s="58"/>
      <c r="DP341" s="68">
        <f t="shared" si="221"/>
        <v>0</v>
      </c>
      <c r="DQ341" s="65"/>
      <c r="DR341" s="65"/>
      <c r="DS341" s="68">
        <f t="shared" si="222"/>
        <v>0</v>
      </c>
      <c r="DT341" s="65"/>
      <c r="DU341" s="65"/>
      <c r="DV341" s="65"/>
      <c r="DW341" s="68">
        <f>SUM(Tableau1[[#This Row],[Comission et courtage sur achats]:[Autres ou honoraires
 non précisé ]])</f>
        <v>0</v>
      </c>
      <c r="DX341" s="57"/>
      <c r="DY341" s="57"/>
      <c r="DZ341" s="65"/>
      <c r="EA341" s="65"/>
      <c r="EB341" s="65"/>
      <c r="EC341" s="68">
        <f t="shared" si="223"/>
        <v>0</v>
      </c>
      <c r="ED341" s="69"/>
      <c r="EE341" s="69"/>
      <c r="EF341" s="69"/>
      <c r="EG341" s="69"/>
      <c r="EH341" s="69"/>
      <c r="EI341" s="84">
        <f>SUM(Tableau1[[#This Row],[Transports sur films]:[autres ]])</f>
        <v>0</v>
      </c>
      <c r="EJ341" s="132">
        <v>0</v>
      </c>
      <c r="EK341" s="132"/>
      <c r="EL341" s="68">
        <f t="shared" si="224"/>
        <v>0</v>
      </c>
      <c r="EM341" s="65"/>
      <c r="EN341" s="65">
        <v>0</v>
      </c>
      <c r="EO341" s="65"/>
      <c r="EP341" s="65"/>
      <c r="EQ341" s="65"/>
      <c r="ER341" s="65"/>
      <c r="ES341" s="65"/>
      <c r="ET341" s="68">
        <f t="shared" si="225"/>
        <v>0</v>
      </c>
      <c r="EU341" s="65"/>
      <c r="EV341" s="65"/>
      <c r="EW341" s="65"/>
      <c r="EX341" s="65"/>
      <c r="EY341" s="65"/>
      <c r="EZ341" s="68">
        <f t="shared" si="202"/>
        <v>0</v>
      </c>
      <c r="FA341" s="65"/>
      <c r="FB341" s="65"/>
      <c r="FC341" s="70">
        <f t="shared" si="201"/>
        <v>0</v>
      </c>
      <c r="FD341" s="65"/>
      <c r="FE341" s="71">
        <f t="shared" si="226"/>
        <v>0</v>
      </c>
      <c r="FF341" s="72">
        <f t="shared" si="227"/>
        <v>0</v>
      </c>
      <c r="FG341" s="65"/>
      <c r="FH341" s="65"/>
      <c r="FI341" s="65"/>
      <c r="FJ341" s="56">
        <f t="shared" si="228"/>
        <v>0</v>
      </c>
      <c r="FK341" s="65"/>
      <c r="FL341" s="65"/>
      <c r="FM341" s="65"/>
      <c r="FN341" s="65"/>
      <c r="FO341" s="67">
        <f t="shared" si="229"/>
        <v>0</v>
      </c>
      <c r="FP341" s="57"/>
      <c r="FQ341" s="73"/>
      <c r="FR341" s="73"/>
      <c r="FS341" s="71">
        <f t="shared" si="230"/>
        <v>0</v>
      </c>
      <c r="FT341" s="91"/>
      <c r="FU341" s="91"/>
      <c r="FV341" s="67">
        <f>SUM(Tableau1[[#This Row],[Droits d''auteurs SACEM + cotisations SACEM]:[Autres ou non préciés]])</f>
        <v>0</v>
      </c>
      <c r="FW341" s="75">
        <f t="shared" si="231"/>
        <v>0</v>
      </c>
      <c r="FX341" s="74">
        <v>0</v>
      </c>
      <c r="FY341" s="74"/>
      <c r="FZ341" s="74"/>
      <c r="GA341" s="74"/>
      <c r="GB341" s="71">
        <f t="shared" si="232"/>
        <v>0</v>
      </c>
      <c r="GC341" s="92"/>
      <c r="GD341" s="92"/>
      <c r="GE341" s="67">
        <f t="shared" si="233"/>
        <v>0</v>
      </c>
      <c r="GF341" s="66"/>
      <c r="GG341" s="66"/>
      <c r="GH341" s="66"/>
      <c r="GI341" s="66"/>
      <c r="GJ341" s="77"/>
    </row>
    <row r="342" spans="1:192" ht="18.600000000000001" customHeight="1" x14ac:dyDescent="0.25">
      <c r="A342" s="89"/>
      <c r="B342" s="17"/>
      <c r="C342" s="50"/>
      <c r="D342" s="140"/>
      <c r="E342" s="51"/>
      <c r="F342" s="139">
        <f t="shared" si="198"/>
        <v>1</v>
      </c>
      <c r="G342" s="49"/>
      <c r="H342" s="50"/>
      <c r="I342" s="122"/>
      <c r="J342" s="49"/>
      <c r="K342" s="50"/>
      <c r="L342" s="50"/>
      <c r="M342" s="90"/>
      <c r="N342" s="50"/>
      <c r="O342" s="50"/>
      <c r="P342" s="90"/>
      <c r="Q342" s="52">
        <f t="shared" si="203"/>
        <v>0</v>
      </c>
      <c r="R342" s="52">
        <f t="shared" si="204"/>
        <v>0</v>
      </c>
      <c r="S342" s="53">
        <f t="shared" si="205"/>
        <v>0</v>
      </c>
      <c r="T342" s="54">
        <f t="shared" si="206"/>
        <v>0</v>
      </c>
      <c r="U342" s="115">
        <f>SUM(Tableau1[[#This Row],[Vente confiserie]:[Vente boisson]])</f>
        <v>0</v>
      </c>
      <c r="V342" s="95"/>
      <c r="W342" s="95"/>
      <c r="X342" s="136">
        <f>SUM(Tableau1[[#This Row],[Vente lunette]:[Location lunette]])</f>
        <v>0</v>
      </c>
      <c r="Y342" s="95"/>
      <c r="Z342" s="95"/>
      <c r="AA342" s="95"/>
      <c r="AB342" s="95"/>
      <c r="AC342" s="56">
        <f t="shared" si="235"/>
        <v>0</v>
      </c>
      <c r="AD342" s="57"/>
      <c r="AE342" s="57"/>
      <c r="AF342" s="57"/>
      <c r="AG342" s="57"/>
      <c r="AH342" s="57"/>
      <c r="AI342" s="57"/>
      <c r="AJ342" s="118">
        <f>(Tableau1[[#This Row],[Recette guichet ]]*1.1275177)-Tableau1[[#This Row],[Recette guichet ]]</f>
        <v>0</v>
      </c>
      <c r="AK342" s="57"/>
      <c r="AL342" s="56">
        <f t="shared" si="197"/>
        <v>0</v>
      </c>
      <c r="AM342" s="58"/>
      <c r="AN342" s="58"/>
      <c r="AO342" s="58"/>
      <c r="AP342" s="115">
        <f t="shared" si="207"/>
        <v>0</v>
      </c>
      <c r="AQ342" s="69"/>
      <c r="AR342" s="69"/>
      <c r="AS342" s="69"/>
      <c r="AT342" s="69"/>
      <c r="AU342" s="59">
        <f t="shared" si="208"/>
        <v>0</v>
      </c>
      <c r="AV342" s="60">
        <f t="shared" si="209"/>
        <v>0</v>
      </c>
      <c r="AW342" s="58"/>
      <c r="AX342" s="58"/>
      <c r="AY342" s="58"/>
      <c r="AZ342" s="60">
        <f t="shared" si="199"/>
        <v>0</v>
      </c>
      <c r="BA342" s="58"/>
      <c r="BB342" s="58"/>
      <c r="BC342" s="58"/>
      <c r="BD342" s="60">
        <f>SUM(Tableau1[[#This Row],[ticket/carte/abonnement périmé]:[Autres ou non précisé 5]])</f>
        <v>0</v>
      </c>
      <c r="BE342" s="58"/>
      <c r="BF342" s="58"/>
      <c r="BG342" s="58"/>
      <c r="BH342" s="61">
        <f t="shared" si="210"/>
        <v>0</v>
      </c>
      <c r="BI342" s="120"/>
      <c r="BJ342" s="120"/>
      <c r="BK342" s="62">
        <f t="shared" si="211"/>
        <v>0</v>
      </c>
      <c r="BL342" s="120"/>
      <c r="BM342" s="120"/>
      <c r="BN342" s="120"/>
      <c r="BO342" s="120"/>
      <c r="BP342" s="120"/>
      <c r="BQ342" s="63"/>
      <c r="BR342" s="52">
        <f t="shared" si="212"/>
        <v>0</v>
      </c>
      <c r="BS342" s="52">
        <f t="shared" si="213"/>
        <v>0</v>
      </c>
      <c r="BT342" s="61">
        <f t="shared" si="214"/>
        <v>0</v>
      </c>
      <c r="BU342" s="64">
        <f t="shared" si="215"/>
        <v>0</v>
      </c>
      <c r="BV342" s="119">
        <f>SUM(Tableau1[[#This Row],[Achats confiserie]:[Achats boisson]])</f>
        <v>0</v>
      </c>
      <c r="BW342" s="58"/>
      <c r="BX342" s="69"/>
      <c r="BY342" s="58"/>
      <c r="BZ342" s="56">
        <f t="shared" si="216"/>
        <v>0</v>
      </c>
      <c r="CA342" s="66"/>
      <c r="CB342" s="66"/>
      <c r="CC342" s="56">
        <f t="shared" si="217"/>
        <v>0</v>
      </c>
      <c r="CD342" s="55"/>
      <c r="CE342" s="65"/>
      <c r="CF342" s="55"/>
      <c r="CG342" s="55"/>
      <c r="CH342" s="67">
        <f t="shared" si="218"/>
        <v>0</v>
      </c>
      <c r="CI342" s="68">
        <f t="shared" si="234"/>
        <v>0</v>
      </c>
      <c r="CJ342" s="55"/>
      <c r="CK342" s="55"/>
      <c r="CL342" s="55"/>
      <c r="CM342" s="55"/>
      <c r="CN342" s="55"/>
      <c r="CO342" s="68">
        <f t="shared" si="219"/>
        <v>0</v>
      </c>
      <c r="CP342" s="75">
        <f>SUM(Tableau1[[#This Row],[Fourniture eau]:[Energie (non précisé)]])</f>
        <v>0</v>
      </c>
      <c r="CQ342" s="55"/>
      <c r="CR342" s="55"/>
      <c r="CS342" s="55"/>
      <c r="CT342" s="55"/>
      <c r="CU342" s="55"/>
      <c r="CV342" s="55">
        <v>0</v>
      </c>
      <c r="CW342" s="55"/>
      <c r="CX342" s="68">
        <f>SUM(Tableau1[[#This Row],[Sous-traitance]:[Autres ou non précisé 12]])</f>
        <v>0</v>
      </c>
      <c r="CY342" s="65"/>
      <c r="CZ342" s="65"/>
      <c r="DA342" s="65"/>
      <c r="DB342" s="65"/>
      <c r="DC342" s="55"/>
      <c r="DD342" s="68">
        <f t="shared" si="200"/>
        <v>0</v>
      </c>
      <c r="DE342" s="55"/>
      <c r="DF342" s="65"/>
      <c r="DG342" s="65"/>
      <c r="DH342" s="65"/>
      <c r="DI342" s="68">
        <f>SUM(Tableau1[[#This Row],[Entretien et réparation matériel de projection]:[Autres ou non précisé 14]])</f>
        <v>0</v>
      </c>
      <c r="DJ342" s="58"/>
      <c r="DK342" s="58"/>
      <c r="DL342" s="69"/>
      <c r="DM342" s="68">
        <f t="shared" si="220"/>
        <v>0</v>
      </c>
      <c r="DN342" s="58"/>
      <c r="DO342" s="58"/>
      <c r="DP342" s="68">
        <f t="shared" si="221"/>
        <v>0</v>
      </c>
      <c r="DQ342" s="65"/>
      <c r="DR342" s="65"/>
      <c r="DS342" s="68">
        <f t="shared" si="222"/>
        <v>0</v>
      </c>
      <c r="DT342" s="65"/>
      <c r="DU342" s="65"/>
      <c r="DV342" s="65"/>
      <c r="DW342" s="68">
        <f>SUM(Tableau1[[#This Row],[Comission et courtage sur achats]:[Autres ou honoraires
 non précisé ]])</f>
        <v>0</v>
      </c>
      <c r="DX342" s="57"/>
      <c r="DY342" s="57"/>
      <c r="DZ342" s="65"/>
      <c r="EA342" s="65"/>
      <c r="EB342" s="65"/>
      <c r="EC342" s="68">
        <f t="shared" si="223"/>
        <v>0</v>
      </c>
      <c r="ED342" s="69"/>
      <c r="EE342" s="69"/>
      <c r="EF342" s="69"/>
      <c r="EG342" s="69"/>
      <c r="EH342" s="69"/>
      <c r="EI342" s="84">
        <f>SUM(Tableau1[[#This Row],[Transports sur films]:[autres ]])</f>
        <v>0</v>
      </c>
      <c r="EJ342" s="132">
        <v>0</v>
      </c>
      <c r="EK342" s="132"/>
      <c r="EL342" s="68">
        <f t="shared" si="224"/>
        <v>0</v>
      </c>
      <c r="EM342" s="65"/>
      <c r="EN342" s="65">
        <v>0</v>
      </c>
      <c r="EO342" s="65"/>
      <c r="EP342" s="65"/>
      <c r="EQ342" s="65"/>
      <c r="ER342" s="65"/>
      <c r="ES342" s="65"/>
      <c r="ET342" s="68">
        <f t="shared" si="225"/>
        <v>0</v>
      </c>
      <c r="EU342" s="65"/>
      <c r="EV342" s="65"/>
      <c r="EW342" s="65"/>
      <c r="EX342" s="65"/>
      <c r="EY342" s="65"/>
      <c r="EZ342" s="68">
        <f t="shared" si="202"/>
        <v>0</v>
      </c>
      <c r="FA342" s="65"/>
      <c r="FB342" s="65"/>
      <c r="FC342" s="70">
        <f t="shared" si="201"/>
        <v>0</v>
      </c>
      <c r="FD342" s="65"/>
      <c r="FE342" s="71">
        <f t="shared" si="226"/>
        <v>0</v>
      </c>
      <c r="FF342" s="72">
        <f t="shared" si="227"/>
        <v>0</v>
      </c>
      <c r="FG342" s="65"/>
      <c r="FH342" s="65"/>
      <c r="FI342" s="65"/>
      <c r="FJ342" s="56">
        <f t="shared" si="228"/>
        <v>0</v>
      </c>
      <c r="FK342" s="65"/>
      <c r="FL342" s="65"/>
      <c r="FM342" s="65"/>
      <c r="FN342" s="65"/>
      <c r="FO342" s="67">
        <f t="shared" si="229"/>
        <v>0</v>
      </c>
      <c r="FP342" s="57"/>
      <c r="FQ342" s="73"/>
      <c r="FR342" s="73"/>
      <c r="FS342" s="71">
        <f t="shared" si="230"/>
        <v>0</v>
      </c>
      <c r="FT342" s="91"/>
      <c r="FU342" s="91"/>
      <c r="FV342" s="67">
        <f>SUM(Tableau1[[#This Row],[Droits d''auteurs SACEM + cotisations SACEM]:[Autres ou non préciés]])</f>
        <v>0</v>
      </c>
      <c r="FW342" s="75">
        <f t="shared" si="231"/>
        <v>0</v>
      </c>
      <c r="FX342" s="74">
        <v>0</v>
      </c>
      <c r="FY342" s="74"/>
      <c r="FZ342" s="74"/>
      <c r="GA342" s="74"/>
      <c r="GB342" s="71">
        <f t="shared" si="232"/>
        <v>0</v>
      </c>
      <c r="GC342" s="92"/>
      <c r="GD342" s="92"/>
      <c r="GE342" s="67">
        <f t="shared" si="233"/>
        <v>0</v>
      </c>
      <c r="GF342" s="66"/>
      <c r="GG342" s="66"/>
      <c r="GH342" s="66"/>
      <c r="GI342" s="66"/>
      <c r="GJ342" s="77"/>
    </row>
    <row r="343" spans="1:192" ht="18.600000000000001" customHeight="1" x14ac:dyDescent="0.25">
      <c r="A343" s="89"/>
      <c r="B343" s="17"/>
      <c r="C343" s="50"/>
      <c r="D343" s="140"/>
      <c r="E343" s="51"/>
      <c r="F343" s="139">
        <f t="shared" si="198"/>
        <v>1</v>
      </c>
      <c r="G343" s="49"/>
      <c r="H343" s="50"/>
      <c r="I343" s="122"/>
      <c r="J343" s="49"/>
      <c r="K343" s="50"/>
      <c r="L343" s="50"/>
      <c r="M343" s="90"/>
      <c r="N343" s="50"/>
      <c r="O343" s="50"/>
      <c r="P343" s="90"/>
      <c r="Q343" s="52">
        <f t="shared" si="203"/>
        <v>0</v>
      </c>
      <c r="R343" s="52">
        <f t="shared" si="204"/>
        <v>0</v>
      </c>
      <c r="S343" s="53">
        <f t="shared" si="205"/>
        <v>0</v>
      </c>
      <c r="T343" s="54">
        <f t="shared" si="206"/>
        <v>0</v>
      </c>
      <c r="U343" s="115">
        <f>SUM(Tableau1[[#This Row],[Vente confiserie]:[Vente boisson]])</f>
        <v>0</v>
      </c>
      <c r="V343" s="95"/>
      <c r="W343" s="95"/>
      <c r="X343" s="136">
        <f>SUM(Tableau1[[#This Row],[Vente lunette]:[Location lunette]])</f>
        <v>0</v>
      </c>
      <c r="Y343" s="95"/>
      <c r="Z343" s="95"/>
      <c r="AA343" s="95"/>
      <c r="AB343" s="95"/>
      <c r="AC343" s="56">
        <f t="shared" si="235"/>
        <v>0</v>
      </c>
      <c r="AD343" s="57"/>
      <c r="AE343" s="57"/>
      <c r="AF343" s="57"/>
      <c r="AG343" s="57"/>
      <c r="AH343" s="57"/>
      <c r="AI343" s="57"/>
      <c r="AJ343" s="118">
        <f>(Tableau1[[#This Row],[Recette guichet ]]*1.1275177)-Tableau1[[#This Row],[Recette guichet ]]</f>
        <v>0</v>
      </c>
      <c r="AK343" s="57"/>
      <c r="AL343" s="56">
        <f t="shared" ref="AL343:AL406" si="236">SUM(AM343:AO343,AQ343:AT343)</f>
        <v>0</v>
      </c>
      <c r="AM343" s="58"/>
      <c r="AN343" s="58"/>
      <c r="AO343" s="58"/>
      <c r="AP343" s="115">
        <f t="shared" si="207"/>
        <v>0</v>
      </c>
      <c r="AQ343" s="69"/>
      <c r="AR343" s="69"/>
      <c r="AS343" s="69"/>
      <c r="AT343" s="69"/>
      <c r="AU343" s="59">
        <f t="shared" si="208"/>
        <v>0</v>
      </c>
      <c r="AV343" s="60">
        <f t="shared" si="209"/>
        <v>0</v>
      </c>
      <c r="AW343" s="58"/>
      <c r="AX343" s="58"/>
      <c r="AY343" s="58"/>
      <c r="AZ343" s="60">
        <f t="shared" si="199"/>
        <v>0</v>
      </c>
      <c r="BA343" s="58"/>
      <c r="BB343" s="58"/>
      <c r="BC343" s="58"/>
      <c r="BD343" s="60">
        <f>SUM(Tableau1[[#This Row],[ticket/carte/abonnement périmé]:[Autres ou non précisé 5]])</f>
        <v>0</v>
      </c>
      <c r="BE343" s="58"/>
      <c r="BF343" s="58"/>
      <c r="BG343" s="58"/>
      <c r="BH343" s="61">
        <f t="shared" si="210"/>
        <v>0</v>
      </c>
      <c r="BI343" s="120"/>
      <c r="BJ343" s="120"/>
      <c r="BK343" s="62">
        <f t="shared" si="211"/>
        <v>0</v>
      </c>
      <c r="BL343" s="120"/>
      <c r="BM343" s="120"/>
      <c r="BN343" s="120"/>
      <c r="BO343" s="120"/>
      <c r="BP343" s="120"/>
      <c r="BQ343" s="63"/>
      <c r="BR343" s="52">
        <f t="shared" si="212"/>
        <v>0</v>
      </c>
      <c r="BS343" s="52">
        <f t="shared" si="213"/>
        <v>0</v>
      </c>
      <c r="BT343" s="61">
        <f t="shared" si="214"/>
        <v>0</v>
      </c>
      <c r="BU343" s="64">
        <f t="shared" si="215"/>
        <v>0</v>
      </c>
      <c r="BV343" s="119">
        <f>SUM(Tableau1[[#This Row],[Achats confiserie]:[Achats boisson]])</f>
        <v>0</v>
      </c>
      <c r="BW343" s="58"/>
      <c r="BX343" s="69"/>
      <c r="BY343" s="58"/>
      <c r="BZ343" s="56">
        <f t="shared" si="216"/>
        <v>0</v>
      </c>
      <c r="CA343" s="66"/>
      <c r="CB343" s="66"/>
      <c r="CC343" s="56">
        <f t="shared" si="217"/>
        <v>0</v>
      </c>
      <c r="CD343" s="55"/>
      <c r="CE343" s="65"/>
      <c r="CF343" s="55"/>
      <c r="CG343" s="55"/>
      <c r="CH343" s="67">
        <f t="shared" si="218"/>
        <v>0</v>
      </c>
      <c r="CI343" s="68">
        <f t="shared" si="234"/>
        <v>0</v>
      </c>
      <c r="CJ343" s="55"/>
      <c r="CK343" s="55"/>
      <c r="CL343" s="55"/>
      <c r="CM343" s="55"/>
      <c r="CN343" s="55"/>
      <c r="CO343" s="68">
        <f t="shared" si="219"/>
        <v>0</v>
      </c>
      <c r="CP343" s="75">
        <f>SUM(Tableau1[[#This Row],[Fourniture eau]:[Energie (non précisé)]])</f>
        <v>0</v>
      </c>
      <c r="CQ343" s="55"/>
      <c r="CR343" s="55"/>
      <c r="CS343" s="55"/>
      <c r="CT343" s="55"/>
      <c r="CU343" s="55"/>
      <c r="CV343" s="55">
        <v>0</v>
      </c>
      <c r="CW343" s="55"/>
      <c r="CX343" s="68">
        <f>SUM(Tableau1[[#This Row],[Sous-traitance]:[Autres ou non précisé 12]])</f>
        <v>0</v>
      </c>
      <c r="CY343" s="65"/>
      <c r="CZ343" s="65"/>
      <c r="DA343" s="65"/>
      <c r="DB343" s="65"/>
      <c r="DC343" s="55"/>
      <c r="DD343" s="68">
        <f t="shared" si="200"/>
        <v>0</v>
      </c>
      <c r="DE343" s="55"/>
      <c r="DF343" s="65"/>
      <c r="DG343" s="65"/>
      <c r="DH343" s="65"/>
      <c r="DI343" s="68">
        <f>SUM(Tableau1[[#This Row],[Entretien et réparation matériel de projection]:[Autres ou non précisé 14]])</f>
        <v>0</v>
      </c>
      <c r="DJ343" s="58"/>
      <c r="DK343" s="58"/>
      <c r="DL343" s="69"/>
      <c r="DM343" s="68">
        <f t="shared" si="220"/>
        <v>0</v>
      </c>
      <c r="DN343" s="58"/>
      <c r="DO343" s="58"/>
      <c r="DP343" s="68">
        <f t="shared" si="221"/>
        <v>0</v>
      </c>
      <c r="DQ343" s="65"/>
      <c r="DR343" s="65"/>
      <c r="DS343" s="68">
        <f t="shared" si="222"/>
        <v>0</v>
      </c>
      <c r="DT343" s="65"/>
      <c r="DU343" s="65"/>
      <c r="DV343" s="65"/>
      <c r="DW343" s="68">
        <f>SUM(Tableau1[[#This Row],[Comission et courtage sur achats]:[Autres ou honoraires
 non précisé ]])</f>
        <v>0</v>
      </c>
      <c r="DX343" s="57"/>
      <c r="DY343" s="57"/>
      <c r="DZ343" s="65"/>
      <c r="EA343" s="65"/>
      <c r="EB343" s="65"/>
      <c r="EC343" s="68">
        <f t="shared" si="223"/>
        <v>0</v>
      </c>
      <c r="ED343" s="69"/>
      <c r="EE343" s="69"/>
      <c r="EF343" s="69"/>
      <c r="EG343" s="69"/>
      <c r="EH343" s="69"/>
      <c r="EI343" s="84">
        <f>SUM(Tableau1[[#This Row],[Transports sur films]:[autres ]])</f>
        <v>0</v>
      </c>
      <c r="EJ343" s="132">
        <v>0</v>
      </c>
      <c r="EK343" s="132"/>
      <c r="EL343" s="68">
        <f t="shared" si="224"/>
        <v>0</v>
      </c>
      <c r="EM343" s="65"/>
      <c r="EN343" s="65">
        <v>0</v>
      </c>
      <c r="EO343" s="65"/>
      <c r="EP343" s="65"/>
      <c r="EQ343" s="65"/>
      <c r="ER343" s="65"/>
      <c r="ES343" s="65"/>
      <c r="ET343" s="68">
        <f t="shared" si="225"/>
        <v>0</v>
      </c>
      <c r="EU343" s="65"/>
      <c r="EV343" s="65"/>
      <c r="EW343" s="65"/>
      <c r="EX343" s="65"/>
      <c r="EY343" s="65"/>
      <c r="EZ343" s="68">
        <f t="shared" si="202"/>
        <v>0</v>
      </c>
      <c r="FA343" s="65"/>
      <c r="FB343" s="65"/>
      <c r="FC343" s="70">
        <f t="shared" si="201"/>
        <v>0</v>
      </c>
      <c r="FD343" s="65"/>
      <c r="FE343" s="71">
        <f t="shared" si="226"/>
        <v>0</v>
      </c>
      <c r="FF343" s="72">
        <f t="shared" si="227"/>
        <v>0</v>
      </c>
      <c r="FG343" s="65"/>
      <c r="FH343" s="65"/>
      <c r="FI343" s="65"/>
      <c r="FJ343" s="56">
        <f t="shared" si="228"/>
        <v>0</v>
      </c>
      <c r="FK343" s="65"/>
      <c r="FL343" s="65"/>
      <c r="FM343" s="65"/>
      <c r="FN343" s="65"/>
      <c r="FO343" s="67">
        <f t="shared" si="229"/>
        <v>0</v>
      </c>
      <c r="FP343" s="57"/>
      <c r="FQ343" s="73"/>
      <c r="FR343" s="73"/>
      <c r="FS343" s="71">
        <f t="shared" si="230"/>
        <v>0</v>
      </c>
      <c r="FT343" s="91"/>
      <c r="FU343" s="91"/>
      <c r="FV343" s="67">
        <f>SUM(Tableau1[[#This Row],[Droits d''auteurs SACEM + cotisations SACEM]:[Autres ou non préciés]])</f>
        <v>0</v>
      </c>
      <c r="FW343" s="75">
        <f t="shared" si="231"/>
        <v>0</v>
      </c>
      <c r="FX343" s="74">
        <v>0</v>
      </c>
      <c r="FY343" s="74"/>
      <c r="FZ343" s="74"/>
      <c r="GA343" s="74"/>
      <c r="GB343" s="71">
        <f t="shared" si="232"/>
        <v>0</v>
      </c>
      <c r="GC343" s="92"/>
      <c r="GD343" s="92"/>
      <c r="GE343" s="67">
        <f t="shared" si="233"/>
        <v>0</v>
      </c>
      <c r="GF343" s="66"/>
      <c r="GG343" s="66"/>
      <c r="GH343" s="66"/>
      <c r="GI343" s="66"/>
      <c r="GJ343" s="77"/>
    </row>
    <row r="344" spans="1:192" ht="18.600000000000001" customHeight="1" x14ac:dyDescent="0.25">
      <c r="A344" s="89"/>
      <c r="B344" s="17"/>
      <c r="C344" s="50"/>
      <c r="D344" s="140"/>
      <c r="E344" s="51"/>
      <c r="F344" s="139">
        <f t="shared" si="198"/>
        <v>1</v>
      </c>
      <c r="G344" s="49"/>
      <c r="H344" s="50"/>
      <c r="I344" s="122"/>
      <c r="J344" s="49"/>
      <c r="K344" s="50"/>
      <c r="L344" s="50"/>
      <c r="M344" s="90"/>
      <c r="N344" s="50"/>
      <c r="O344" s="50"/>
      <c r="P344" s="90"/>
      <c r="Q344" s="52">
        <f t="shared" si="203"/>
        <v>0</v>
      </c>
      <c r="R344" s="52">
        <f t="shared" si="204"/>
        <v>0</v>
      </c>
      <c r="S344" s="53">
        <f t="shared" si="205"/>
        <v>0</v>
      </c>
      <c r="T344" s="54">
        <f t="shared" si="206"/>
        <v>0</v>
      </c>
      <c r="U344" s="115">
        <f>SUM(Tableau1[[#This Row],[Vente confiserie]:[Vente boisson]])</f>
        <v>0</v>
      </c>
      <c r="V344" s="95"/>
      <c r="W344" s="95"/>
      <c r="X344" s="136">
        <f>SUM(Tableau1[[#This Row],[Vente lunette]:[Location lunette]])</f>
        <v>0</v>
      </c>
      <c r="Y344" s="95"/>
      <c r="Z344" s="95"/>
      <c r="AA344" s="95"/>
      <c r="AB344" s="95"/>
      <c r="AC344" s="56">
        <f t="shared" si="235"/>
        <v>0</v>
      </c>
      <c r="AD344" s="57"/>
      <c r="AE344" s="57"/>
      <c r="AF344" s="57"/>
      <c r="AG344" s="57"/>
      <c r="AH344" s="57"/>
      <c r="AI344" s="57"/>
      <c r="AJ344" s="118">
        <f>(Tableau1[[#This Row],[Recette guichet ]]*1.1275177)-Tableau1[[#This Row],[Recette guichet ]]</f>
        <v>0</v>
      </c>
      <c r="AK344" s="57"/>
      <c r="AL344" s="56">
        <f t="shared" si="236"/>
        <v>0</v>
      </c>
      <c r="AM344" s="58"/>
      <c r="AN344" s="58"/>
      <c r="AO344" s="58"/>
      <c r="AP344" s="115">
        <f t="shared" si="207"/>
        <v>0</v>
      </c>
      <c r="AQ344" s="69"/>
      <c r="AR344" s="69"/>
      <c r="AS344" s="69"/>
      <c r="AT344" s="69"/>
      <c r="AU344" s="59">
        <f t="shared" si="208"/>
        <v>0</v>
      </c>
      <c r="AV344" s="60">
        <f t="shared" si="209"/>
        <v>0</v>
      </c>
      <c r="AW344" s="58"/>
      <c r="AX344" s="58"/>
      <c r="AY344" s="58"/>
      <c r="AZ344" s="60">
        <f t="shared" si="199"/>
        <v>0</v>
      </c>
      <c r="BA344" s="58"/>
      <c r="BB344" s="58"/>
      <c r="BC344" s="58"/>
      <c r="BD344" s="60">
        <f>SUM(Tableau1[[#This Row],[ticket/carte/abonnement périmé]:[Autres ou non précisé 5]])</f>
        <v>0</v>
      </c>
      <c r="BE344" s="58"/>
      <c r="BF344" s="58"/>
      <c r="BG344" s="58"/>
      <c r="BH344" s="61">
        <f t="shared" si="210"/>
        <v>0</v>
      </c>
      <c r="BI344" s="120"/>
      <c r="BJ344" s="120"/>
      <c r="BK344" s="62">
        <f t="shared" si="211"/>
        <v>0</v>
      </c>
      <c r="BL344" s="120"/>
      <c r="BM344" s="120"/>
      <c r="BN344" s="120"/>
      <c r="BO344" s="120"/>
      <c r="BP344" s="120"/>
      <c r="BQ344" s="63"/>
      <c r="BR344" s="52">
        <f t="shared" si="212"/>
        <v>0</v>
      </c>
      <c r="BS344" s="52">
        <f t="shared" si="213"/>
        <v>0</v>
      </c>
      <c r="BT344" s="61">
        <f t="shared" si="214"/>
        <v>0</v>
      </c>
      <c r="BU344" s="64">
        <f t="shared" si="215"/>
        <v>0</v>
      </c>
      <c r="BV344" s="119">
        <f>SUM(Tableau1[[#This Row],[Achats confiserie]:[Achats boisson]])</f>
        <v>0</v>
      </c>
      <c r="BW344" s="58"/>
      <c r="BX344" s="69"/>
      <c r="BY344" s="58"/>
      <c r="BZ344" s="56">
        <f t="shared" si="216"/>
        <v>0</v>
      </c>
      <c r="CA344" s="66"/>
      <c r="CB344" s="66"/>
      <c r="CC344" s="56">
        <f t="shared" si="217"/>
        <v>0</v>
      </c>
      <c r="CD344" s="55"/>
      <c r="CE344" s="65"/>
      <c r="CF344" s="55"/>
      <c r="CG344" s="55"/>
      <c r="CH344" s="67">
        <f t="shared" si="218"/>
        <v>0</v>
      </c>
      <c r="CI344" s="68">
        <f t="shared" si="234"/>
        <v>0</v>
      </c>
      <c r="CJ344" s="55"/>
      <c r="CK344" s="55"/>
      <c r="CL344" s="55"/>
      <c r="CM344" s="55"/>
      <c r="CN344" s="55"/>
      <c r="CO344" s="68">
        <f t="shared" si="219"/>
        <v>0</v>
      </c>
      <c r="CP344" s="75">
        <f>SUM(Tableau1[[#This Row],[Fourniture eau]:[Energie (non précisé)]])</f>
        <v>0</v>
      </c>
      <c r="CQ344" s="55"/>
      <c r="CR344" s="55"/>
      <c r="CS344" s="55"/>
      <c r="CT344" s="55"/>
      <c r="CU344" s="55"/>
      <c r="CV344" s="55">
        <v>0</v>
      </c>
      <c r="CW344" s="55"/>
      <c r="CX344" s="68">
        <f>SUM(Tableau1[[#This Row],[Sous-traitance]:[Autres ou non précisé 12]])</f>
        <v>0</v>
      </c>
      <c r="CY344" s="65"/>
      <c r="CZ344" s="65"/>
      <c r="DA344" s="65"/>
      <c r="DB344" s="65"/>
      <c r="DC344" s="55"/>
      <c r="DD344" s="68">
        <f t="shared" si="200"/>
        <v>0</v>
      </c>
      <c r="DE344" s="55"/>
      <c r="DF344" s="65"/>
      <c r="DG344" s="65"/>
      <c r="DH344" s="65"/>
      <c r="DI344" s="68">
        <f>SUM(Tableau1[[#This Row],[Entretien et réparation matériel de projection]:[Autres ou non précisé 14]])</f>
        <v>0</v>
      </c>
      <c r="DJ344" s="58"/>
      <c r="DK344" s="58"/>
      <c r="DL344" s="69"/>
      <c r="DM344" s="68">
        <f t="shared" si="220"/>
        <v>0</v>
      </c>
      <c r="DN344" s="58"/>
      <c r="DO344" s="58"/>
      <c r="DP344" s="68">
        <f t="shared" si="221"/>
        <v>0</v>
      </c>
      <c r="DQ344" s="65"/>
      <c r="DR344" s="65"/>
      <c r="DS344" s="68">
        <f t="shared" si="222"/>
        <v>0</v>
      </c>
      <c r="DT344" s="65"/>
      <c r="DU344" s="65"/>
      <c r="DV344" s="65"/>
      <c r="DW344" s="68">
        <f>SUM(Tableau1[[#This Row],[Comission et courtage sur achats]:[Autres ou honoraires
 non précisé ]])</f>
        <v>0</v>
      </c>
      <c r="DX344" s="57"/>
      <c r="DY344" s="57"/>
      <c r="DZ344" s="65"/>
      <c r="EA344" s="65"/>
      <c r="EB344" s="65"/>
      <c r="EC344" s="68">
        <f t="shared" si="223"/>
        <v>0</v>
      </c>
      <c r="ED344" s="69"/>
      <c r="EE344" s="69"/>
      <c r="EF344" s="69"/>
      <c r="EG344" s="69"/>
      <c r="EH344" s="69"/>
      <c r="EI344" s="84">
        <f>SUM(Tableau1[[#This Row],[Transports sur films]:[autres ]])</f>
        <v>0</v>
      </c>
      <c r="EJ344" s="132">
        <v>0</v>
      </c>
      <c r="EK344" s="132"/>
      <c r="EL344" s="68">
        <f t="shared" si="224"/>
        <v>0</v>
      </c>
      <c r="EM344" s="65"/>
      <c r="EN344" s="65">
        <v>0</v>
      </c>
      <c r="EO344" s="65"/>
      <c r="EP344" s="65"/>
      <c r="EQ344" s="65"/>
      <c r="ER344" s="65"/>
      <c r="ES344" s="65"/>
      <c r="ET344" s="68">
        <f t="shared" si="225"/>
        <v>0</v>
      </c>
      <c r="EU344" s="65"/>
      <c r="EV344" s="65"/>
      <c r="EW344" s="65"/>
      <c r="EX344" s="65"/>
      <c r="EY344" s="65"/>
      <c r="EZ344" s="68">
        <f t="shared" si="202"/>
        <v>0</v>
      </c>
      <c r="FA344" s="65"/>
      <c r="FB344" s="65"/>
      <c r="FC344" s="70">
        <f t="shared" si="201"/>
        <v>0</v>
      </c>
      <c r="FD344" s="65"/>
      <c r="FE344" s="71">
        <f t="shared" si="226"/>
        <v>0</v>
      </c>
      <c r="FF344" s="72">
        <f t="shared" si="227"/>
        <v>0</v>
      </c>
      <c r="FG344" s="65"/>
      <c r="FH344" s="65"/>
      <c r="FI344" s="65"/>
      <c r="FJ344" s="56">
        <f t="shared" si="228"/>
        <v>0</v>
      </c>
      <c r="FK344" s="65"/>
      <c r="FL344" s="65"/>
      <c r="FM344" s="65"/>
      <c r="FN344" s="65"/>
      <c r="FO344" s="67">
        <f t="shared" si="229"/>
        <v>0</v>
      </c>
      <c r="FP344" s="57"/>
      <c r="FQ344" s="73"/>
      <c r="FR344" s="73"/>
      <c r="FS344" s="71">
        <f t="shared" si="230"/>
        <v>0</v>
      </c>
      <c r="FT344" s="91"/>
      <c r="FU344" s="91"/>
      <c r="FV344" s="67">
        <f>SUM(Tableau1[[#This Row],[Droits d''auteurs SACEM + cotisations SACEM]:[Autres ou non préciés]])</f>
        <v>0</v>
      </c>
      <c r="FW344" s="75">
        <f t="shared" si="231"/>
        <v>0</v>
      </c>
      <c r="FX344" s="74">
        <v>0</v>
      </c>
      <c r="FY344" s="74"/>
      <c r="FZ344" s="74"/>
      <c r="GA344" s="74"/>
      <c r="GB344" s="71">
        <f t="shared" si="232"/>
        <v>0</v>
      </c>
      <c r="GC344" s="92"/>
      <c r="GD344" s="92"/>
      <c r="GE344" s="67">
        <f t="shared" si="233"/>
        <v>0</v>
      </c>
      <c r="GF344" s="66"/>
      <c r="GG344" s="66"/>
      <c r="GH344" s="66"/>
      <c r="GI344" s="66"/>
      <c r="GJ344" s="77"/>
    </row>
    <row r="345" spans="1:192" ht="18.600000000000001" customHeight="1" x14ac:dyDescent="0.25">
      <c r="A345" s="89"/>
      <c r="B345" s="17"/>
      <c r="C345" s="50"/>
      <c r="D345" s="140"/>
      <c r="E345" s="51"/>
      <c r="F345" s="139">
        <f t="shared" si="198"/>
        <v>1</v>
      </c>
      <c r="G345" s="49"/>
      <c r="H345" s="50"/>
      <c r="I345" s="122"/>
      <c r="J345" s="49"/>
      <c r="K345" s="50"/>
      <c r="L345" s="50"/>
      <c r="M345" s="90"/>
      <c r="N345" s="50"/>
      <c r="O345" s="50"/>
      <c r="P345" s="90"/>
      <c r="Q345" s="52">
        <f t="shared" si="203"/>
        <v>0</v>
      </c>
      <c r="R345" s="52">
        <f t="shared" si="204"/>
        <v>0</v>
      </c>
      <c r="S345" s="53">
        <f t="shared" si="205"/>
        <v>0</v>
      </c>
      <c r="T345" s="54">
        <f t="shared" si="206"/>
        <v>0</v>
      </c>
      <c r="U345" s="115">
        <f>SUM(Tableau1[[#This Row],[Vente confiserie]:[Vente boisson]])</f>
        <v>0</v>
      </c>
      <c r="V345" s="95"/>
      <c r="W345" s="95"/>
      <c r="X345" s="136">
        <f>SUM(Tableau1[[#This Row],[Vente lunette]:[Location lunette]])</f>
        <v>0</v>
      </c>
      <c r="Y345" s="95"/>
      <c r="Z345" s="95"/>
      <c r="AA345" s="95"/>
      <c r="AB345" s="95"/>
      <c r="AC345" s="56">
        <f t="shared" si="235"/>
        <v>0</v>
      </c>
      <c r="AD345" s="57"/>
      <c r="AE345" s="57"/>
      <c r="AF345" s="57"/>
      <c r="AG345" s="57"/>
      <c r="AH345" s="57"/>
      <c r="AI345" s="57"/>
      <c r="AJ345" s="118">
        <f>(Tableau1[[#This Row],[Recette guichet ]]*1.1275177)-Tableau1[[#This Row],[Recette guichet ]]</f>
        <v>0</v>
      </c>
      <c r="AK345" s="57"/>
      <c r="AL345" s="56">
        <f t="shared" si="236"/>
        <v>0</v>
      </c>
      <c r="AM345" s="58"/>
      <c r="AN345" s="58"/>
      <c r="AO345" s="58"/>
      <c r="AP345" s="115">
        <f t="shared" si="207"/>
        <v>0</v>
      </c>
      <c r="AQ345" s="69"/>
      <c r="AR345" s="69"/>
      <c r="AS345" s="69"/>
      <c r="AT345" s="69"/>
      <c r="AU345" s="59">
        <f t="shared" si="208"/>
        <v>0</v>
      </c>
      <c r="AV345" s="60">
        <f t="shared" si="209"/>
        <v>0</v>
      </c>
      <c r="AW345" s="58"/>
      <c r="AX345" s="58"/>
      <c r="AY345" s="58"/>
      <c r="AZ345" s="60">
        <f t="shared" si="199"/>
        <v>0</v>
      </c>
      <c r="BA345" s="58"/>
      <c r="BB345" s="58"/>
      <c r="BC345" s="58"/>
      <c r="BD345" s="60">
        <f>SUM(Tableau1[[#This Row],[ticket/carte/abonnement périmé]:[Autres ou non précisé 5]])</f>
        <v>0</v>
      </c>
      <c r="BE345" s="58"/>
      <c r="BF345" s="58"/>
      <c r="BG345" s="58"/>
      <c r="BH345" s="61">
        <f t="shared" si="210"/>
        <v>0</v>
      </c>
      <c r="BI345" s="120"/>
      <c r="BJ345" s="120"/>
      <c r="BK345" s="62">
        <f t="shared" si="211"/>
        <v>0</v>
      </c>
      <c r="BL345" s="120"/>
      <c r="BM345" s="120"/>
      <c r="BN345" s="120"/>
      <c r="BO345" s="120"/>
      <c r="BP345" s="120"/>
      <c r="BQ345" s="63"/>
      <c r="BR345" s="52">
        <f t="shared" si="212"/>
        <v>0</v>
      </c>
      <c r="BS345" s="52">
        <f t="shared" si="213"/>
        <v>0</v>
      </c>
      <c r="BT345" s="61">
        <f t="shared" si="214"/>
        <v>0</v>
      </c>
      <c r="BU345" s="64">
        <f t="shared" si="215"/>
        <v>0</v>
      </c>
      <c r="BV345" s="119">
        <f>SUM(Tableau1[[#This Row],[Achats confiserie]:[Achats boisson]])</f>
        <v>0</v>
      </c>
      <c r="BW345" s="58"/>
      <c r="BX345" s="69"/>
      <c r="BY345" s="58"/>
      <c r="BZ345" s="56">
        <f t="shared" si="216"/>
        <v>0</v>
      </c>
      <c r="CA345" s="66"/>
      <c r="CB345" s="66"/>
      <c r="CC345" s="56">
        <f t="shared" si="217"/>
        <v>0</v>
      </c>
      <c r="CD345" s="55"/>
      <c r="CE345" s="65"/>
      <c r="CF345" s="55"/>
      <c r="CG345" s="55"/>
      <c r="CH345" s="67">
        <f t="shared" si="218"/>
        <v>0</v>
      </c>
      <c r="CI345" s="68">
        <f t="shared" si="234"/>
        <v>0</v>
      </c>
      <c r="CJ345" s="55"/>
      <c r="CK345" s="55"/>
      <c r="CL345" s="55"/>
      <c r="CM345" s="55"/>
      <c r="CN345" s="55"/>
      <c r="CO345" s="68">
        <f t="shared" si="219"/>
        <v>0</v>
      </c>
      <c r="CP345" s="75">
        <f>SUM(Tableau1[[#This Row],[Fourniture eau]:[Energie (non précisé)]])</f>
        <v>0</v>
      </c>
      <c r="CQ345" s="55"/>
      <c r="CR345" s="55"/>
      <c r="CS345" s="55"/>
      <c r="CT345" s="55"/>
      <c r="CU345" s="55"/>
      <c r="CV345" s="55">
        <v>0</v>
      </c>
      <c r="CW345" s="55"/>
      <c r="CX345" s="68">
        <f>SUM(Tableau1[[#This Row],[Sous-traitance]:[Autres ou non précisé 12]])</f>
        <v>0</v>
      </c>
      <c r="CY345" s="65"/>
      <c r="CZ345" s="65"/>
      <c r="DA345" s="65"/>
      <c r="DB345" s="65"/>
      <c r="DC345" s="55"/>
      <c r="DD345" s="68">
        <f t="shared" si="200"/>
        <v>0</v>
      </c>
      <c r="DE345" s="55"/>
      <c r="DF345" s="65"/>
      <c r="DG345" s="65"/>
      <c r="DH345" s="65"/>
      <c r="DI345" s="68">
        <f>SUM(Tableau1[[#This Row],[Entretien et réparation matériel de projection]:[Autres ou non précisé 14]])</f>
        <v>0</v>
      </c>
      <c r="DJ345" s="58"/>
      <c r="DK345" s="58"/>
      <c r="DL345" s="69"/>
      <c r="DM345" s="68">
        <f t="shared" si="220"/>
        <v>0</v>
      </c>
      <c r="DN345" s="58"/>
      <c r="DO345" s="58"/>
      <c r="DP345" s="68">
        <f t="shared" si="221"/>
        <v>0</v>
      </c>
      <c r="DQ345" s="65"/>
      <c r="DR345" s="65"/>
      <c r="DS345" s="68">
        <f t="shared" si="222"/>
        <v>0</v>
      </c>
      <c r="DT345" s="65"/>
      <c r="DU345" s="65"/>
      <c r="DV345" s="65"/>
      <c r="DW345" s="68">
        <f>SUM(Tableau1[[#This Row],[Comission et courtage sur achats]:[Autres ou honoraires
 non précisé ]])</f>
        <v>0</v>
      </c>
      <c r="DX345" s="57"/>
      <c r="DY345" s="57"/>
      <c r="DZ345" s="65"/>
      <c r="EA345" s="65"/>
      <c r="EB345" s="65"/>
      <c r="EC345" s="68">
        <f t="shared" si="223"/>
        <v>0</v>
      </c>
      <c r="ED345" s="69"/>
      <c r="EE345" s="69"/>
      <c r="EF345" s="69"/>
      <c r="EG345" s="69"/>
      <c r="EH345" s="69"/>
      <c r="EI345" s="84">
        <f>SUM(Tableau1[[#This Row],[Transports sur films]:[autres ]])</f>
        <v>0</v>
      </c>
      <c r="EJ345" s="132">
        <v>0</v>
      </c>
      <c r="EK345" s="132"/>
      <c r="EL345" s="68">
        <f t="shared" si="224"/>
        <v>0</v>
      </c>
      <c r="EM345" s="65"/>
      <c r="EN345" s="65">
        <v>0</v>
      </c>
      <c r="EO345" s="65"/>
      <c r="EP345" s="65"/>
      <c r="EQ345" s="65"/>
      <c r="ER345" s="65"/>
      <c r="ES345" s="65"/>
      <c r="ET345" s="68">
        <f t="shared" si="225"/>
        <v>0</v>
      </c>
      <c r="EU345" s="65"/>
      <c r="EV345" s="65"/>
      <c r="EW345" s="65"/>
      <c r="EX345" s="65"/>
      <c r="EY345" s="65"/>
      <c r="EZ345" s="68">
        <f t="shared" si="202"/>
        <v>0</v>
      </c>
      <c r="FA345" s="65"/>
      <c r="FB345" s="65"/>
      <c r="FC345" s="70">
        <f t="shared" si="201"/>
        <v>0</v>
      </c>
      <c r="FD345" s="65"/>
      <c r="FE345" s="71">
        <f t="shared" si="226"/>
        <v>0</v>
      </c>
      <c r="FF345" s="72">
        <f t="shared" si="227"/>
        <v>0</v>
      </c>
      <c r="FG345" s="65"/>
      <c r="FH345" s="65"/>
      <c r="FI345" s="65"/>
      <c r="FJ345" s="56">
        <f t="shared" si="228"/>
        <v>0</v>
      </c>
      <c r="FK345" s="65"/>
      <c r="FL345" s="65"/>
      <c r="FM345" s="65"/>
      <c r="FN345" s="65"/>
      <c r="FO345" s="67">
        <f t="shared" si="229"/>
        <v>0</v>
      </c>
      <c r="FP345" s="57"/>
      <c r="FQ345" s="73"/>
      <c r="FR345" s="73"/>
      <c r="FS345" s="71">
        <f t="shared" si="230"/>
        <v>0</v>
      </c>
      <c r="FT345" s="91"/>
      <c r="FU345" s="91"/>
      <c r="FV345" s="67">
        <f>SUM(Tableau1[[#This Row],[Droits d''auteurs SACEM + cotisations SACEM]:[Autres ou non préciés]])</f>
        <v>0</v>
      </c>
      <c r="FW345" s="75">
        <f t="shared" si="231"/>
        <v>0</v>
      </c>
      <c r="FX345" s="74">
        <v>0</v>
      </c>
      <c r="FY345" s="74"/>
      <c r="FZ345" s="74"/>
      <c r="GA345" s="74"/>
      <c r="GB345" s="71">
        <f t="shared" si="232"/>
        <v>0</v>
      </c>
      <c r="GC345" s="92"/>
      <c r="GD345" s="92"/>
      <c r="GE345" s="67">
        <f t="shared" si="233"/>
        <v>0</v>
      </c>
      <c r="GF345" s="66"/>
      <c r="GG345" s="66"/>
      <c r="GH345" s="66"/>
      <c r="GI345" s="66"/>
      <c r="GJ345" s="77"/>
    </row>
    <row r="346" spans="1:192" ht="18.600000000000001" customHeight="1" x14ac:dyDescent="0.25">
      <c r="A346" s="89"/>
      <c r="B346" s="17"/>
      <c r="C346" s="50"/>
      <c r="D346" s="140"/>
      <c r="E346" s="51"/>
      <c r="F346" s="139">
        <f t="shared" si="198"/>
        <v>1</v>
      </c>
      <c r="G346" s="49"/>
      <c r="H346" s="50"/>
      <c r="I346" s="122"/>
      <c r="J346" s="49"/>
      <c r="K346" s="50"/>
      <c r="L346" s="50"/>
      <c r="M346" s="90"/>
      <c r="N346" s="50"/>
      <c r="O346" s="50"/>
      <c r="P346" s="90"/>
      <c r="Q346" s="52">
        <f t="shared" si="203"/>
        <v>0</v>
      </c>
      <c r="R346" s="52">
        <f t="shared" si="204"/>
        <v>0</v>
      </c>
      <c r="S346" s="53">
        <f t="shared" si="205"/>
        <v>0</v>
      </c>
      <c r="T346" s="54">
        <f t="shared" si="206"/>
        <v>0</v>
      </c>
      <c r="U346" s="115">
        <f>SUM(Tableau1[[#This Row],[Vente confiserie]:[Vente boisson]])</f>
        <v>0</v>
      </c>
      <c r="V346" s="95"/>
      <c r="W346" s="95"/>
      <c r="X346" s="136">
        <f>SUM(Tableau1[[#This Row],[Vente lunette]:[Location lunette]])</f>
        <v>0</v>
      </c>
      <c r="Y346" s="95"/>
      <c r="Z346" s="95"/>
      <c r="AA346" s="95"/>
      <c r="AB346" s="95"/>
      <c r="AC346" s="56">
        <f t="shared" si="235"/>
        <v>0</v>
      </c>
      <c r="AD346" s="57"/>
      <c r="AE346" s="57"/>
      <c r="AF346" s="57"/>
      <c r="AG346" s="57"/>
      <c r="AH346" s="57"/>
      <c r="AI346" s="57"/>
      <c r="AJ346" s="118">
        <f>(Tableau1[[#This Row],[Recette guichet ]]*1.1275177)-Tableau1[[#This Row],[Recette guichet ]]</f>
        <v>0</v>
      </c>
      <c r="AK346" s="57"/>
      <c r="AL346" s="56">
        <f t="shared" si="236"/>
        <v>0</v>
      </c>
      <c r="AM346" s="58"/>
      <c r="AN346" s="58"/>
      <c r="AO346" s="58"/>
      <c r="AP346" s="115">
        <f t="shared" si="207"/>
        <v>0</v>
      </c>
      <c r="AQ346" s="69"/>
      <c r="AR346" s="69"/>
      <c r="AS346" s="69"/>
      <c r="AT346" s="69"/>
      <c r="AU346" s="59">
        <f t="shared" si="208"/>
        <v>0</v>
      </c>
      <c r="AV346" s="60">
        <f t="shared" si="209"/>
        <v>0</v>
      </c>
      <c r="AW346" s="58"/>
      <c r="AX346" s="58"/>
      <c r="AY346" s="58"/>
      <c r="AZ346" s="60">
        <f t="shared" si="199"/>
        <v>0</v>
      </c>
      <c r="BA346" s="58"/>
      <c r="BB346" s="58"/>
      <c r="BC346" s="58"/>
      <c r="BD346" s="60">
        <f>SUM(Tableau1[[#This Row],[ticket/carte/abonnement périmé]:[Autres ou non précisé 5]])</f>
        <v>0</v>
      </c>
      <c r="BE346" s="58"/>
      <c r="BF346" s="58"/>
      <c r="BG346" s="58"/>
      <c r="BH346" s="61">
        <f t="shared" si="210"/>
        <v>0</v>
      </c>
      <c r="BI346" s="120"/>
      <c r="BJ346" s="120"/>
      <c r="BK346" s="62">
        <f t="shared" si="211"/>
        <v>0</v>
      </c>
      <c r="BL346" s="120"/>
      <c r="BM346" s="120"/>
      <c r="BN346" s="120"/>
      <c r="BO346" s="120"/>
      <c r="BP346" s="120"/>
      <c r="BQ346" s="63"/>
      <c r="BR346" s="52">
        <f t="shared" si="212"/>
        <v>0</v>
      </c>
      <c r="BS346" s="52">
        <f t="shared" si="213"/>
        <v>0</v>
      </c>
      <c r="BT346" s="61">
        <f t="shared" si="214"/>
        <v>0</v>
      </c>
      <c r="BU346" s="64">
        <f t="shared" si="215"/>
        <v>0</v>
      </c>
      <c r="BV346" s="119">
        <f>SUM(Tableau1[[#This Row],[Achats confiserie]:[Achats boisson]])</f>
        <v>0</v>
      </c>
      <c r="BW346" s="58"/>
      <c r="BX346" s="69"/>
      <c r="BY346" s="58"/>
      <c r="BZ346" s="56">
        <f t="shared" si="216"/>
        <v>0</v>
      </c>
      <c r="CA346" s="66"/>
      <c r="CB346" s="66"/>
      <c r="CC346" s="56">
        <f t="shared" si="217"/>
        <v>0</v>
      </c>
      <c r="CD346" s="55"/>
      <c r="CE346" s="65"/>
      <c r="CF346" s="55"/>
      <c r="CG346" s="55"/>
      <c r="CH346" s="67">
        <f t="shared" si="218"/>
        <v>0</v>
      </c>
      <c r="CI346" s="68">
        <f t="shared" si="234"/>
        <v>0</v>
      </c>
      <c r="CJ346" s="55"/>
      <c r="CK346" s="55"/>
      <c r="CL346" s="55"/>
      <c r="CM346" s="55"/>
      <c r="CN346" s="55"/>
      <c r="CO346" s="68">
        <f t="shared" si="219"/>
        <v>0</v>
      </c>
      <c r="CP346" s="75">
        <f>SUM(Tableau1[[#This Row],[Fourniture eau]:[Energie (non précisé)]])</f>
        <v>0</v>
      </c>
      <c r="CQ346" s="55"/>
      <c r="CR346" s="55"/>
      <c r="CS346" s="55"/>
      <c r="CT346" s="55"/>
      <c r="CU346" s="55"/>
      <c r="CV346" s="55">
        <v>0</v>
      </c>
      <c r="CW346" s="55"/>
      <c r="CX346" s="68">
        <f>SUM(Tableau1[[#This Row],[Sous-traitance]:[Autres ou non précisé 12]])</f>
        <v>0</v>
      </c>
      <c r="CY346" s="65"/>
      <c r="CZ346" s="65"/>
      <c r="DA346" s="65"/>
      <c r="DB346" s="65"/>
      <c r="DC346" s="55"/>
      <c r="DD346" s="68">
        <f t="shared" si="200"/>
        <v>0</v>
      </c>
      <c r="DE346" s="55"/>
      <c r="DF346" s="65"/>
      <c r="DG346" s="65"/>
      <c r="DH346" s="65"/>
      <c r="DI346" s="68">
        <f>SUM(Tableau1[[#This Row],[Entretien et réparation matériel de projection]:[Autres ou non précisé 14]])</f>
        <v>0</v>
      </c>
      <c r="DJ346" s="58"/>
      <c r="DK346" s="58"/>
      <c r="DL346" s="69"/>
      <c r="DM346" s="68">
        <f t="shared" si="220"/>
        <v>0</v>
      </c>
      <c r="DN346" s="58"/>
      <c r="DO346" s="58"/>
      <c r="DP346" s="68">
        <f t="shared" si="221"/>
        <v>0</v>
      </c>
      <c r="DQ346" s="65"/>
      <c r="DR346" s="65"/>
      <c r="DS346" s="68">
        <f t="shared" si="222"/>
        <v>0</v>
      </c>
      <c r="DT346" s="65"/>
      <c r="DU346" s="65"/>
      <c r="DV346" s="65"/>
      <c r="DW346" s="68">
        <f>SUM(Tableau1[[#This Row],[Comission et courtage sur achats]:[Autres ou honoraires
 non précisé ]])</f>
        <v>0</v>
      </c>
      <c r="DX346" s="57"/>
      <c r="DY346" s="57"/>
      <c r="DZ346" s="65"/>
      <c r="EA346" s="65"/>
      <c r="EB346" s="65"/>
      <c r="EC346" s="68">
        <f t="shared" si="223"/>
        <v>0</v>
      </c>
      <c r="ED346" s="69"/>
      <c r="EE346" s="69"/>
      <c r="EF346" s="69"/>
      <c r="EG346" s="69"/>
      <c r="EH346" s="69"/>
      <c r="EI346" s="84">
        <f>SUM(Tableau1[[#This Row],[Transports sur films]:[autres ]])</f>
        <v>0</v>
      </c>
      <c r="EJ346" s="132">
        <v>0</v>
      </c>
      <c r="EK346" s="132"/>
      <c r="EL346" s="68">
        <f t="shared" si="224"/>
        <v>0</v>
      </c>
      <c r="EM346" s="65"/>
      <c r="EN346" s="65">
        <v>0</v>
      </c>
      <c r="EO346" s="65"/>
      <c r="EP346" s="65"/>
      <c r="EQ346" s="65"/>
      <c r="ER346" s="65"/>
      <c r="ES346" s="65"/>
      <c r="ET346" s="68">
        <f t="shared" si="225"/>
        <v>0</v>
      </c>
      <c r="EU346" s="65"/>
      <c r="EV346" s="65"/>
      <c r="EW346" s="65"/>
      <c r="EX346" s="65"/>
      <c r="EY346" s="65"/>
      <c r="EZ346" s="68">
        <f t="shared" si="202"/>
        <v>0</v>
      </c>
      <c r="FA346" s="65"/>
      <c r="FB346" s="65"/>
      <c r="FC346" s="70">
        <f t="shared" si="201"/>
        <v>0</v>
      </c>
      <c r="FD346" s="65"/>
      <c r="FE346" s="71">
        <f t="shared" si="226"/>
        <v>0</v>
      </c>
      <c r="FF346" s="72">
        <f t="shared" si="227"/>
        <v>0</v>
      </c>
      <c r="FG346" s="65"/>
      <c r="FH346" s="65"/>
      <c r="FI346" s="65"/>
      <c r="FJ346" s="56">
        <f t="shared" si="228"/>
        <v>0</v>
      </c>
      <c r="FK346" s="65"/>
      <c r="FL346" s="65"/>
      <c r="FM346" s="65"/>
      <c r="FN346" s="65"/>
      <c r="FO346" s="67">
        <f t="shared" si="229"/>
        <v>0</v>
      </c>
      <c r="FP346" s="57"/>
      <c r="FQ346" s="73"/>
      <c r="FR346" s="73"/>
      <c r="FS346" s="71">
        <f t="shared" si="230"/>
        <v>0</v>
      </c>
      <c r="FT346" s="91"/>
      <c r="FU346" s="91"/>
      <c r="FV346" s="67">
        <f>SUM(Tableau1[[#This Row],[Droits d''auteurs SACEM + cotisations SACEM]:[Autres ou non préciés]])</f>
        <v>0</v>
      </c>
      <c r="FW346" s="75">
        <f t="shared" si="231"/>
        <v>0</v>
      </c>
      <c r="FX346" s="74">
        <v>0</v>
      </c>
      <c r="FY346" s="74"/>
      <c r="FZ346" s="74"/>
      <c r="GA346" s="74"/>
      <c r="GB346" s="71">
        <f t="shared" si="232"/>
        <v>0</v>
      </c>
      <c r="GC346" s="92"/>
      <c r="GD346" s="92"/>
      <c r="GE346" s="67">
        <f t="shared" si="233"/>
        <v>0</v>
      </c>
      <c r="GF346" s="66"/>
      <c r="GG346" s="66"/>
      <c r="GH346" s="66"/>
      <c r="GI346" s="66"/>
      <c r="GJ346" s="77"/>
    </row>
    <row r="347" spans="1:192" ht="18.600000000000001" customHeight="1" x14ac:dyDescent="0.25">
      <c r="A347" s="89"/>
      <c r="B347" s="17"/>
      <c r="C347" s="50"/>
      <c r="D347" s="140"/>
      <c r="E347" s="51"/>
      <c r="F347" s="139">
        <f t="shared" si="198"/>
        <v>1</v>
      </c>
      <c r="G347" s="49"/>
      <c r="H347" s="50"/>
      <c r="I347" s="122"/>
      <c r="J347" s="49"/>
      <c r="K347" s="50"/>
      <c r="L347" s="50"/>
      <c r="M347" s="90"/>
      <c r="N347" s="50"/>
      <c r="O347" s="50"/>
      <c r="P347" s="90"/>
      <c r="Q347" s="52">
        <f t="shared" si="203"/>
        <v>0</v>
      </c>
      <c r="R347" s="52">
        <f t="shared" si="204"/>
        <v>0</v>
      </c>
      <c r="S347" s="53">
        <f t="shared" si="205"/>
        <v>0</v>
      </c>
      <c r="T347" s="54">
        <f t="shared" si="206"/>
        <v>0</v>
      </c>
      <c r="U347" s="115">
        <f>SUM(Tableau1[[#This Row],[Vente confiserie]:[Vente boisson]])</f>
        <v>0</v>
      </c>
      <c r="V347" s="95"/>
      <c r="W347" s="95"/>
      <c r="X347" s="136">
        <f>SUM(Tableau1[[#This Row],[Vente lunette]:[Location lunette]])</f>
        <v>0</v>
      </c>
      <c r="Y347" s="95"/>
      <c r="Z347" s="95"/>
      <c r="AA347" s="95"/>
      <c r="AB347" s="95"/>
      <c r="AC347" s="56">
        <f t="shared" si="235"/>
        <v>0</v>
      </c>
      <c r="AD347" s="57"/>
      <c r="AE347" s="57"/>
      <c r="AF347" s="57"/>
      <c r="AG347" s="57"/>
      <c r="AH347" s="57"/>
      <c r="AI347" s="57"/>
      <c r="AJ347" s="118">
        <f>(Tableau1[[#This Row],[Recette guichet ]]*1.1275177)-Tableau1[[#This Row],[Recette guichet ]]</f>
        <v>0</v>
      </c>
      <c r="AK347" s="57"/>
      <c r="AL347" s="56">
        <f t="shared" si="236"/>
        <v>0</v>
      </c>
      <c r="AM347" s="58"/>
      <c r="AN347" s="58"/>
      <c r="AO347" s="58"/>
      <c r="AP347" s="115">
        <f t="shared" si="207"/>
        <v>0</v>
      </c>
      <c r="AQ347" s="69"/>
      <c r="AR347" s="69"/>
      <c r="AS347" s="69"/>
      <c r="AT347" s="69"/>
      <c r="AU347" s="59">
        <f t="shared" si="208"/>
        <v>0</v>
      </c>
      <c r="AV347" s="60">
        <f t="shared" si="209"/>
        <v>0</v>
      </c>
      <c r="AW347" s="58"/>
      <c r="AX347" s="58"/>
      <c r="AY347" s="58"/>
      <c r="AZ347" s="60">
        <f t="shared" si="199"/>
        <v>0</v>
      </c>
      <c r="BA347" s="58"/>
      <c r="BB347" s="58"/>
      <c r="BC347" s="58"/>
      <c r="BD347" s="60">
        <f>SUM(Tableau1[[#This Row],[ticket/carte/abonnement périmé]:[Autres ou non précisé 5]])</f>
        <v>0</v>
      </c>
      <c r="BE347" s="58"/>
      <c r="BF347" s="58"/>
      <c r="BG347" s="58"/>
      <c r="BH347" s="61">
        <f t="shared" si="210"/>
        <v>0</v>
      </c>
      <c r="BI347" s="120"/>
      <c r="BJ347" s="120"/>
      <c r="BK347" s="62">
        <f t="shared" si="211"/>
        <v>0</v>
      </c>
      <c r="BL347" s="120"/>
      <c r="BM347" s="120"/>
      <c r="BN347" s="120"/>
      <c r="BO347" s="120"/>
      <c r="BP347" s="120"/>
      <c r="BQ347" s="63"/>
      <c r="BR347" s="52">
        <f t="shared" si="212"/>
        <v>0</v>
      </c>
      <c r="BS347" s="52">
        <f t="shared" si="213"/>
        <v>0</v>
      </c>
      <c r="BT347" s="61">
        <f t="shared" si="214"/>
        <v>0</v>
      </c>
      <c r="BU347" s="64">
        <f t="shared" si="215"/>
        <v>0</v>
      </c>
      <c r="BV347" s="119">
        <f>SUM(Tableau1[[#This Row],[Achats confiserie]:[Achats boisson]])</f>
        <v>0</v>
      </c>
      <c r="BW347" s="58"/>
      <c r="BX347" s="69"/>
      <c r="BY347" s="58"/>
      <c r="BZ347" s="56">
        <f t="shared" si="216"/>
        <v>0</v>
      </c>
      <c r="CA347" s="66"/>
      <c r="CB347" s="66"/>
      <c r="CC347" s="56">
        <f t="shared" si="217"/>
        <v>0</v>
      </c>
      <c r="CD347" s="55"/>
      <c r="CE347" s="65"/>
      <c r="CF347" s="55"/>
      <c r="CG347" s="55"/>
      <c r="CH347" s="67">
        <f t="shared" si="218"/>
        <v>0</v>
      </c>
      <c r="CI347" s="68">
        <f t="shared" si="234"/>
        <v>0</v>
      </c>
      <c r="CJ347" s="55"/>
      <c r="CK347" s="55"/>
      <c r="CL347" s="55"/>
      <c r="CM347" s="55"/>
      <c r="CN347" s="55"/>
      <c r="CO347" s="68">
        <f t="shared" si="219"/>
        <v>0</v>
      </c>
      <c r="CP347" s="75">
        <f>SUM(Tableau1[[#This Row],[Fourniture eau]:[Energie (non précisé)]])</f>
        <v>0</v>
      </c>
      <c r="CQ347" s="55"/>
      <c r="CR347" s="55"/>
      <c r="CS347" s="55"/>
      <c r="CT347" s="55"/>
      <c r="CU347" s="55"/>
      <c r="CV347" s="55">
        <v>0</v>
      </c>
      <c r="CW347" s="55"/>
      <c r="CX347" s="68">
        <f>SUM(Tableau1[[#This Row],[Sous-traitance]:[Autres ou non précisé 12]])</f>
        <v>0</v>
      </c>
      <c r="CY347" s="65"/>
      <c r="CZ347" s="65"/>
      <c r="DA347" s="65"/>
      <c r="DB347" s="65"/>
      <c r="DC347" s="55"/>
      <c r="DD347" s="68">
        <f t="shared" si="200"/>
        <v>0</v>
      </c>
      <c r="DE347" s="55"/>
      <c r="DF347" s="65"/>
      <c r="DG347" s="65"/>
      <c r="DH347" s="65"/>
      <c r="DI347" s="68">
        <f>SUM(Tableau1[[#This Row],[Entretien et réparation matériel de projection]:[Autres ou non précisé 14]])</f>
        <v>0</v>
      </c>
      <c r="DJ347" s="58"/>
      <c r="DK347" s="58"/>
      <c r="DL347" s="69"/>
      <c r="DM347" s="68">
        <f t="shared" si="220"/>
        <v>0</v>
      </c>
      <c r="DN347" s="58"/>
      <c r="DO347" s="58"/>
      <c r="DP347" s="68">
        <f t="shared" si="221"/>
        <v>0</v>
      </c>
      <c r="DQ347" s="65"/>
      <c r="DR347" s="65"/>
      <c r="DS347" s="68">
        <f t="shared" si="222"/>
        <v>0</v>
      </c>
      <c r="DT347" s="65"/>
      <c r="DU347" s="65"/>
      <c r="DV347" s="65"/>
      <c r="DW347" s="68">
        <f>SUM(Tableau1[[#This Row],[Comission et courtage sur achats]:[Autres ou honoraires
 non précisé ]])</f>
        <v>0</v>
      </c>
      <c r="DX347" s="57"/>
      <c r="DY347" s="57"/>
      <c r="DZ347" s="65"/>
      <c r="EA347" s="65"/>
      <c r="EB347" s="65"/>
      <c r="EC347" s="68">
        <f t="shared" si="223"/>
        <v>0</v>
      </c>
      <c r="ED347" s="69"/>
      <c r="EE347" s="69"/>
      <c r="EF347" s="69"/>
      <c r="EG347" s="69"/>
      <c r="EH347" s="69"/>
      <c r="EI347" s="84">
        <f>SUM(Tableau1[[#This Row],[Transports sur films]:[autres ]])</f>
        <v>0</v>
      </c>
      <c r="EJ347" s="132">
        <v>0</v>
      </c>
      <c r="EK347" s="132"/>
      <c r="EL347" s="68">
        <f t="shared" si="224"/>
        <v>0</v>
      </c>
      <c r="EM347" s="65"/>
      <c r="EN347" s="65">
        <v>0</v>
      </c>
      <c r="EO347" s="65"/>
      <c r="EP347" s="65"/>
      <c r="EQ347" s="65"/>
      <c r="ER347" s="65"/>
      <c r="ES347" s="65"/>
      <c r="ET347" s="68">
        <f t="shared" si="225"/>
        <v>0</v>
      </c>
      <c r="EU347" s="65"/>
      <c r="EV347" s="65"/>
      <c r="EW347" s="65"/>
      <c r="EX347" s="65"/>
      <c r="EY347" s="65"/>
      <c r="EZ347" s="68">
        <f t="shared" si="202"/>
        <v>0</v>
      </c>
      <c r="FA347" s="65"/>
      <c r="FB347" s="65"/>
      <c r="FC347" s="70">
        <f t="shared" si="201"/>
        <v>0</v>
      </c>
      <c r="FD347" s="65"/>
      <c r="FE347" s="71">
        <f t="shared" si="226"/>
        <v>0</v>
      </c>
      <c r="FF347" s="72">
        <f t="shared" si="227"/>
        <v>0</v>
      </c>
      <c r="FG347" s="65"/>
      <c r="FH347" s="65"/>
      <c r="FI347" s="65"/>
      <c r="FJ347" s="56">
        <f t="shared" si="228"/>
        <v>0</v>
      </c>
      <c r="FK347" s="65"/>
      <c r="FL347" s="65"/>
      <c r="FM347" s="65"/>
      <c r="FN347" s="65"/>
      <c r="FO347" s="67">
        <f t="shared" si="229"/>
        <v>0</v>
      </c>
      <c r="FP347" s="57"/>
      <c r="FQ347" s="73"/>
      <c r="FR347" s="73"/>
      <c r="FS347" s="71">
        <f t="shared" si="230"/>
        <v>0</v>
      </c>
      <c r="FT347" s="91"/>
      <c r="FU347" s="91"/>
      <c r="FV347" s="67">
        <f>SUM(Tableau1[[#This Row],[Droits d''auteurs SACEM + cotisations SACEM]:[Autres ou non préciés]])</f>
        <v>0</v>
      </c>
      <c r="FW347" s="75">
        <f t="shared" si="231"/>
        <v>0</v>
      </c>
      <c r="FX347" s="74">
        <v>0</v>
      </c>
      <c r="FY347" s="74"/>
      <c r="FZ347" s="74"/>
      <c r="GA347" s="74"/>
      <c r="GB347" s="71">
        <f t="shared" si="232"/>
        <v>0</v>
      </c>
      <c r="GC347" s="92"/>
      <c r="GD347" s="92"/>
      <c r="GE347" s="67">
        <f t="shared" si="233"/>
        <v>0</v>
      </c>
      <c r="GF347" s="66"/>
      <c r="GG347" s="66"/>
      <c r="GH347" s="66"/>
      <c r="GI347" s="66"/>
      <c r="GJ347" s="77"/>
    </row>
    <row r="348" spans="1:192" ht="18.600000000000001" customHeight="1" x14ac:dyDescent="0.25">
      <c r="A348" s="89"/>
      <c r="B348" s="17"/>
      <c r="C348" s="50"/>
      <c r="D348" s="140"/>
      <c r="E348" s="51"/>
      <c r="F348" s="139">
        <f t="shared" si="198"/>
        <v>1</v>
      </c>
      <c r="G348" s="49"/>
      <c r="H348" s="50"/>
      <c r="I348" s="122"/>
      <c r="J348" s="49"/>
      <c r="K348" s="50"/>
      <c r="L348" s="50"/>
      <c r="M348" s="90"/>
      <c r="N348" s="50"/>
      <c r="O348" s="50"/>
      <c r="P348" s="90"/>
      <c r="Q348" s="52">
        <f t="shared" si="203"/>
        <v>0</v>
      </c>
      <c r="R348" s="52">
        <f t="shared" si="204"/>
        <v>0</v>
      </c>
      <c r="S348" s="53">
        <f t="shared" si="205"/>
        <v>0</v>
      </c>
      <c r="T348" s="54">
        <f t="shared" si="206"/>
        <v>0</v>
      </c>
      <c r="U348" s="115">
        <f>SUM(Tableau1[[#This Row],[Vente confiserie]:[Vente boisson]])</f>
        <v>0</v>
      </c>
      <c r="V348" s="95"/>
      <c r="W348" s="95"/>
      <c r="X348" s="136">
        <f>SUM(Tableau1[[#This Row],[Vente lunette]:[Location lunette]])</f>
        <v>0</v>
      </c>
      <c r="Y348" s="95"/>
      <c r="Z348" s="95"/>
      <c r="AA348" s="95"/>
      <c r="AB348" s="95"/>
      <c r="AC348" s="56">
        <f t="shared" si="235"/>
        <v>0</v>
      </c>
      <c r="AD348" s="57"/>
      <c r="AE348" s="57"/>
      <c r="AF348" s="57"/>
      <c r="AG348" s="57"/>
      <c r="AH348" s="57"/>
      <c r="AI348" s="57"/>
      <c r="AJ348" s="118">
        <f>(Tableau1[[#This Row],[Recette guichet ]]*1.1275177)-Tableau1[[#This Row],[Recette guichet ]]</f>
        <v>0</v>
      </c>
      <c r="AK348" s="57"/>
      <c r="AL348" s="56">
        <f t="shared" si="236"/>
        <v>0</v>
      </c>
      <c r="AM348" s="58"/>
      <c r="AN348" s="58"/>
      <c r="AO348" s="58"/>
      <c r="AP348" s="115">
        <f t="shared" si="207"/>
        <v>0</v>
      </c>
      <c r="AQ348" s="69"/>
      <c r="AR348" s="69"/>
      <c r="AS348" s="69"/>
      <c r="AT348" s="69"/>
      <c r="AU348" s="59">
        <f t="shared" si="208"/>
        <v>0</v>
      </c>
      <c r="AV348" s="60">
        <f t="shared" si="209"/>
        <v>0</v>
      </c>
      <c r="AW348" s="58"/>
      <c r="AX348" s="58"/>
      <c r="AY348" s="58"/>
      <c r="AZ348" s="60">
        <f t="shared" si="199"/>
        <v>0</v>
      </c>
      <c r="BA348" s="58"/>
      <c r="BB348" s="58"/>
      <c r="BC348" s="58"/>
      <c r="BD348" s="60">
        <f>SUM(Tableau1[[#This Row],[ticket/carte/abonnement périmé]:[Autres ou non précisé 5]])</f>
        <v>0</v>
      </c>
      <c r="BE348" s="58"/>
      <c r="BF348" s="58"/>
      <c r="BG348" s="58"/>
      <c r="BH348" s="61">
        <f t="shared" si="210"/>
        <v>0</v>
      </c>
      <c r="BI348" s="120"/>
      <c r="BJ348" s="120"/>
      <c r="BK348" s="62">
        <f t="shared" si="211"/>
        <v>0</v>
      </c>
      <c r="BL348" s="120"/>
      <c r="BM348" s="120"/>
      <c r="BN348" s="120"/>
      <c r="BO348" s="120"/>
      <c r="BP348" s="120"/>
      <c r="BQ348" s="63"/>
      <c r="BR348" s="52">
        <f t="shared" si="212"/>
        <v>0</v>
      </c>
      <c r="BS348" s="52">
        <f t="shared" si="213"/>
        <v>0</v>
      </c>
      <c r="BT348" s="61">
        <f t="shared" si="214"/>
        <v>0</v>
      </c>
      <c r="BU348" s="64">
        <f t="shared" si="215"/>
        <v>0</v>
      </c>
      <c r="BV348" s="119">
        <f>SUM(Tableau1[[#This Row],[Achats confiserie]:[Achats boisson]])</f>
        <v>0</v>
      </c>
      <c r="BW348" s="58"/>
      <c r="BX348" s="69"/>
      <c r="BY348" s="58"/>
      <c r="BZ348" s="56">
        <f t="shared" si="216"/>
        <v>0</v>
      </c>
      <c r="CA348" s="66"/>
      <c r="CB348" s="66"/>
      <c r="CC348" s="56">
        <f t="shared" si="217"/>
        <v>0</v>
      </c>
      <c r="CD348" s="55"/>
      <c r="CE348" s="65"/>
      <c r="CF348" s="55"/>
      <c r="CG348" s="55"/>
      <c r="CH348" s="67">
        <f t="shared" si="218"/>
        <v>0</v>
      </c>
      <c r="CI348" s="68">
        <f t="shared" si="234"/>
        <v>0</v>
      </c>
      <c r="CJ348" s="55"/>
      <c r="CK348" s="55"/>
      <c r="CL348" s="55"/>
      <c r="CM348" s="55"/>
      <c r="CN348" s="55"/>
      <c r="CO348" s="68">
        <f t="shared" si="219"/>
        <v>0</v>
      </c>
      <c r="CP348" s="75">
        <f>SUM(Tableau1[[#This Row],[Fourniture eau]:[Energie (non précisé)]])</f>
        <v>0</v>
      </c>
      <c r="CQ348" s="55"/>
      <c r="CR348" s="55"/>
      <c r="CS348" s="55"/>
      <c r="CT348" s="55"/>
      <c r="CU348" s="55"/>
      <c r="CV348" s="55">
        <v>0</v>
      </c>
      <c r="CW348" s="55"/>
      <c r="CX348" s="68">
        <f>SUM(Tableau1[[#This Row],[Sous-traitance]:[Autres ou non précisé 12]])</f>
        <v>0</v>
      </c>
      <c r="CY348" s="65"/>
      <c r="CZ348" s="65"/>
      <c r="DA348" s="65"/>
      <c r="DB348" s="65"/>
      <c r="DC348" s="55"/>
      <c r="DD348" s="68">
        <f t="shared" si="200"/>
        <v>0</v>
      </c>
      <c r="DE348" s="55"/>
      <c r="DF348" s="65"/>
      <c r="DG348" s="65"/>
      <c r="DH348" s="65"/>
      <c r="DI348" s="68">
        <f>SUM(Tableau1[[#This Row],[Entretien et réparation matériel de projection]:[Autres ou non précisé 14]])</f>
        <v>0</v>
      </c>
      <c r="DJ348" s="58"/>
      <c r="DK348" s="58"/>
      <c r="DL348" s="69"/>
      <c r="DM348" s="68">
        <f t="shared" si="220"/>
        <v>0</v>
      </c>
      <c r="DN348" s="58"/>
      <c r="DO348" s="58"/>
      <c r="DP348" s="68">
        <f t="shared" si="221"/>
        <v>0</v>
      </c>
      <c r="DQ348" s="65"/>
      <c r="DR348" s="65"/>
      <c r="DS348" s="68">
        <f t="shared" si="222"/>
        <v>0</v>
      </c>
      <c r="DT348" s="65"/>
      <c r="DU348" s="65"/>
      <c r="DV348" s="65"/>
      <c r="DW348" s="68">
        <f>SUM(Tableau1[[#This Row],[Comission et courtage sur achats]:[Autres ou honoraires
 non précisé ]])</f>
        <v>0</v>
      </c>
      <c r="DX348" s="57"/>
      <c r="DY348" s="57"/>
      <c r="DZ348" s="65"/>
      <c r="EA348" s="65"/>
      <c r="EB348" s="65"/>
      <c r="EC348" s="68">
        <f t="shared" si="223"/>
        <v>0</v>
      </c>
      <c r="ED348" s="69"/>
      <c r="EE348" s="69"/>
      <c r="EF348" s="69"/>
      <c r="EG348" s="69"/>
      <c r="EH348" s="69"/>
      <c r="EI348" s="84">
        <f>SUM(Tableau1[[#This Row],[Transports sur films]:[autres ]])</f>
        <v>0</v>
      </c>
      <c r="EJ348" s="132">
        <v>0</v>
      </c>
      <c r="EK348" s="132"/>
      <c r="EL348" s="68">
        <f t="shared" si="224"/>
        <v>0</v>
      </c>
      <c r="EM348" s="65"/>
      <c r="EN348" s="65">
        <v>0</v>
      </c>
      <c r="EO348" s="65"/>
      <c r="EP348" s="65"/>
      <c r="EQ348" s="65"/>
      <c r="ER348" s="65"/>
      <c r="ES348" s="65"/>
      <c r="ET348" s="68">
        <f t="shared" si="225"/>
        <v>0</v>
      </c>
      <c r="EU348" s="65"/>
      <c r="EV348" s="65"/>
      <c r="EW348" s="65"/>
      <c r="EX348" s="65"/>
      <c r="EY348" s="65"/>
      <c r="EZ348" s="68">
        <f t="shared" si="202"/>
        <v>0</v>
      </c>
      <c r="FA348" s="65"/>
      <c r="FB348" s="65"/>
      <c r="FC348" s="70">
        <f t="shared" si="201"/>
        <v>0</v>
      </c>
      <c r="FD348" s="65"/>
      <c r="FE348" s="71">
        <f t="shared" si="226"/>
        <v>0</v>
      </c>
      <c r="FF348" s="72">
        <f t="shared" si="227"/>
        <v>0</v>
      </c>
      <c r="FG348" s="65"/>
      <c r="FH348" s="65"/>
      <c r="FI348" s="65"/>
      <c r="FJ348" s="56">
        <f t="shared" si="228"/>
        <v>0</v>
      </c>
      <c r="FK348" s="65"/>
      <c r="FL348" s="65"/>
      <c r="FM348" s="65"/>
      <c r="FN348" s="65"/>
      <c r="FO348" s="67">
        <f t="shared" si="229"/>
        <v>0</v>
      </c>
      <c r="FP348" s="57"/>
      <c r="FQ348" s="73"/>
      <c r="FR348" s="73"/>
      <c r="FS348" s="71">
        <f t="shared" si="230"/>
        <v>0</v>
      </c>
      <c r="FT348" s="91"/>
      <c r="FU348" s="91"/>
      <c r="FV348" s="67">
        <f>SUM(Tableau1[[#This Row],[Droits d''auteurs SACEM + cotisations SACEM]:[Autres ou non préciés]])</f>
        <v>0</v>
      </c>
      <c r="FW348" s="75">
        <f t="shared" si="231"/>
        <v>0</v>
      </c>
      <c r="FX348" s="74">
        <v>0</v>
      </c>
      <c r="FY348" s="74"/>
      <c r="FZ348" s="74"/>
      <c r="GA348" s="74"/>
      <c r="GB348" s="71">
        <f t="shared" si="232"/>
        <v>0</v>
      </c>
      <c r="GC348" s="92"/>
      <c r="GD348" s="92"/>
      <c r="GE348" s="67">
        <f t="shared" si="233"/>
        <v>0</v>
      </c>
      <c r="GF348" s="66"/>
      <c r="GG348" s="66"/>
      <c r="GH348" s="66"/>
      <c r="GI348" s="66"/>
      <c r="GJ348" s="77"/>
    </row>
    <row r="349" spans="1:192" ht="18.600000000000001" customHeight="1" x14ac:dyDescent="0.25">
      <c r="A349" s="89"/>
      <c r="B349" s="17"/>
      <c r="C349" s="50"/>
      <c r="D349" s="140"/>
      <c r="E349" s="51"/>
      <c r="F349" s="139">
        <f t="shared" si="198"/>
        <v>1</v>
      </c>
      <c r="G349" s="49"/>
      <c r="H349" s="50"/>
      <c r="I349" s="122"/>
      <c r="J349" s="49"/>
      <c r="K349" s="50"/>
      <c r="L349" s="50"/>
      <c r="M349" s="90"/>
      <c r="N349" s="50"/>
      <c r="O349" s="50"/>
      <c r="P349" s="90"/>
      <c r="Q349" s="52">
        <f t="shared" si="203"/>
        <v>0</v>
      </c>
      <c r="R349" s="52">
        <f t="shared" si="204"/>
        <v>0</v>
      </c>
      <c r="S349" s="53">
        <f t="shared" si="205"/>
        <v>0</v>
      </c>
      <c r="T349" s="54">
        <f t="shared" si="206"/>
        <v>0</v>
      </c>
      <c r="U349" s="115">
        <f>SUM(Tableau1[[#This Row],[Vente confiserie]:[Vente boisson]])</f>
        <v>0</v>
      </c>
      <c r="V349" s="95"/>
      <c r="W349" s="95"/>
      <c r="X349" s="136">
        <f>SUM(Tableau1[[#This Row],[Vente lunette]:[Location lunette]])</f>
        <v>0</v>
      </c>
      <c r="Y349" s="95"/>
      <c r="Z349" s="95"/>
      <c r="AA349" s="95"/>
      <c r="AB349" s="95"/>
      <c r="AC349" s="56">
        <f t="shared" si="235"/>
        <v>0</v>
      </c>
      <c r="AD349" s="57"/>
      <c r="AE349" s="57"/>
      <c r="AF349" s="57"/>
      <c r="AG349" s="57"/>
      <c r="AH349" s="57"/>
      <c r="AI349" s="57"/>
      <c r="AJ349" s="118">
        <f>(Tableau1[[#This Row],[Recette guichet ]]*1.1275177)-Tableau1[[#This Row],[Recette guichet ]]</f>
        <v>0</v>
      </c>
      <c r="AK349" s="57"/>
      <c r="AL349" s="56">
        <f t="shared" si="236"/>
        <v>0</v>
      </c>
      <c r="AM349" s="58"/>
      <c r="AN349" s="58"/>
      <c r="AO349" s="58"/>
      <c r="AP349" s="115">
        <f t="shared" si="207"/>
        <v>0</v>
      </c>
      <c r="AQ349" s="69"/>
      <c r="AR349" s="69"/>
      <c r="AS349" s="69"/>
      <c r="AT349" s="69"/>
      <c r="AU349" s="59">
        <f t="shared" si="208"/>
        <v>0</v>
      </c>
      <c r="AV349" s="60">
        <f t="shared" si="209"/>
        <v>0</v>
      </c>
      <c r="AW349" s="58"/>
      <c r="AX349" s="58"/>
      <c r="AY349" s="58"/>
      <c r="AZ349" s="60">
        <f t="shared" si="199"/>
        <v>0</v>
      </c>
      <c r="BA349" s="58"/>
      <c r="BB349" s="58"/>
      <c r="BC349" s="58"/>
      <c r="BD349" s="60">
        <f>SUM(Tableau1[[#This Row],[ticket/carte/abonnement périmé]:[Autres ou non précisé 5]])</f>
        <v>0</v>
      </c>
      <c r="BE349" s="58"/>
      <c r="BF349" s="58"/>
      <c r="BG349" s="58"/>
      <c r="BH349" s="61">
        <f t="shared" si="210"/>
        <v>0</v>
      </c>
      <c r="BI349" s="120"/>
      <c r="BJ349" s="120"/>
      <c r="BK349" s="62">
        <f t="shared" si="211"/>
        <v>0</v>
      </c>
      <c r="BL349" s="120"/>
      <c r="BM349" s="120"/>
      <c r="BN349" s="120"/>
      <c r="BO349" s="120"/>
      <c r="BP349" s="120"/>
      <c r="BQ349" s="63"/>
      <c r="BR349" s="52">
        <f t="shared" si="212"/>
        <v>0</v>
      </c>
      <c r="BS349" s="52">
        <f t="shared" si="213"/>
        <v>0</v>
      </c>
      <c r="BT349" s="61">
        <f t="shared" si="214"/>
        <v>0</v>
      </c>
      <c r="BU349" s="64">
        <f t="shared" si="215"/>
        <v>0</v>
      </c>
      <c r="BV349" s="119">
        <f>SUM(Tableau1[[#This Row],[Achats confiserie]:[Achats boisson]])</f>
        <v>0</v>
      </c>
      <c r="BW349" s="58"/>
      <c r="BX349" s="69"/>
      <c r="BY349" s="58"/>
      <c r="BZ349" s="56">
        <f t="shared" si="216"/>
        <v>0</v>
      </c>
      <c r="CA349" s="66"/>
      <c r="CB349" s="66"/>
      <c r="CC349" s="56">
        <f t="shared" si="217"/>
        <v>0</v>
      </c>
      <c r="CD349" s="55"/>
      <c r="CE349" s="65"/>
      <c r="CF349" s="55"/>
      <c r="CG349" s="55"/>
      <c r="CH349" s="67">
        <f t="shared" si="218"/>
        <v>0</v>
      </c>
      <c r="CI349" s="68">
        <f t="shared" si="234"/>
        <v>0</v>
      </c>
      <c r="CJ349" s="55"/>
      <c r="CK349" s="55"/>
      <c r="CL349" s="55"/>
      <c r="CM349" s="55"/>
      <c r="CN349" s="55"/>
      <c r="CO349" s="68">
        <f t="shared" si="219"/>
        <v>0</v>
      </c>
      <c r="CP349" s="75">
        <f>SUM(Tableau1[[#This Row],[Fourniture eau]:[Energie (non précisé)]])</f>
        <v>0</v>
      </c>
      <c r="CQ349" s="55"/>
      <c r="CR349" s="55"/>
      <c r="CS349" s="55"/>
      <c r="CT349" s="55"/>
      <c r="CU349" s="55"/>
      <c r="CV349" s="55">
        <v>0</v>
      </c>
      <c r="CW349" s="55"/>
      <c r="CX349" s="68">
        <f>SUM(Tableau1[[#This Row],[Sous-traitance]:[Autres ou non précisé 12]])</f>
        <v>0</v>
      </c>
      <c r="CY349" s="65"/>
      <c r="CZ349" s="65"/>
      <c r="DA349" s="65"/>
      <c r="DB349" s="65"/>
      <c r="DC349" s="55"/>
      <c r="DD349" s="68">
        <f t="shared" si="200"/>
        <v>0</v>
      </c>
      <c r="DE349" s="55"/>
      <c r="DF349" s="65"/>
      <c r="DG349" s="65"/>
      <c r="DH349" s="65"/>
      <c r="DI349" s="68">
        <f>SUM(Tableau1[[#This Row],[Entretien et réparation matériel de projection]:[Autres ou non précisé 14]])</f>
        <v>0</v>
      </c>
      <c r="DJ349" s="58"/>
      <c r="DK349" s="58"/>
      <c r="DL349" s="69"/>
      <c r="DM349" s="68">
        <f t="shared" si="220"/>
        <v>0</v>
      </c>
      <c r="DN349" s="58"/>
      <c r="DO349" s="58"/>
      <c r="DP349" s="68">
        <f t="shared" si="221"/>
        <v>0</v>
      </c>
      <c r="DQ349" s="65"/>
      <c r="DR349" s="65"/>
      <c r="DS349" s="68">
        <f t="shared" si="222"/>
        <v>0</v>
      </c>
      <c r="DT349" s="65"/>
      <c r="DU349" s="65"/>
      <c r="DV349" s="65"/>
      <c r="DW349" s="68">
        <f>SUM(Tableau1[[#This Row],[Comission et courtage sur achats]:[Autres ou honoraires
 non précisé ]])</f>
        <v>0</v>
      </c>
      <c r="DX349" s="57"/>
      <c r="DY349" s="57"/>
      <c r="DZ349" s="65"/>
      <c r="EA349" s="65"/>
      <c r="EB349" s="65"/>
      <c r="EC349" s="68">
        <f t="shared" si="223"/>
        <v>0</v>
      </c>
      <c r="ED349" s="69"/>
      <c r="EE349" s="69"/>
      <c r="EF349" s="69"/>
      <c r="EG349" s="69"/>
      <c r="EH349" s="69"/>
      <c r="EI349" s="84">
        <f>SUM(Tableau1[[#This Row],[Transports sur films]:[autres ]])</f>
        <v>0</v>
      </c>
      <c r="EJ349" s="132">
        <v>0</v>
      </c>
      <c r="EK349" s="132"/>
      <c r="EL349" s="68">
        <f t="shared" si="224"/>
        <v>0</v>
      </c>
      <c r="EM349" s="65"/>
      <c r="EN349" s="65">
        <v>0</v>
      </c>
      <c r="EO349" s="65"/>
      <c r="EP349" s="65"/>
      <c r="EQ349" s="65"/>
      <c r="ER349" s="65"/>
      <c r="ES349" s="65"/>
      <c r="ET349" s="68">
        <f t="shared" si="225"/>
        <v>0</v>
      </c>
      <c r="EU349" s="65"/>
      <c r="EV349" s="65"/>
      <c r="EW349" s="65"/>
      <c r="EX349" s="65"/>
      <c r="EY349" s="65"/>
      <c r="EZ349" s="68">
        <f t="shared" si="202"/>
        <v>0</v>
      </c>
      <c r="FA349" s="65"/>
      <c r="FB349" s="65"/>
      <c r="FC349" s="70">
        <f t="shared" si="201"/>
        <v>0</v>
      </c>
      <c r="FD349" s="65"/>
      <c r="FE349" s="71">
        <f t="shared" si="226"/>
        <v>0</v>
      </c>
      <c r="FF349" s="72">
        <f t="shared" si="227"/>
        <v>0</v>
      </c>
      <c r="FG349" s="65"/>
      <c r="FH349" s="65"/>
      <c r="FI349" s="65"/>
      <c r="FJ349" s="56">
        <f t="shared" si="228"/>
        <v>0</v>
      </c>
      <c r="FK349" s="65"/>
      <c r="FL349" s="65"/>
      <c r="FM349" s="65"/>
      <c r="FN349" s="65"/>
      <c r="FO349" s="67">
        <f t="shared" si="229"/>
        <v>0</v>
      </c>
      <c r="FP349" s="57"/>
      <c r="FQ349" s="73"/>
      <c r="FR349" s="73"/>
      <c r="FS349" s="71">
        <f t="shared" si="230"/>
        <v>0</v>
      </c>
      <c r="FT349" s="91"/>
      <c r="FU349" s="91"/>
      <c r="FV349" s="67">
        <f>SUM(Tableau1[[#This Row],[Droits d''auteurs SACEM + cotisations SACEM]:[Autres ou non préciés]])</f>
        <v>0</v>
      </c>
      <c r="FW349" s="75">
        <f t="shared" si="231"/>
        <v>0</v>
      </c>
      <c r="FX349" s="74">
        <v>0</v>
      </c>
      <c r="FY349" s="74"/>
      <c r="FZ349" s="74"/>
      <c r="GA349" s="74"/>
      <c r="GB349" s="71">
        <f t="shared" si="232"/>
        <v>0</v>
      </c>
      <c r="GC349" s="92"/>
      <c r="GD349" s="92"/>
      <c r="GE349" s="67">
        <f t="shared" si="233"/>
        <v>0</v>
      </c>
      <c r="GF349" s="66"/>
      <c r="GG349" s="66"/>
      <c r="GH349" s="66"/>
      <c r="GI349" s="66"/>
      <c r="GJ349" s="77"/>
    </row>
    <row r="350" spans="1:192" ht="18.600000000000001" customHeight="1" x14ac:dyDescent="0.25">
      <c r="A350" s="89"/>
      <c r="B350" s="17"/>
      <c r="C350" s="50"/>
      <c r="D350" s="140"/>
      <c r="E350" s="51"/>
      <c r="F350" s="139">
        <f t="shared" si="198"/>
        <v>1</v>
      </c>
      <c r="G350" s="49"/>
      <c r="H350" s="50"/>
      <c r="I350" s="122"/>
      <c r="J350" s="49"/>
      <c r="K350" s="50"/>
      <c r="L350" s="50"/>
      <c r="M350" s="90"/>
      <c r="N350" s="50"/>
      <c r="O350" s="50"/>
      <c r="P350" s="90"/>
      <c r="Q350" s="52">
        <f t="shared" si="203"/>
        <v>0</v>
      </c>
      <c r="R350" s="52">
        <f t="shared" si="204"/>
        <v>0</v>
      </c>
      <c r="S350" s="53">
        <f t="shared" si="205"/>
        <v>0</v>
      </c>
      <c r="T350" s="54">
        <f t="shared" si="206"/>
        <v>0</v>
      </c>
      <c r="U350" s="115">
        <f>SUM(Tableau1[[#This Row],[Vente confiserie]:[Vente boisson]])</f>
        <v>0</v>
      </c>
      <c r="V350" s="95"/>
      <c r="W350" s="95"/>
      <c r="X350" s="136">
        <f>SUM(Tableau1[[#This Row],[Vente lunette]:[Location lunette]])</f>
        <v>0</v>
      </c>
      <c r="Y350" s="95"/>
      <c r="Z350" s="95"/>
      <c r="AA350" s="95"/>
      <c r="AB350" s="95"/>
      <c r="AC350" s="56">
        <f t="shared" si="235"/>
        <v>0</v>
      </c>
      <c r="AD350" s="57"/>
      <c r="AE350" s="57"/>
      <c r="AF350" s="57"/>
      <c r="AG350" s="57"/>
      <c r="AH350" s="57"/>
      <c r="AI350" s="57"/>
      <c r="AJ350" s="118">
        <f>(Tableau1[[#This Row],[Recette guichet ]]*1.1275177)-Tableau1[[#This Row],[Recette guichet ]]</f>
        <v>0</v>
      </c>
      <c r="AK350" s="57"/>
      <c r="AL350" s="56">
        <f t="shared" si="236"/>
        <v>0</v>
      </c>
      <c r="AM350" s="58"/>
      <c r="AN350" s="58"/>
      <c r="AO350" s="58"/>
      <c r="AP350" s="115">
        <f t="shared" si="207"/>
        <v>0</v>
      </c>
      <c r="AQ350" s="69"/>
      <c r="AR350" s="69"/>
      <c r="AS350" s="69"/>
      <c r="AT350" s="69"/>
      <c r="AU350" s="59">
        <f t="shared" si="208"/>
        <v>0</v>
      </c>
      <c r="AV350" s="60">
        <f t="shared" si="209"/>
        <v>0</v>
      </c>
      <c r="AW350" s="58"/>
      <c r="AX350" s="58"/>
      <c r="AY350" s="58"/>
      <c r="AZ350" s="60">
        <f t="shared" si="199"/>
        <v>0</v>
      </c>
      <c r="BA350" s="58"/>
      <c r="BB350" s="58"/>
      <c r="BC350" s="58"/>
      <c r="BD350" s="60">
        <f>SUM(Tableau1[[#This Row],[ticket/carte/abonnement périmé]:[Autres ou non précisé 5]])</f>
        <v>0</v>
      </c>
      <c r="BE350" s="58"/>
      <c r="BF350" s="58"/>
      <c r="BG350" s="58"/>
      <c r="BH350" s="61">
        <f t="shared" si="210"/>
        <v>0</v>
      </c>
      <c r="BI350" s="120"/>
      <c r="BJ350" s="120"/>
      <c r="BK350" s="62">
        <f t="shared" si="211"/>
        <v>0</v>
      </c>
      <c r="BL350" s="120"/>
      <c r="BM350" s="120"/>
      <c r="BN350" s="120"/>
      <c r="BO350" s="120"/>
      <c r="BP350" s="120"/>
      <c r="BQ350" s="63"/>
      <c r="BR350" s="52">
        <f t="shared" si="212"/>
        <v>0</v>
      </c>
      <c r="BS350" s="52">
        <f t="shared" si="213"/>
        <v>0</v>
      </c>
      <c r="BT350" s="61">
        <f t="shared" si="214"/>
        <v>0</v>
      </c>
      <c r="BU350" s="64">
        <f t="shared" si="215"/>
        <v>0</v>
      </c>
      <c r="BV350" s="119">
        <f>SUM(Tableau1[[#This Row],[Achats confiserie]:[Achats boisson]])</f>
        <v>0</v>
      </c>
      <c r="BW350" s="58"/>
      <c r="BX350" s="69"/>
      <c r="BY350" s="58"/>
      <c r="BZ350" s="56">
        <f t="shared" si="216"/>
        <v>0</v>
      </c>
      <c r="CA350" s="66"/>
      <c r="CB350" s="66"/>
      <c r="CC350" s="56">
        <f t="shared" si="217"/>
        <v>0</v>
      </c>
      <c r="CD350" s="55"/>
      <c r="CE350" s="65"/>
      <c r="CF350" s="55"/>
      <c r="CG350" s="55"/>
      <c r="CH350" s="67">
        <f t="shared" si="218"/>
        <v>0</v>
      </c>
      <c r="CI350" s="68">
        <f t="shared" si="234"/>
        <v>0</v>
      </c>
      <c r="CJ350" s="55"/>
      <c r="CK350" s="55"/>
      <c r="CL350" s="55"/>
      <c r="CM350" s="55"/>
      <c r="CN350" s="55"/>
      <c r="CO350" s="68">
        <f t="shared" si="219"/>
        <v>0</v>
      </c>
      <c r="CP350" s="75">
        <f>SUM(Tableau1[[#This Row],[Fourniture eau]:[Energie (non précisé)]])</f>
        <v>0</v>
      </c>
      <c r="CQ350" s="55"/>
      <c r="CR350" s="55"/>
      <c r="CS350" s="55"/>
      <c r="CT350" s="55"/>
      <c r="CU350" s="55"/>
      <c r="CV350" s="55">
        <v>0</v>
      </c>
      <c r="CW350" s="55"/>
      <c r="CX350" s="68">
        <f>SUM(Tableau1[[#This Row],[Sous-traitance]:[Autres ou non précisé 12]])</f>
        <v>0</v>
      </c>
      <c r="CY350" s="65"/>
      <c r="CZ350" s="65"/>
      <c r="DA350" s="65"/>
      <c r="DB350" s="65"/>
      <c r="DC350" s="55"/>
      <c r="DD350" s="68">
        <f t="shared" si="200"/>
        <v>0</v>
      </c>
      <c r="DE350" s="55"/>
      <c r="DF350" s="65"/>
      <c r="DG350" s="65"/>
      <c r="DH350" s="65"/>
      <c r="DI350" s="68">
        <f>SUM(Tableau1[[#This Row],[Entretien et réparation matériel de projection]:[Autres ou non précisé 14]])</f>
        <v>0</v>
      </c>
      <c r="DJ350" s="58"/>
      <c r="DK350" s="58"/>
      <c r="DL350" s="69"/>
      <c r="DM350" s="68">
        <f t="shared" si="220"/>
        <v>0</v>
      </c>
      <c r="DN350" s="58"/>
      <c r="DO350" s="58"/>
      <c r="DP350" s="68">
        <f t="shared" si="221"/>
        <v>0</v>
      </c>
      <c r="DQ350" s="65"/>
      <c r="DR350" s="65"/>
      <c r="DS350" s="68">
        <f t="shared" si="222"/>
        <v>0</v>
      </c>
      <c r="DT350" s="65"/>
      <c r="DU350" s="65"/>
      <c r="DV350" s="65"/>
      <c r="DW350" s="68">
        <f>SUM(Tableau1[[#This Row],[Comission et courtage sur achats]:[Autres ou honoraires
 non précisé ]])</f>
        <v>0</v>
      </c>
      <c r="DX350" s="57"/>
      <c r="DY350" s="57"/>
      <c r="DZ350" s="65"/>
      <c r="EA350" s="65"/>
      <c r="EB350" s="65"/>
      <c r="EC350" s="68">
        <f t="shared" si="223"/>
        <v>0</v>
      </c>
      <c r="ED350" s="69"/>
      <c r="EE350" s="69"/>
      <c r="EF350" s="69"/>
      <c r="EG350" s="69"/>
      <c r="EH350" s="69"/>
      <c r="EI350" s="84">
        <f>SUM(Tableau1[[#This Row],[Transports sur films]:[autres ]])</f>
        <v>0</v>
      </c>
      <c r="EJ350" s="132">
        <v>0</v>
      </c>
      <c r="EK350" s="132"/>
      <c r="EL350" s="68">
        <f t="shared" si="224"/>
        <v>0</v>
      </c>
      <c r="EM350" s="65"/>
      <c r="EN350" s="65">
        <v>0</v>
      </c>
      <c r="EO350" s="65"/>
      <c r="EP350" s="65"/>
      <c r="EQ350" s="65"/>
      <c r="ER350" s="65"/>
      <c r="ES350" s="65"/>
      <c r="ET350" s="68">
        <f t="shared" si="225"/>
        <v>0</v>
      </c>
      <c r="EU350" s="65"/>
      <c r="EV350" s="65"/>
      <c r="EW350" s="65"/>
      <c r="EX350" s="65"/>
      <c r="EY350" s="65"/>
      <c r="EZ350" s="68">
        <f t="shared" si="202"/>
        <v>0</v>
      </c>
      <c r="FA350" s="65"/>
      <c r="FB350" s="65"/>
      <c r="FC350" s="70">
        <f t="shared" si="201"/>
        <v>0</v>
      </c>
      <c r="FD350" s="65"/>
      <c r="FE350" s="71">
        <f t="shared" si="226"/>
        <v>0</v>
      </c>
      <c r="FF350" s="72">
        <f t="shared" si="227"/>
        <v>0</v>
      </c>
      <c r="FG350" s="65"/>
      <c r="FH350" s="65"/>
      <c r="FI350" s="65"/>
      <c r="FJ350" s="56">
        <f t="shared" si="228"/>
        <v>0</v>
      </c>
      <c r="FK350" s="65"/>
      <c r="FL350" s="65"/>
      <c r="FM350" s="65"/>
      <c r="FN350" s="65"/>
      <c r="FO350" s="67">
        <f t="shared" si="229"/>
        <v>0</v>
      </c>
      <c r="FP350" s="57"/>
      <c r="FQ350" s="73"/>
      <c r="FR350" s="73"/>
      <c r="FS350" s="71">
        <f t="shared" si="230"/>
        <v>0</v>
      </c>
      <c r="FT350" s="91"/>
      <c r="FU350" s="91"/>
      <c r="FV350" s="67">
        <f>SUM(Tableau1[[#This Row],[Droits d''auteurs SACEM + cotisations SACEM]:[Autres ou non préciés]])</f>
        <v>0</v>
      </c>
      <c r="FW350" s="75">
        <f t="shared" si="231"/>
        <v>0</v>
      </c>
      <c r="FX350" s="74">
        <v>0</v>
      </c>
      <c r="FY350" s="74"/>
      <c r="FZ350" s="74"/>
      <c r="GA350" s="74"/>
      <c r="GB350" s="71">
        <f t="shared" si="232"/>
        <v>0</v>
      </c>
      <c r="GC350" s="92"/>
      <c r="GD350" s="92"/>
      <c r="GE350" s="67">
        <f t="shared" si="233"/>
        <v>0</v>
      </c>
      <c r="GF350" s="66"/>
      <c r="GG350" s="66"/>
      <c r="GH350" s="66"/>
      <c r="GI350" s="66"/>
      <c r="GJ350" s="77"/>
    </row>
    <row r="351" spans="1:192" ht="18.600000000000001" customHeight="1" x14ac:dyDescent="0.25">
      <c r="A351" s="89"/>
      <c r="B351" s="17"/>
      <c r="C351" s="50"/>
      <c r="D351" s="140"/>
      <c r="E351" s="51"/>
      <c r="F351" s="139">
        <f t="shared" si="198"/>
        <v>1</v>
      </c>
      <c r="G351" s="49"/>
      <c r="H351" s="50"/>
      <c r="I351" s="122"/>
      <c r="J351" s="49"/>
      <c r="K351" s="50"/>
      <c r="L351" s="50"/>
      <c r="M351" s="90"/>
      <c r="N351" s="50"/>
      <c r="O351" s="50"/>
      <c r="P351" s="90"/>
      <c r="Q351" s="52">
        <f t="shared" si="203"/>
        <v>0</v>
      </c>
      <c r="R351" s="52">
        <f t="shared" si="204"/>
        <v>0</v>
      </c>
      <c r="S351" s="53">
        <f t="shared" si="205"/>
        <v>0</v>
      </c>
      <c r="T351" s="54">
        <f t="shared" si="206"/>
        <v>0</v>
      </c>
      <c r="U351" s="115">
        <f>SUM(Tableau1[[#This Row],[Vente confiserie]:[Vente boisson]])</f>
        <v>0</v>
      </c>
      <c r="V351" s="95"/>
      <c r="W351" s="95"/>
      <c r="X351" s="136">
        <f>SUM(Tableau1[[#This Row],[Vente lunette]:[Location lunette]])</f>
        <v>0</v>
      </c>
      <c r="Y351" s="95"/>
      <c r="Z351" s="95"/>
      <c r="AA351" s="95"/>
      <c r="AB351" s="95"/>
      <c r="AC351" s="56">
        <f t="shared" si="235"/>
        <v>0</v>
      </c>
      <c r="AD351" s="57"/>
      <c r="AE351" s="57"/>
      <c r="AF351" s="57"/>
      <c r="AG351" s="57"/>
      <c r="AH351" s="57"/>
      <c r="AI351" s="57"/>
      <c r="AJ351" s="118">
        <f>(Tableau1[[#This Row],[Recette guichet ]]*1.1275177)-Tableau1[[#This Row],[Recette guichet ]]</f>
        <v>0</v>
      </c>
      <c r="AK351" s="57"/>
      <c r="AL351" s="56">
        <f t="shared" si="236"/>
        <v>0</v>
      </c>
      <c r="AM351" s="58"/>
      <c r="AN351" s="58"/>
      <c r="AO351" s="58"/>
      <c r="AP351" s="115">
        <f t="shared" si="207"/>
        <v>0</v>
      </c>
      <c r="AQ351" s="69"/>
      <c r="AR351" s="69"/>
      <c r="AS351" s="69"/>
      <c r="AT351" s="69"/>
      <c r="AU351" s="59">
        <f t="shared" si="208"/>
        <v>0</v>
      </c>
      <c r="AV351" s="60">
        <f t="shared" si="209"/>
        <v>0</v>
      </c>
      <c r="AW351" s="58"/>
      <c r="AX351" s="58"/>
      <c r="AY351" s="58"/>
      <c r="AZ351" s="60">
        <f t="shared" si="199"/>
        <v>0</v>
      </c>
      <c r="BA351" s="58"/>
      <c r="BB351" s="58"/>
      <c r="BC351" s="58"/>
      <c r="BD351" s="60">
        <f>SUM(Tableau1[[#This Row],[ticket/carte/abonnement périmé]:[Autres ou non précisé 5]])</f>
        <v>0</v>
      </c>
      <c r="BE351" s="58"/>
      <c r="BF351" s="58"/>
      <c r="BG351" s="58"/>
      <c r="BH351" s="61">
        <f t="shared" si="210"/>
        <v>0</v>
      </c>
      <c r="BI351" s="120"/>
      <c r="BJ351" s="120"/>
      <c r="BK351" s="62">
        <f t="shared" si="211"/>
        <v>0</v>
      </c>
      <c r="BL351" s="120"/>
      <c r="BM351" s="120"/>
      <c r="BN351" s="120"/>
      <c r="BO351" s="120"/>
      <c r="BP351" s="120"/>
      <c r="BQ351" s="63"/>
      <c r="BR351" s="52">
        <f t="shared" si="212"/>
        <v>0</v>
      </c>
      <c r="BS351" s="52">
        <f t="shared" si="213"/>
        <v>0</v>
      </c>
      <c r="BT351" s="61">
        <f t="shared" si="214"/>
        <v>0</v>
      </c>
      <c r="BU351" s="64">
        <f t="shared" si="215"/>
        <v>0</v>
      </c>
      <c r="BV351" s="119">
        <f>SUM(Tableau1[[#This Row],[Achats confiserie]:[Achats boisson]])</f>
        <v>0</v>
      </c>
      <c r="BW351" s="58"/>
      <c r="BX351" s="69"/>
      <c r="BY351" s="58"/>
      <c r="BZ351" s="56">
        <f t="shared" si="216"/>
        <v>0</v>
      </c>
      <c r="CA351" s="66"/>
      <c r="CB351" s="66"/>
      <c r="CC351" s="56">
        <f t="shared" si="217"/>
        <v>0</v>
      </c>
      <c r="CD351" s="55"/>
      <c r="CE351" s="65"/>
      <c r="CF351" s="55"/>
      <c r="CG351" s="55"/>
      <c r="CH351" s="67">
        <f t="shared" si="218"/>
        <v>0</v>
      </c>
      <c r="CI351" s="68">
        <f t="shared" si="234"/>
        <v>0</v>
      </c>
      <c r="CJ351" s="55"/>
      <c r="CK351" s="55"/>
      <c r="CL351" s="55"/>
      <c r="CM351" s="55"/>
      <c r="CN351" s="55"/>
      <c r="CO351" s="68">
        <f t="shared" si="219"/>
        <v>0</v>
      </c>
      <c r="CP351" s="75">
        <f>SUM(Tableau1[[#This Row],[Fourniture eau]:[Energie (non précisé)]])</f>
        <v>0</v>
      </c>
      <c r="CQ351" s="55"/>
      <c r="CR351" s="55"/>
      <c r="CS351" s="55"/>
      <c r="CT351" s="55"/>
      <c r="CU351" s="55"/>
      <c r="CV351" s="55">
        <v>0</v>
      </c>
      <c r="CW351" s="55"/>
      <c r="CX351" s="68">
        <f>SUM(Tableau1[[#This Row],[Sous-traitance]:[Autres ou non précisé 12]])</f>
        <v>0</v>
      </c>
      <c r="CY351" s="65"/>
      <c r="CZ351" s="65"/>
      <c r="DA351" s="65"/>
      <c r="DB351" s="65"/>
      <c r="DC351" s="55"/>
      <c r="DD351" s="68">
        <f t="shared" si="200"/>
        <v>0</v>
      </c>
      <c r="DE351" s="55"/>
      <c r="DF351" s="65"/>
      <c r="DG351" s="65"/>
      <c r="DH351" s="65"/>
      <c r="DI351" s="68">
        <f>SUM(Tableau1[[#This Row],[Entretien et réparation matériel de projection]:[Autres ou non précisé 14]])</f>
        <v>0</v>
      </c>
      <c r="DJ351" s="58"/>
      <c r="DK351" s="58"/>
      <c r="DL351" s="69"/>
      <c r="DM351" s="68">
        <f t="shared" si="220"/>
        <v>0</v>
      </c>
      <c r="DN351" s="58"/>
      <c r="DO351" s="58"/>
      <c r="DP351" s="68">
        <f t="shared" si="221"/>
        <v>0</v>
      </c>
      <c r="DQ351" s="65"/>
      <c r="DR351" s="65"/>
      <c r="DS351" s="68">
        <f t="shared" si="222"/>
        <v>0</v>
      </c>
      <c r="DT351" s="65"/>
      <c r="DU351" s="65"/>
      <c r="DV351" s="65"/>
      <c r="DW351" s="68">
        <f>SUM(Tableau1[[#This Row],[Comission et courtage sur achats]:[Autres ou honoraires
 non précisé ]])</f>
        <v>0</v>
      </c>
      <c r="DX351" s="57"/>
      <c r="DY351" s="57"/>
      <c r="DZ351" s="65"/>
      <c r="EA351" s="65"/>
      <c r="EB351" s="65"/>
      <c r="EC351" s="68">
        <f t="shared" si="223"/>
        <v>0</v>
      </c>
      <c r="ED351" s="69"/>
      <c r="EE351" s="69"/>
      <c r="EF351" s="69"/>
      <c r="EG351" s="69"/>
      <c r="EH351" s="69"/>
      <c r="EI351" s="84">
        <f>SUM(Tableau1[[#This Row],[Transports sur films]:[autres ]])</f>
        <v>0</v>
      </c>
      <c r="EJ351" s="132">
        <v>0</v>
      </c>
      <c r="EK351" s="132"/>
      <c r="EL351" s="68">
        <f t="shared" si="224"/>
        <v>0</v>
      </c>
      <c r="EM351" s="65"/>
      <c r="EN351" s="65">
        <v>0</v>
      </c>
      <c r="EO351" s="65"/>
      <c r="EP351" s="65"/>
      <c r="EQ351" s="65"/>
      <c r="ER351" s="65"/>
      <c r="ES351" s="65"/>
      <c r="ET351" s="68">
        <f t="shared" si="225"/>
        <v>0</v>
      </c>
      <c r="EU351" s="65"/>
      <c r="EV351" s="65"/>
      <c r="EW351" s="65"/>
      <c r="EX351" s="65"/>
      <c r="EY351" s="65"/>
      <c r="EZ351" s="68">
        <f t="shared" si="202"/>
        <v>0</v>
      </c>
      <c r="FA351" s="65"/>
      <c r="FB351" s="65"/>
      <c r="FC351" s="70">
        <f t="shared" si="201"/>
        <v>0</v>
      </c>
      <c r="FD351" s="65"/>
      <c r="FE351" s="71">
        <f t="shared" si="226"/>
        <v>0</v>
      </c>
      <c r="FF351" s="72">
        <f t="shared" si="227"/>
        <v>0</v>
      </c>
      <c r="FG351" s="65"/>
      <c r="FH351" s="65"/>
      <c r="FI351" s="65"/>
      <c r="FJ351" s="56">
        <f t="shared" si="228"/>
        <v>0</v>
      </c>
      <c r="FK351" s="65"/>
      <c r="FL351" s="65"/>
      <c r="FM351" s="65"/>
      <c r="FN351" s="65"/>
      <c r="FO351" s="67">
        <f t="shared" si="229"/>
        <v>0</v>
      </c>
      <c r="FP351" s="57"/>
      <c r="FQ351" s="73"/>
      <c r="FR351" s="73"/>
      <c r="FS351" s="71">
        <f t="shared" si="230"/>
        <v>0</v>
      </c>
      <c r="FT351" s="91"/>
      <c r="FU351" s="91"/>
      <c r="FV351" s="67">
        <f>SUM(Tableau1[[#This Row],[Droits d''auteurs SACEM + cotisations SACEM]:[Autres ou non préciés]])</f>
        <v>0</v>
      </c>
      <c r="FW351" s="75">
        <f t="shared" si="231"/>
        <v>0</v>
      </c>
      <c r="FX351" s="74">
        <v>0</v>
      </c>
      <c r="FY351" s="74"/>
      <c r="FZ351" s="74"/>
      <c r="GA351" s="74"/>
      <c r="GB351" s="71">
        <f t="shared" si="232"/>
        <v>0</v>
      </c>
      <c r="GC351" s="92"/>
      <c r="GD351" s="92"/>
      <c r="GE351" s="67">
        <f t="shared" si="233"/>
        <v>0</v>
      </c>
      <c r="GF351" s="66"/>
      <c r="GG351" s="66"/>
      <c r="GH351" s="66"/>
      <c r="GI351" s="66"/>
      <c r="GJ351" s="77"/>
    </row>
    <row r="352" spans="1:192" ht="18.600000000000001" customHeight="1" x14ac:dyDescent="0.25">
      <c r="A352" s="89"/>
      <c r="B352" s="17"/>
      <c r="C352" s="50"/>
      <c r="D352" s="140"/>
      <c r="E352" s="51"/>
      <c r="F352" s="139">
        <f t="shared" si="198"/>
        <v>1</v>
      </c>
      <c r="G352" s="49"/>
      <c r="H352" s="50"/>
      <c r="I352" s="122"/>
      <c r="J352" s="49"/>
      <c r="K352" s="50"/>
      <c r="L352" s="50"/>
      <c r="M352" s="90"/>
      <c r="N352" s="50"/>
      <c r="O352" s="50"/>
      <c r="P352" s="90"/>
      <c r="Q352" s="52">
        <f t="shared" si="203"/>
        <v>0</v>
      </c>
      <c r="R352" s="52">
        <f t="shared" si="204"/>
        <v>0</v>
      </c>
      <c r="S352" s="53">
        <f t="shared" si="205"/>
        <v>0</v>
      </c>
      <c r="T352" s="54">
        <f t="shared" si="206"/>
        <v>0</v>
      </c>
      <c r="U352" s="115">
        <f>SUM(Tableau1[[#This Row],[Vente confiserie]:[Vente boisson]])</f>
        <v>0</v>
      </c>
      <c r="V352" s="95"/>
      <c r="W352" s="95"/>
      <c r="X352" s="136">
        <f>SUM(Tableau1[[#This Row],[Vente lunette]:[Location lunette]])</f>
        <v>0</v>
      </c>
      <c r="Y352" s="95"/>
      <c r="Z352" s="95"/>
      <c r="AA352" s="95"/>
      <c r="AB352" s="95"/>
      <c r="AC352" s="56">
        <f t="shared" si="235"/>
        <v>0</v>
      </c>
      <c r="AD352" s="57"/>
      <c r="AE352" s="57"/>
      <c r="AF352" s="57"/>
      <c r="AG352" s="57"/>
      <c r="AH352" s="57"/>
      <c r="AI352" s="57"/>
      <c r="AJ352" s="118">
        <f>(Tableau1[[#This Row],[Recette guichet ]]*1.1275177)-Tableau1[[#This Row],[Recette guichet ]]</f>
        <v>0</v>
      </c>
      <c r="AK352" s="57"/>
      <c r="AL352" s="56">
        <f t="shared" si="236"/>
        <v>0</v>
      </c>
      <c r="AM352" s="58"/>
      <c r="AN352" s="58"/>
      <c r="AO352" s="58"/>
      <c r="AP352" s="115">
        <f t="shared" si="207"/>
        <v>0</v>
      </c>
      <c r="AQ352" s="69"/>
      <c r="AR352" s="69"/>
      <c r="AS352" s="69"/>
      <c r="AT352" s="69"/>
      <c r="AU352" s="59">
        <f t="shared" si="208"/>
        <v>0</v>
      </c>
      <c r="AV352" s="60">
        <f t="shared" si="209"/>
        <v>0</v>
      </c>
      <c r="AW352" s="58"/>
      <c r="AX352" s="58"/>
      <c r="AY352" s="58"/>
      <c r="AZ352" s="60">
        <f t="shared" si="199"/>
        <v>0</v>
      </c>
      <c r="BA352" s="58"/>
      <c r="BB352" s="58"/>
      <c r="BC352" s="58"/>
      <c r="BD352" s="60">
        <f>SUM(Tableau1[[#This Row],[ticket/carte/abonnement périmé]:[Autres ou non précisé 5]])</f>
        <v>0</v>
      </c>
      <c r="BE352" s="58"/>
      <c r="BF352" s="58"/>
      <c r="BG352" s="58"/>
      <c r="BH352" s="61">
        <f t="shared" si="210"/>
        <v>0</v>
      </c>
      <c r="BI352" s="120"/>
      <c r="BJ352" s="120"/>
      <c r="BK352" s="62">
        <f t="shared" si="211"/>
        <v>0</v>
      </c>
      <c r="BL352" s="120"/>
      <c r="BM352" s="120"/>
      <c r="BN352" s="120"/>
      <c r="BO352" s="120"/>
      <c r="BP352" s="120"/>
      <c r="BQ352" s="63"/>
      <c r="BR352" s="52">
        <f t="shared" si="212"/>
        <v>0</v>
      </c>
      <c r="BS352" s="52">
        <f t="shared" si="213"/>
        <v>0</v>
      </c>
      <c r="BT352" s="61">
        <f t="shared" si="214"/>
        <v>0</v>
      </c>
      <c r="BU352" s="64">
        <f t="shared" si="215"/>
        <v>0</v>
      </c>
      <c r="BV352" s="119">
        <f>SUM(Tableau1[[#This Row],[Achats confiserie]:[Achats boisson]])</f>
        <v>0</v>
      </c>
      <c r="BW352" s="58"/>
      <c r="BX352" s="69"/>
      <c r="BY352" s="58"/>
      <c r="BZ352" s="56">
        <f t="shared" si="216"/>
        <v>0</v>
      </c>
      <c r="CA352" s="66"/>
      <c r="CB352" s="66"/>
      <c r="CC352" s="56">
        <f t="shared" si="217"/>
        <v>0</v>
      </c>
      <c r="CD352" s="55"/>
      <c r="CE352" s="65"/>
      <c r="CF352" s="55"/>
      <c r="CG352" s="55"/>
      <c r="CH352" s="67">
        <f t="shared" si="218"/>
        <v>0</v>
      </c>
      <c r="CI352" s="68">
        <f t="shared" si="234"/>
        <v>0</v>
      </c>
      <c r="CJ352" s="55"/>
      <c r="CK352" s="55"/>
      <c r="CL352" s="55"/>
      <c r="CM352" s="55"/>
      <c r="CN352" s="55"/>
      <c r="CO352" s="68">
        <f t="shared" si="219"/>
        <v>0</v>
      </c>
      <c r="CP352" s="75">
        <f>SUM(Tableau1[[#This Row],[Fourniture eau]:[Energie (non précisé)]])</f>
        <v>0</v>
      </c>
      <c r="CQ352" s="55"/>
      <c r="CR352" s="55"/>
      <c r="CS352" s="55"/>
      <c r="CT352" s="55"/>
      <c r="CU352" s="55"/>
      <c r="CV352" s="55">
        <v>0</v>
      </c>
      <c r="CW352" s="55"/>
      <c r="CX352" s="68">
        <f>SUM(Tableau1[[#This Row],[Sous-traitance]:[Autres ou non précisé 12]])</f>
        <v>0</v>
      </c>
      <c r="CY352" s="65"/>
      <c r="CZ352" s="65"/>
      <c r="DA352" s="65"/>
      <c r="DB352" s="65"/>
      <c r="DC352" s="55"/>
      <c r="DD352" s="68">
        <f t="shared" si="200"/>
        <v>0</v>
      </c>
      <c r="DE352" s="55"/>
      <c r="DF352" s="65"/>
      <c r="DG352" s="65"/>
      <c r="DH352" s="65"/>
      <c r="DI352" s="68">
        <f>SUM(Tableau1[[#This Row],[Entretien et réparation matériel de projection]:[Autres ou non précisé 14]])</f>
        <v>0</v>
      </c>
      <c r="DJ352" s="58"/>
      <c r="DK352" s="58"/>
      <c r="DL352" s="69"/>
      <c r="DM352" s="68">
        <f t="shared" si="220"/>
        <v>0</v>
      </c>
      <c r="DN352" s="58"/>
      <c r="DO352" s="58"/>
      <c r="DP352" s="68">
        <f t="shared" si="221"/>
        <v>0</v>
      </c>
      <c r="DQ352" s="65"/>
      <c r="DR352" s="65"/>
      <c r="DS352" s="68">
        <f t="shared" si="222"/>
        <v>0</v>
      </c>
      <c r="DT352" s="65"/>
      <c r="DU352" s="65"/>
      <c r="DV352" s="65"/>
      <c r="DW352" s="68">
        <f>SUM(Tableau1[[#This Row],[Comission et courtage sur achats]:[Autres ou honoraires
 non précisé ]])</f>
        <v>0</v>
      </c>
      <c r="DX352" s="57"/>
      <c r="DY352" s="57"/>
      <c r="DZ352" s="65"/>
      <c r="EA352" s="65"/>
      <c r="EB352" s="65"/>
      <c r="EC352" s="68">
        <f t="shared" si="223"/>
        <v>0</v>
      </c>
      <c r="ED352" s="69"/>
      <c r="EE352" s="69"/>
      <c r="EF352" s="69"/>
      <c r="EG352" s="69"/>
      <c r="EH352" s="69"/>
      <c r="EI352" s="84">
        <f>SUM(Tableau1[[#This Row],[Transports sur films]:[autres ]])</f>
        <v>0</v>
      </c>
      <c r="EJ352" s="132">
        <v>0</v>
      </c>
      <c r="EK352" s="132"/>
      <c r="EL352" s="68">
        <f t="shared" si="224"/>
        <v>0</v>
      </c>
      <c r="EM352" s="65"/>
      <c r="EN352" s="65">
        <v>0</v>
      </c>
      <c r="EO352" s="65"/>
      <c r="EP352" s="65"/>
      <c r="EQ352" s="65"/>
      <c r="ER352" s="65"/>
      <c r="ES352" s="65"/>
      <c r="ET352" s="68">
        <f t="shared" si="225"/>
        <v>0</v>
      </c>
      <c r="EU352" s="65"/>
      <c r="EV352" s="65"/>
      <c r="EW352" s="65"/>
      <c r="EX352" s="65"/>
      <c r="EY352" s="65"/>
      <c r="EZ352" s="68">
        <f t="shared" si="202"/>
        <v>0</v>
      </c>
      <c r="FA352" s="65"/>
      <c r="FB352" s="65"/>
      <c r="FC352" s="70">
        <f t="shared" si="201"/>
        <v>0</v>
      </c>
      <c r="FD352" s="65"/>
      <c r="FE352" s="71">
        <f t="shared" si="226"/>
        <v>0</v>
      </c>
      <c r="FF352" s="72">
        <f t="shared" si="227"/>
        <v>0</v>
      </c>
      <c r="FG352" s="65"/>
      <c r="FH352" s="65"/>
      <c r="FI352" s="65"/>
      <c r="FJ352" s="56">
        <f t="shared" si="228"/>
        <v>0</v>
      </c>
      <c r="FK352" s="65"/>
      <c r="FL352" s="65"/>
      <c r="FM352" s="65"/>
      <c r="FN352" s="65"/>
      <c r="FO352" s="67">
        <f t="shared" si="229"/>
        <v>0</v>
      </c>
      <c r="FP352" s="57"/>
      <c r="FQ352" s="73"/>
      <c r="FR352" s="73"/>
      <c r="FS352" s="71">
        <f t="shared" si="230"/>
        <v>0</v>
      </c>
      <c r="FT352" s="91"/>
      <c r="FU352" s="91"/>
      <c r="FV352" s="67">
        <f>SUM(Tableau1[[#This Row],[Droits d''auteurs SACEM + cotisations SACEM]:[Autres ou non préciés]])</f>
        <v>0</v>
      </c>
      <c r="FW352" s="75">
        <f t="shared" si="231"/>
        <v>0</v>
      </c>
      <c r="FX352" s="74">
        <v>0</v>
      </c>
      <c r="FY352" s="74"/>
      <c r="FZ352" s="74"/>
      <c r="GA352" s="74"/>
      <c r="GB352" s="71">
        <f t="shared" si="232"/>
        <v>0</v>
      </c>
      <c r="GC352" s="92"/>
      <c r="GD352" s="92"/>
      <c r="GE352" s="67">
        <f t="shared" si="233"/>
        <v>0</v>
      </c>
      <c r="GF352" s="66"/>
      <c r="GG352" s="66"/>
      <c r="GH352" s="66"/>
      <c r="GI352" s="66"/>
      <c r="GJ352" s="77"/>
    </row>
    <row r="353" spans="1:192" ht="18.600000000000001" customHeight="1" x14ac:dyDescent="0.25">
      <c r="A353" s="89"/>
      <c r="B353" s="17"/>
      <c r="C353" s="50"/>
      <c r="D353" s="140"/>
      <c r="E353" s="51"/>
      <c r="F353" s="139">
        <f t="shared" si="198"/>
        <v>1</v>
      </c>
      <c r="G353" s="49"/>
      <c r="H353" s="50"/>
      <c r="I353" s="122"/>
      <c r="J353" s="49"/>
      <c r="K353" s="50"/>
      <c r="L353" s="50"/>
      <c r="M353" s="90"/>
      <c r="N353" s="50"/>
      <c r="O353" s="50"/>
      <c r="P353" s="90"/>
      <c r="Q353" s="52">
        <f t="shared" si="203"/>
        <v>0</v>
      </c>
      <c r="R353" s="52">
        <f t="shared" si="204"/>
        <v>0</v>
      </c>
      <c r="S353" s="53">
        <f t="shared" si="205"/>
        <v>0</v>
      </c>
      <c r="T353" s="54">
        <f t="shared" si="206"/>
        <v>0</v>
      </c>
      <c r="U353" s="115">
        <f>SUM(Tableau1[[#This Row],[Vente confiserie]:[Vente boisson]])</f>
        <v>0</v>
      </c>
      <c r="V353" s="95"/>
      <c r="W353" s="95"/>
      <c r="X353" s="136">
        <f>SUM(Tableau1[[#This Row],[Vente lunette]:[Location lunette]])</f>
        <v>0</v>
      </c>
      <c r="Y353" s="95"/>
      <c r="Z353" s="95"/>
      <c r="AA353" s="95"/>
      <c r="AB353" s="95"/>
      <c r="AC353" s="56">
        <f t="shared" si="235"/>
        <v>0</v>
      </c>
      <c r="AD353" s="57"/>
      <c r="AE353" s="57"/>
      <c r="AF353" s="57"/>
      <c r="AG353" s="57"/>
      <c r="AH353" s="57"/>
      <c r="AI353" s="57"/>
      <c r="AJ353" s="118">
        <f>(Tableau1[[#This Row],[Recette guichet ]]*1.1275177)-Tableau1[[#This Row],[Recette guichet ]]</f>
        <v>0</v>
      </c>
      <c r="AK353" s="57"/>
      <c r="AL353" s="56">
        <f t="shared" si="236"/>
        <v>0</v>
      </c>
      <c r="AM353" s="58"/>
      <c r="AN353" s="58"/>
      <c r="AO353" s="58"/>
      <c r="AP353" s="115">
        <f t="shared" si="207"/>
        <v>0</v>
      </c>
      <c r="AQ353" s="69"/>
      <c r="AR353" s="69"/>
      <c r="AS353" s="69"/>
      <c r="AT353" s="69"/>
      <c r="AU353" s="59">
        <f t="shared" si="208"/>
        <v>0</v>
      </c>
      <c r="AV353" s="60">
        <f t="shared" si="209"/>
        <v>0</v>
      </c>
      <c r="AW353" s="58"/>
      <c r="AX353" s="58"/>
      <c r="AY353" s="58"/>
      <c r="AZ353" s="60">
        <f t="shared" si="199"/>
        <v>0</v>
      </c>
      <c r="BA353" s="58"/>
      <c r="BB353" s="58"/>
      <c r="BC353" s="58"/>
      <c r="BD353" s="60">
        <f>SUM(Tableau1[[#This Row],[ticket/carte/abonnement périmé]:[Autres ou non précisé 5]])</f>
        <v>0</v>
      </c>
      <c r="BE353" s="58"/>
      <c r="BF353" s="58"/>
      <c r="BG353" s="58"/>
      <c r="BH353" s="61">
        <f t="shared" si="210"/>
        <v>0</v>
      </c>
      <c r="BI353" s="120"/>
      <c r="BJ353" s="120"/>
      <c r="BK353" s="62">
        <f t="shared" si="211"/>
        <v>0</v>
      </c>
      <c r="BL353" s="120"/>
      <c r="BM353" s="120"/>
      <c r="BN353" s="120"/>
      <c r="BO353" s="120"/>
      <c r="BP353" s="120"/>
      <c r="BQ353" s="63"/>
      <c r="BR353" s="52">
        <f t="shared" si="212"/>
        <v>0</v>
      </c>
      <c r="BS353" s="52">
        <f t="shared" si="213"/>
        <v>0</v>
      </c>
      <c r="BT353" s="61">
        <f t="shared" si="214"/>
        <v>0</v>
      </c>
      <c r="BU353" s="64">
        <f t="shared" si="215"/>
        <v>0</v>
      </c>
      <c r="BV353" s="119">
        <f>SUM(Tableau1[[#This Row],[Achats confiserie]:[Achats boisson]])</f>
        <v>0</v>
      </c>
      <c r="BW353" s="58"/>
      <c r="BX353" s="69"/>
      <c r="BY353" s="58"/>
      <c r="BZ353" s="56">
        <f t="shared" si="216"/>
        <v>0</v>
      </c>
      <c r="CA353" s="66"/>
      <c r="CB353" s="66"/>
      <c r="CC353" s="56">
        <f t="shared" si="217"/>
        <v>0</v>
      </c>
      <c r="CD353" s="55"/>
      <c r="CE353" s="65"/>
      <c r="CF353" s="55"/>
      <c r="CG353" s="55"/>
      <c r="CH353" s="67">
        <f t="shared" si="218"/>
        <v>0</v>
      </c>
      <c r="CI353" s="68">
        <f t="shared" si="234"/>
        <v>0</v>
      </c>
      <c r="CJ353" s="55"/>
      <c r="CK353" s="55"/>
      <c r="CL353" s="55"/>
      <c r="CM353" s="55"/>
      <c r="CN353" s="55"/>
      <c r="CO353" s="68">
        <f t="shared" si="219"/>
        <v>0</v>
      </c>
      <c r="CP353" s="75">
        <f>SUM(Tableau1[[#This Row],[Fourniture eau]:[Energie (non précisé)]])</f>
        <v>0</v>
      </c>
      <c r="CQ353" s="55"/>
      <c r="CR353" s="55"/>
      <c r="CS353" s="55"/>
      <c r="CT353" s="55"/>
      <c r="CU353" s="55"/>
      <c r="CV353" s="55">
        <v>0</v>
      </c>
      <c r="CW353" s="55"/>
      <c r="CX353" s="68">
        <f>SUM(Tableau1[[#This Row],[Sous-traitance]:[Autres ou non précisé 12]])</f>
        <v>0</v>
      </c>
      <c r="CY353" s="65"/>
      <c r="CZ353" s="65"/>
      <c r="DA353" s="65"/>
      <c r="DB353" s="65"/>
      <c r="DC353" s="55"/>
      <c r="DD353" s="68">
        <f t="shared" si="200"/>
        <v>0</v>
      </c>
      <c r="DE353" s="55"/>
      <c r="DF353" s="65"/>
      <c r="DG353" s="65"/>
      <c r="DH353" s="65"/>
      <c r="DI353" s="68">
        <f>SUM(Tableau1[[#This Row],[Entretien et réparation matériel de projection]:[Autres ou non précisé 14]])</f>
        <v>0</v>
      </c>
      <c r="DJ353" s="58"/>
      <c r="DK353" s="58"/>
      <c r="DL353" s="69"/>
      <c r="DM353" s="68">
        <f t="shared" si="220"/>
        <v>0</v>
      </c>
      <c r="DN353" s="58"/>
      <c r="DO353" s="58"/>
      <c r="DP353" s="68">
        <f t="shared" si="221"/>
        <v>0</v>
      </c>
      <c r="DQ353" s="65"/>
      <c r="DR353" s="65"/>
      <c r="DS353" s="68">
        <f t="shared" si="222"/>
        <v>0</v>
      </c>
      <c r="DT353" s="65"/>
      <c r="DU353" s="65"/>
      <c r="DV353" s="65"/>
      <c r="DW353" s="68">
        <f>SUM(Tableau1[[#This Row],[Comission et courtage sur achats]:[Autres ou honoraires
 non précisé ]])</f>
        <v>0</v>
      </c>
      <c r="DX353" s="57"/>
      <c r="DY353" s="57"/>
      <c r="DZ353" s="65"/>
      <c r="EA353" s="65"/>
      <c r="EB353" s="65"/>
      <c r="EC353" s="68">
        <f t="shared" si="223"/>
        <v>0</v>
      </c>
      <c r="ED353" s="69"/>
      <c r="EE353" s="69"/>
      <c r="EF353" s="69"/>
      <c r="EG353" s="69"/>
      <c r="EH353" s="69"/>
      <c r="EI353" s="84">
        <f>SUM(Tableau1[[#This Row],[Transports sur films]:[autres ]])</f>
        <v>0</v>
      </c>
      <c r="EJ353" s="132">
        <v>0</v>
      </c>
      <c r="EK353" s="132"/>
      <c r="EL353" s="68">
        <f t="shared" si="224"/>
        <v>0</v>
      </c>
      <c r="EM353" s="65"/>
      <c r="EN353" s="65">
        <v>0</v>
      </c>
      <c r="EO353" s="65"/>
      <c r="EP353" s="65"/>
      <c r="EQ353" s="65"/>
      <c r="ER353" s="65"/>
      <c r="ES353" s="65"/>
      <c r="ET353" s="68">
        <f t="shared" si="225"/>
        <v>0</v>
      </c>
      <c r="EU353" s="65"/>
      <c r="EV353" s="65"/>
      <c r="EW353" s="65"/>
      <c r="EX353" s="65"/>
      <c r="EY353" s="65"/>
      <c r="EZ353" s="68">
        <f t="shared" si="202"/>
        <v>0</v>
      </c>
      <c r="FA353" s="65"/>
      <c r="FB353" s="65"/>
      <c r="FC353" s="70">
        <f t="shared" si="201"/>
        <v>0</v>
      </c>
      <c r="FD353" s="65"/>
      <c r="FE353" s="71">
        <f t="shared" si="226"/>
        <v>0</v>
      </c>
      <c r="FF353" s="72">
        <f t="shared" si="227"/>
        <v>0</v>
      </c>
      <c r="FG353" s="65"/>
      <c r="FH353" s="65"/>
      <c r="FI353" s="65"/>
      <c r="FJ353" s="56">
        <f t="shared" si="228"/>
        <v>0</v>
      </c>
      <c r="FK353" s="65"/>
      <c r="FL353" s="65"/>
      <c r="FM353" s="65"/>
      <c r="FN353" s="65"/>
      <c r="FO353" s="67">
        <f t="shared" si="229"/>
        <v>0</v>
      </c>
      <c r="FP353" s="57"/>
      <c r="FQ353" s="73"/>
      <c r="FR353" s="73"/>
      <c r="FS353" s="71">
        <f t="shared" si="230"/>
        <v>0</v>
      </c>
      <c r="FT353" s="91"/>
      <c r="FU353" s="91"/>
      <c r="FV353" s="67">
        <f>SUM(Tableau1[[#This Row],[Droits d''auteurs SACEM + cotisations SACEM]:[Autres ou non préciés]])</f>
        <v>0</v>
      </c>
      <c r="FW353" s="75">
        <f t="shared" si="231"/>
        <v>0</v>
      </c>
      <c r="FX353" s="74">
        <v>0</v>
      </c>
      <c r="FY353" s="74"/>
      <c r="FZ353" s="74"/>
      <c r="GA353" s="74"/>
      <c r="GB353" s="71">
        <f t="shared" si="232"/>
        <v>0</v>
      </c>
      <c r="GC353" s="92"/>
      <c r="GD353" s="92"/>
      <c r="GE353" s="67">
        <f t="shared" si="233"/>
        <v>0</v>
      </c>
      <c r="GF353" s="66"/>
      <c r="GG353" s="66"/>
      <c r="GH353" s="66"/>
      <c r="GI353" s="66"/>
      <c r="GJ353" s="77"/>
    </row>
    <row r="354" spans="1:192" ht="18.600000000000001" customHeight="1" x14ac:dyDescent="0.25">
      <c r="A354" s="89"/>
      <c r="B354" s="17"/>
      <c r="C354" s="50"/>
      <c r="D354" s="140"/>
      <c r="E354" s="51"/>
      <c r="F354" s="139">
        <f t="shared" si="198"/>
        <v>1</v>
      </c>
      <c r="G354" s="49"/>
      <c r="H354" s="50"/>
      <c r="I354" s="122"/>
      <c r="J354" s="49"/>
      <c r="K354" s="50"/>
      <c r="L354" s="50"/>
      <c r="M354" s="90"/>
      <c r="N354" s="50"/>
      <c r="O354" s="50"/>
      <c r="P354" s="90"/>
      <c r="Q354" s="52">
        <f t="shared" si="203"/>
        <v>0</v>
      </c>
      <c r="R354" s="52">
        <f t="shared" si="204"/>
        <v>0</v>
      </c>
      <c r="S354" s="53">
        <f t="shared" si="205"/>
        <v>0</v>
      </c>
      <c r="T354" s="54">
        <f t="shared" si="206"/>
        <v>0</v>
      </c>
      <c r="U354" s="115">
        <f>SUM(Tableau1[[#This Row],[Vente confiserie]:[Vente boisson]])</f>
        <v>0</v>
      </c>
      <c r="V354" s="95"/>
      <c r="W354" s="95"/>
      <c r="X354" s="136">
        <f>SUM(Tableau1[[#This Row],[Vente lunette]:[Location lunette]])</f>
        <v>0</v>
      </c>
      <c r="Y354" s="95"/>
      <c r="Z354" s="95"/>
      <c r="AA354" s="95"/>
      <c r="AB354" s="95"/>
      <c r="AC354" s="56">
        <f t="shared" si="235"/>
        <v>0</v>
      </c>
      <c r="AD354" s="57"/>
      <c r="AE354" s="57"/>
      <c r="AF354" s="57"/>
      <c r="AG354" s="57"/>
      <c r="AH354" s="57"/>
      <c r="AI354" s="57"/>
      <c r="AJ354" s="118">
        <f>(Tableau1[[#This Row],[Recette guichet ]]*1.1275177)-Tableau1[[#This Row],[Recette guichet ]]</f>
        <v>0</v>
      </c>
      <c r="AK354" s="57"/>
      <c r="AL354" s="56">
        <f t="shared" si="236"/>
        <v>0</v>
      </c>
      <c r="AM354" s="58"/>
      <c r="AN354" s="58"/>
      <c r="AO354" s="58"/>
      <c r="AP354" s="115">
        <f t="shared" si="207"/>
        <v>0</v>
      </c>
      <c r="AQ354" s="69"/>
      <c r="AR354" s="69"/>
      <c r="AS354" s="69"/>
      <c r="AT354" s="69"/>
      <c r="AU354" s="59">
        <f t="shared" si="208"/>
        <v>0</v>
      </c>
      <c r="AV354" s="60">
        <f t="shared" si="209"/>
        <v>0</v>
      </c>
      <c r="AW354" s="58"/>
      <c r="AX354" s="58"/>
      <c r="AY354" s="58"/>
      <c r="AZ354" s="60">
        <f t="shared" si="199"/>
        <v>0</v>
      </c>
      <c r="BA354" s="58"/>
      <c r="BB354" s="58"/>
      <c r="BC354" s="58"/>
      <c r="BD354" s="60">
        <f>SUM(Tableau1[[#This Row],[ticket/carte/abonnement périmé]:[Autres ou non précisé 5]])</f>
        <v>0</v>
      </c>
      <c r="BE354" s="58"/>
      <c r="BF354" s="58"/>
      <c r="BG354" s="58"/>
      <c r="BH354" s="61">
        <f t="shared" si="210"/>
        <v>0</v>
      </c>
      <c r="BI354" s="120"/>
      <c r="BJ354" s="120"/>
      <c r="BK354" s="62">
        <f t="shared" si="211"/>
        <v>0</v>
      </c>
      <c r="BL354" s="120"/>
      <c r="BM354" s="120"/>
      <c r="BN354" s="120"/>
      <c r="BO354" s="120"/>
      <c r="BP354" s="120"/>
      <c r="BQ354" s="63"/>
      <c r="BR354" s="52">
        <f t="shared" si="212"/>
        <v>0</v>
      </c>
      <c r="BS354" s="52">
        <f t="shared" si="213"/>
        <v>0</v>
      </c>
      <c r="BT354" s="61">
        <f t="shared" si="214"/>
        <v>0</v>
      </c>
      <c r="BU354" s="64">
        <f t="shared" si="215"/>
        <v>0</v>
      </c>
      <c r="BV354" s="119">
        <f>SUM(Tableau1[[#This Row],[Achats confiserie]:[Achats boisson]])</f>
        <v>0</v>
      </c>
      <c r="BW354" s="58"/>
      <c r="BX354" s="69"/>
      <c r="BY354" s="58"/>
      <c r="BZ354" s="56">
        <f t="shared" si="216"/>
        <v>0</v>
      </c>
      <c r="CA354" s="66"/>
      <c r="CB354" s="66"/>
      <c r="CC354" s="56">
        <f t="shared" si="217"/>
        <v>0</v>
      </c>
      <c r="CD354" s="55"/>
      <c r="CE354" s="65"/>
      <c r="CF354" s="55"/>
      <c r="CG354" s="55"/>
      <c r="CH354" s="67">
        <f t="shared" si="218"/>
        <v>0</v>
      </c>
      <c r="CI354" s="68">
        <f t="shared" si="234"/>
        <v>0</v>
      </c>
      <c r="CJ354" s="55"/>
      <c r="CK354" s="55"/>
      <c r="CL354" s="55"/>
      <c r="CM354" s="55"/>
      <c r="CN354" s="55"/>
      <c r="CO354" s="68">
        <f t="shared" si="219"/>
        <v>0</v>
      </c>
      <c r="CP354" s="75">
        <f>SUM(Tableau1[[#This Row],[Fourniture eau]:[Energie (non précisé)]])</f>
        <v>0</v>
      </c>
      <c r="CQ354" s="55"/>
      <c r="CR354" s="55"/>
      <c r="CS354" s="55"/>
      <c r="CT354" s="55"/>
      <c r="CU354" s="55"/>
      <c r="CV354" s="55">
        <v>0</v>
      </c>
      <c r="CW354" s="55"/>
      <c r="CX354" s="68">
        <f>SUM(Tableau1[[#This Row],[Sous-traitance]:[Autres ou non précisé 12]])</f>
        <v>0</v>
      </c>
      <c r="CY354" s="65"/>
      <c r="CZ354" s="65"/>
      <c r="DA354" s="65"/>
      <c r="DB354" s="65"/>
      <c r="DC354" s="55"/>
      <c r="DD354" s="68">
        <f t="shared" si="200"/>
        <v>0</v>
      </c>
      <c r="DE354" s="55"/>
      <c r="DF354" s="65"/>
      <c r="DG354" s="65"/>
      <c r="DH354" s="65"/>
      <c r="DI354" s="68">
        <f>SUM(Tableau1[[#This Row],[Entretien et réparation matériel de projection]:[Autres ou non précisé 14]])</f>
        <v>0</v>
      </c>
      <c r="DJ354" s="58"/>
      <c r="DK354" s="58"/>
      <c r="DL354" s="69"/>
      <c r="DM354" s="68">
        <f t="shared" si="220"/>
        <v>0</v>
      </c>
      <c r="DN354" s="58"/>
      <c r="DO354" s="58"/>
      <c r="DP354" s="68">
        <f t="shared" si="221"/>
        <v>0</v>
      </c>
      <c r="DQ354" s="65"/>
      <c r="DR354" s="65"/>
      <c r="DS354" s="68">
        <f t="shared" si="222"/>
        <v>0</v>
      </c>
      <c r="DT354" s="65"/>
      <c r="DU354" s="65"/>
      <c r="DV354" s="65"/>
      <c r="DW354" s="68">
        <f>SUM(Tableau1[[#This Row],[Comission et courtage sur achats]:[Autres ou honoraires
 non précisé ]])</f>
        <v>0</v>
      </c>
      <c r="DX354" s="57"/>
      <c r="DY354" s="57"/>
      <c r="DZ354" s="65"/>
      <c r="EA354" s="65"/>
      <c r="EB354" s="65"/>
      <c r="EC354" s="68">
        <f t="shared" si="223"/>
        <v>0</v>
      </c>
      <c r="ED354" s="69"/>
      <c r="EE354" s="69"/>
      <c r="EF354" s="69"/>
      <c r="EG354" s="69"/>
      <c r="EH354" s="69"/>
      <c r="EI354" s="84">
        <f>SUM(Tableau1[[#This Row],[Transports sur films]:[autres ]])</f>
        <v>0</v>
      </c>
      <c r="EJ354" s="132">
        <v>0</v>
      </c>
      <c r="EK354" s="132"/>
      <c r="EL354" s="68">
        <f t="shared" si="224"/>
        <v>0</v>
      </c>
      <c r="EM354" s="65"/>
      <c r="EN354" s="65">
        <v>0</v>
      </c>
      <c r="EO354" s="65"/>
      <c r="EP354" s="65"/>
      <c r="EQ354" s="65"/>
      <c r="ER354" s="65"/>
      <c r="ES354" s="65"/>
      <c r="ET354" s="68">
        <f t="shared" si="225"/>
        <v>0</v>
      </c>
      <c r="EU354" s="65"/>
      <c r="EV354" s="65"/>
      <c r="EW354" s="65"/>
      <c r="EX354" s="65"/>
      <c r="EY354" s="65"/>
      <c r="EZ354" s="68">
        <f t="shared" si="202"/>
        <v>0</v>
      </c>
      <c r="FA354" s="65"/>
      <c r="FB354" s="65"/>
      <c r="FC354" s="70">
        <f t="shared" si="201"/>
        <v>0</v>
      </c>
      <c r="FD354" s="65"/>
      <c r="FE354" s="71">
        <f t="shared" si="226"/>
        <v>0</v>
      </c>
      <c r="FF354" s="72">
        <f t="shared" si="227"/>
        <v>0</v>
      </c>
      <c r="FG354" s="65"/>
      <c r="FH354" s="65"/>
      <c r="FI354" s="65"/>
      <c r="FJ354" s="56">
        <f t="shared" si="228"/>
        <v>0</v>
      </c>
      <c r="FK354" s="65"/>
      <c r="FL354" s="65"/>
      <c r="FM354" s="65"/>
      <c r="FN354" s="65"/>
      <c r="FO354" s="67">
        <f t="shared" si="229"/>
        <v>0</v>
      </c>
      <c r="FP354" s="57"/>
      <c r="FQ354" s="73"/>
      <c r="FR354" s="73"/>
      <c r="FS354" s="71">
        <f t="shared" si="230"/>
        <v>0</v>
      </c>
      <c r="FT354" s="91"/>
      <c r="FU354" s="91"/>
      <c r="FV354" s="67">
        <f>SUM(Tableau1[[#This Row],[Droits d''auteurs SACEM + cotisations SACEM]:[Autres ou non préciés]])</f>
        <v>0</v>
      </c>
      <c r="FW354" s="75">
        <f t="shared" si="231"/>
        <v>0</v>
      </c>
      <c r="FX354" s="74">
        <v>0</v>
      </c>
      <c r="FY354" s="74"/>
      <c r="FZ354" s="74"/>
      <c r="GA354" s="74"/>
      <c r="GB354" s="71">
        <f t="shared" si="232"/>
        <v>0</v>
      </c>
      <c r="GC354" s="92"/>
      <c r="GD354" s="92"/>
      <c r="GE354" s="67">
        <f t="shared" si="233"/>
        <v>0</v>
      </c>
      <c r="GF354" s="66"/>
      <c r="GG354" s="66"/>
      <c r="GH354" s="66"/>
      <c r="GI354" s="66"/>
      <c r="GJ354" s="77"/>
    </row>
    <row r="355" spans="1:192" ht="18.600000000000001" customHeight="1" x14ac:dyDescent="0.25">
      <c r="A355" s="89"/>
      <c r="B355" s="17"/>
      <c r="C355" s="50"/>
      <c r="D355" s="140"/>
      <c r="E355" s="51"/>
      <c r="F355" s="139">
        <f t="shared" si="198"/>
        <v>1</v>
      </c>
      <c r="G355" s="49"/>
      <c r="H355" s="50"/>
      <c r="I355" s="122"/>
      <c r="J355" s="49"/>
      <c r="K355" s="50"/>
      <c r="L355" s="50"/>
      <c r="M355" s="90"/>
      <c r="N355" s="50"/>
      <c r="O355" s="50"/>
      <c r="P355" s="90"/>
      <c r="Q355" s="52">
        <f t="shared" si="203"/>
        <v>0</v>
      </c>
      <c r="R355" s="52">
        <f t="shared" si="204"/>
        <v>0</v>
      </c>
      <c r="S355" s="53">
        <f t="shared" si="205"/>
        <v>0</v>
      </c>
      <c r="T355" s="54">
        <f t="shared" si="206"/>
        <v>0</v>
      </c>
      <c r="U355" s="115">
        <f>SUM(Tableau1[[#This Row],[Vente confiserie]:[Vente boisson]])</f>
        <v>0</v>
      </c>
      <c r="V355" s="95"/>
      <c r="W355" s="95"/>
      <c r="X355" s="136">
        <f>SUM(Tableau1[[#This Row],[Vente lunette]:[Location lunette]])</f>
        <v>0</v>
      </c>
      <c r="Y355" s="95"/>
      <c r="Z355" s="95"/>
      <c r="AA355" s="95"/>
      <c r="AB355" s="95"/>
      <c r="AC355" s="56">
        <f t="shared" si="235"/>
        <v>0</v>
      </c>
      <c r="AD355" s="57"/>
      <c r="AE355" s="57"/>
      <c r="AF355" s="57"/>
      <c r="AG355" s="57"/>
      <c r="AH355" s="57"/>
      <c r="AI355" s="57"/>
      <c r="AJ355" s="118">
        <f>(Tableau1[[#This Row],[Recette guichet ]]*1.1275177)-Tableau1[[#This Row],[Recette guichet ]]</f>
        <v>0</v>
      </c>
      <c r="AK355" s="57"/>
      <c r="AL355" s="56">
        <f t="shared" si="236"/>
        <v>0</v>
      </c>
      <c r="AM355" s="58"/>
      <c r="AN355" s="58"/>
      <c r="AO355" s="58"/>
      <c r="AP355" s="115">
        <f t="shared" si="207"/>
        <v>0</v>
      </c>
      <c r="AQ355" s="69"/>
      <c r="AR355" s="69"/>
      <c r="AS355" s="69"/>
      <c r="AT355" s="69"/>
      <c r="AU355" s="59">
        <f t="shared" si="208"/>
        <v>0</v>
      </c>
      <c r="AV355" s="60">
        <f t="shared" si="209"/>
        <v>0</v>
      </c>
      <c r="AW355" s="58"/>
      <c r="AX355" s="58"/>
      <c r="AY355" s="58"/>
      <c r="AZ355" s="60">
        <f t="shared" si="199"/>
        <v>0</v>
      </c>
      <c r="BA355" s="58"/>
      <c r="BB355" s="58"/>
      <c r="BC355" s="58"/>
      <c r="BD355" s="60">
        <f>SUM(Tableau1[[#This Row],[ticket/carte/abonnement périmé]:[Autres ou non précisé 5]])</f>
        <v>0</v>
      </c>
      <c r="BE355" s="58"/>
      <c r="BF355" s="58"/>
      <c r="BG355" s="58"/>
      <c r="BH355" s="61">
        <f t="shared" si="210"/>
        <v>0</v>
      </c>
      <c r="BI355" s="120"/>
      <c r="BJ355" s="120"/>
      <c r="BK355" s="62">
        <f t="shared" si="211"/>
        <v>0</v>
      </c>
      <c r="BL355" s="120"/>
      <c r="BM355" s="120"/>
      <c r="BN355" s="120"/>
      <c r="BO355" s="120"/>
      <c r="BP355" s="120"/>
      <c r="BQ355" s="63"/>
      <c r="BR355" s="52">
        <f t="shared" si="212"/>
        <v>0</v>
      </c>
      <c r="BS355" s="52">
        <f t="shared" si="213"/>
        <v>0</v>
      </c>
      <c r="BT355" s="61">
        <f t="shared" si="214"/>
        <v>0</v>
      </c>
      <c r="BU355" s="64">
        <f t="shared" si="215"/>
        <v>0</v>
      </c>
      <c r="BV355" s="119">
        <f>SUM(Tableau1[[#This Row],[Achats confiserie]:[Achats boisson]])</f>
        <v>0</v>
      </c>
      <c r="BW355" s="58"/>
      <c r="BX355" s="69"/>
      <c r="BY355" s="58"/>
      <c r="BZ355" s="56">
        <f t="shared" si="216"/>
        <v>0</v>
      </c>
      <c r="CA355" s="66"/>
      <c r="CB355" s="66"/>
      <c r="CC355" s="56">
        <f t="shared" si="217"/>
        <v>0</v>
      </c>
      <c r="CD355" s="55"/>
      <c r="CE355" s="65"/>
      <c r="CF355" s="55"/>
      <c r="CG355" s="55"/>
      <c r="CH355" s="67">
        <f t="shared" si="218"/>
        <v>0</v>
      </c>
      <c r="CI355" s="68">
        <f t="shared" si="234"/>
        <v>0</v>
      </c>
      <c r="CJ355" s="55"/>
      <c r="CK355" s="55"/>
      <c r="CL355" s="55"/>
      <c r="CM355" s="55"/>
      <c r="CN355" s="55"/>
      <c r="CO355" s="68">
        <f t="shared" si="219"/>
        <v>0</v>
      </c>
      <c r="CP355" s="75">
        <f>SUM(Tableau1[[#This Row],[Fourniture eau]:[Energie (non précisé)]])</f>
        <v>0</v>
      </c>
      <c r="CQ355" s="55"/>
      <c r="CR355" s="55"/>
      <c r="CS355" s="55"/>
      <c r="CT355" s="55"/>
      <c r="CU355" s="55"/>
      <c r="CV355" s="55">
        <v>0</v>
      </c>
      <c r="CW355" s="55"/>
      <c r="CX355" s="68">
        <f>SUM(Tableau1[[#This Row],[Sous-traitance]:[Autres ou non précisé 12]])</f>
        <v>0</v>
      </c>
      <c r="CY355" s="65"/>
      <c r="CZ355" s="65"/>
      <c r="DA355" s="65"/>
      <c r="DB355" s="65"/>
      <c r="DC355" s="55"/>
      <c r="DD355" s="68">
        <f t="shared" si="200"/>
        <v>0</v>
      </c>
      <c r="DE355" s="55"/>
      <c r="DF355" s="65"/>
      <c r="DG355" s="65"/>
      <c r="DH355" s="65"/>
      <c r="DI355" s="68">
        <f>SUM(Tableau1[[#This Row],[Entretien et réparation matériel de projection]:[Autres ou non précisé 14]])</f>
        <v>0</v>
      </c>
      <c r="DJ355" s="58"/>
      <c r="DK355" s="58"/>
      <c r="DL355" s="69"/>
      <c r="DM355" s="68">
        <f t="shared" si="220"/>
        <v>0</v>
      </c>
      <c r="DN355" s="58"/>
      <c r="DO355" s="58"/>
      <c r="DP355" s="68">
        <f t="shared" si="221"/>
        <v>0</v>
      </c>
      <c r="DQ355" s="65"/>
      <c r="DR355" s="65"/>
      <c r="DS355" s="68">
        <f t="shared" si="222"/>
        <v>0</v>
      </c>
      <c r="DT355" s="65"/>
      <c r="DU355" s="65"/>
      <c r="DV355" s="65"/>
      <c r="DW355" s="68">
        <f>SUM(Tableau1[[#This Row],[Comission et courtage sur achats]:[Autres ou honoraires
 non précisé ]])</f>
        <v>0</v>
      </c>
      <c r="DX355" s="57"/>
      <c r="DY355" s="57"/>
      <c r="DZ355" s="65"/>
      <c r="EA355" s="65"/>
      <c r="EB355" s="65"/>
      <c r="EC355" s="68">
        <f t="shared" si="223"/>
        <v>0</v>
      </c>
      <c r="ED355" s="69"/>
      <c r="EE355" s="69"/>
      <c r="EF355" s="69"/>
      <c r="EG355" s="69"/>
      <c r="EH355" s="69"/>
      <c r="EI355" s="84">
        <f>SUM(Tableau1[[#This Row],[Transports sur films]:[autres ]])</f>
        <v>0</v>
      </c>
      <c r="EJ355" s="132">
        <v>0</v>
      </c>
      <c r="EK355" s="132"/>
      <c r="EL355" s="68">
        <f t="shared" si="224"/>
        <v>0</v>
      </c>
      <c r="EM355" s="65"/>
      <c r="EN355" s="65">
        <v>0</v>
      </c>
      <c r="EO355" s="65"/>
      <c r="EP355" s="65"/>
      <c r="EQ355" s="65"/>
      <c r="ER355" s="65"/>
      <c r="ES355" s="65"/>
      <c r="ET355" s="68">
        <f t="shared" si="225"/>
        <v>0</v>
      </c>
      <c r="EU355" s="65"/>
      <c r="EV355" s="65"/>
      <c r="EW355" s="65"/>
      <c r="EX355" s="65"/>
      <c r="EY355" s="65"/>
      <c r="EZ355" s="68">
        <f t="shared" si="202"/>
        <v>0</v>
      </c>
      <c r="FA355" s="65"/>
      <c r="FB355" s="65"/>
      <c r="FC355" s="70">
        <f t="shared" si="201"/>
        <v>0</v>
      </c>
      <c r="FD355" s="65"/>
      <c r="FE355" s="71">
        <f t="shared" si="226"/>
        <v>0</v>
      </c>
      <c r="FF355" s="72">
        <f t="shared" si="227"/>
        <v>0</v>
      </c>
      <c r="FG355" s="65"/>
      <c r="FH355" s="65"/>
      <c r="FI355" s="65"/>
      <c r="FJ355" s="56">
        <f t="shared" si="228"/>
        <v>0</v>
      </c>
      <c r="FK355" s="65"/>
      <c r="FL355" s="65"/>
      <c r="FM355" s="65"/>
      <c r="FN355" s="65"/>
      <c r="FO355" s="67">
        <f t="shared" si="229"/>
        <v>0</v>
      </c>
      <c r="FP355" s="57"/>
      <c r="FQ355" s="73"/>
      <c r="FR355" s="73"/>
      <c r="FS355" s="71">
        <f t="shared" si="230"/>
        <v>0</v>
      </c>
      <c r="FT355" s="91"/>
      <c r="FU355" s="91"/>
      <c r="FV355" s="67">
        <f>SUM(Tableau1[[#This Row],[Droits d''auteurs SACEM + cotisations SACEM]:[Autres ou non préciés]])</f>
        <v>0</v>
      </c>
      <c r="FW355" s="75">
        <f t="shared" si="231"/>
        <v>0</v>
      </c>
      <c r="FX355" s="74">
        <v>0</v>
      </c>
      <c r="FY355" s="74"/>
      <c r="FZ355" s="74"/>
      <c r="GA355" s="74"/>
      <c r="GB355" s="71">
        <f t="shared" si="232"/>
        <v>0</v>
      </c>
      <c r="GC355" s="92"/>
      <c r="GD355" s="92"/>
      <c r="GE355" s="67">
        <f t="shared" si="233"/>
        <v>0</v>
      </c>
      <c r="GF355" s="66"/>
      <c r="GG355" s="66"/>
      <c r="GH355" s="66"/>
      <c r="GI355" s="66"/>
      <c r="GJ355" s="77"/>
    </row>
    <row r="356" spans="1:192" ht="18.600000000000001" customHeight="1" x14ac:dyDescent="0.25">
      <c r="A356" s="89"/>
      <c r="B356" s="17"/>
      <c r="C356" s="50"/>
      <c r="D356" s="140"/>
      <c r="E356" s="51"/>
      <c r="F356" s="139">
        <f t="shared" si="198"/>
        <v>1</v>
      </c>
      <c r="G356" s="49"/>
      <c r="H356" s="50"/>
      <c r="I356" s="122"/>
      <c r="J356" s="49"/>
      <c r="K356" s="50"/>
      <c r="L356" s="50"/>
      <c r="M356" s="90"/>
      <c r="N356" s="50"/>
      <c r="O356" s="50"/>
      <c r="P356" s="90"/>
      <c r="Q356" s="52">
        <f t="shared" si="203"/>
        <v>0</v>
      </c>
      <c r="R356" s="52">
        <f t="shared" si="204"/>
        <v>0</v>
      </c>
      <c r="S356" s="53">
        <f t="shared" si="205"/>
        <v>0</v>
      </c>
      <c r="T356" s="54">
        <f t="shared" si="206"/>
        <v>0</v>
      </c>
      <c r="U356" s="115">
        <f>SUM(Tableau1[[#This Row],[Vente confiserie]:[Vente boisson]])</f>
        <v>0</v>
      </c>
      <c r="V356" s="95"/>
      <c r="W356" s="95"/>
      <c r="X356" s="136">
        <f>SUM(Tableau1[[#This Row],[Vente lunette]:[Location lunette]])</f>
        <v>0</v>
      </c>
      <c r="Y356" s="95"/>
      <c r="Z356" s="95"/>
      <c r="AA356" s="95"/>
      <c r="AB356" s="95"/>
      <c r="AC356" s="56">
        <f t="shared" si="235"/>
        <v>0</v>
      </c>
      <c r="AD356" s="57"/>
      <c r="AE356" s="57"/>
      <c r="AF356" s="57"/>
      <c r="AG356" s="57"/>
      <c r="AH356" s="57"/>
      <c r="AI356" s="57"/>
      <c r="AJ356" s="118">
        <f>(Tableau1[[#This Row],[Recette guichet ]]*1.1275177)-Tableau1[[#This Row],[Recette guichet ]]</f>
        <v>0</v>
      </c>
      <c r="AK356" s="57"/>
      <c r="AL356" s="56">
        <f t="shared" si="236"/>
        <v>0</v>
      </c>
      <c r="AM356" s="58"/>
      <c r="AN356" s="58"/>
      <c r="AO356" s="58"/>
      <c r="AP356" s="115">
        <f t="shared" si="207"/>
        <v>0</v>
      </c>
      <c r="AQ356" s="69"/>
      <c r="AR356" s="69"/>
      <c r="AS356" s="69"/>
      <c r="AT356" s="69"/>
      <c r="AU356" s="59">
        <f t="shared" si="208"/>
        <v>0</v>
      </c>
      <c r="AV356" s="60">
        <f t="shared" si="209"/>
        <v>0</v>
      </c>
      <c r="AW356" s="58"/>
      <c r="AX356" s="58"/>
      <c r="AY356" s="58"/>
      <c r="AZ356" s="60">
        <f t="shared" si="199"/>
        <v>0</v>
      </c>
      <c r="BA356" s="58"/>
      <c r="BB356" s="58"/>
      <c r="BC356" s="58"/>
      <c r="BD356" s="60">
        <f>SUM(Tableau1[[#This Row],[ticket/carte/abonnement périmé]:[Autres ou non précisé 5]])</f>
        <v>0</v>
      </c>
      <c r="BE356" s="58"/>
      <c r="BF356" s="58"/>
      <c r="BG356" s="58"/>
      <c r="BH356" s="61">
        <f t="shared" si="210"/>
        <v>0</v>
      </c>
      <c r="BI356" s="120"/>
      <c r="BJ356" s="120"/>
      <c r="BK356" s="62">
        <f t="shared" si="211"/>
        <v>0</v>
      </c>
      <c r="BL356" s="120"/>
      <c r="BM356" s="120"/>
      <c r="BN356" s="120"/>
      <c r="BO356" s="120"/>
      <c r="BP356" s="120"/>
      <c r="BQ356" s="63"/>
      <c r="BR356" s="52">
        <f t="shared" si="212"/>
        <v>0</v>
      </c>
      <c r="BS356" s="52">
        <f t="shared" si="213"/>
        <v>0</v>
      </c>
      <c r="BT356" s="61">
        <f t="shared" si="214"/>
        <v>0</v>
      </c>
      <c r="BU356" s="64">
        <f t="shared" si="215"/>
        <v>0</v>
      </c>
      <c r="BV356" s="119">
        <f>SUM(Tableau1[[#This Row],[Achats confiserie]:[Achats boisson]])</f>
        <v>0</v>
      </c>
      <c r="BW356" s="58"/>
      <c r="BX356" s="69"/>
      <c r="BY356" s="58"/>
      <c r="BZ356" s="56">
        <f t="shared" si="216"/>
        <v>0</v>
      </c>
      <c r="CA356" s="66"/>
      <c r="CB356" s="66"/>
      <c r="CC356" s="56">
        <f t="shared" si="217"/>
        <v>0</v>
      </c>
      <c r="CD356" s="55"/>
      <c r="CE356" s="65"/>
      <c r="CF356" s="55"/>
      <c r="CG356" s="55"/>
      <c r="CH356" s="67">
        <f t="shared" si="218"/>
        <v>0</v>
      </c>
      <c r="CI356" s="68">
        <f t="shared" si="234"/>
        <v>0</v>
      </c>
      <c r="CJ356" s="55"/>
      <c r="CK356" s="55"/>
      <c r="CL356" s="55"/>
      <c r="CM356" s="55"/>
      <c r="CN356" s="55"/>
      <c r="CO356" s="68">
        <f t="shared" si="219"/>
        <v>0</v>
      </c>
      <c r="CP356" s="75">
        <f>SUM(Tableau1[[#This Row],[Fourniture eau]:[Energie (non précisé)]])</f>
        <v>0</v>
      </c>
      <c r="CQ356" s="55"/>
      <c r="CR356" s="55"/>
      <c r="CS356" s="55"/>
      <c r="CT356" s="55"/>
      <c r="CU356" s="55"/>
      <c r="CV356" s="55">
        <v>0</v>
      </c>
      <c r="CW356" s="55"/>
      <c r="CX356" s="68">
        <f>SUM(Tableau1[[#This Row],[Sous-traitance]:[Autres ou non précisé 12]])</f>
        <v>0</v>
      </c>
      <c r="CY356" s="65"/>
      <c r="CZ356" s="65"/>
      <c r="DA356" s="65"/>
      <c r="DB356" s="65"/>
      <c r="DC356" s="55"/>
      <c r="DD356" s="68">
        <f t="shared" si="200"/>
        <v>0</v>
      </c>
      <c r="DE356" s="55"/>
      <c r="DF356" s="65"/>
      <c r="DG356" s="65"/>
      <c r="DH356" s="65"/>
      <c r="DI356" s="68">
        <f>SUM(Tableau1[[#This Row],[Entretien et réparation matériel de projection]:[Autres ou non précisé 14]])</f>
        <v>0</v>
      </c>
      <c r="DJ356" s="58"/>
      <c r="DK356" s="58"/>
      <c r="DL356" s="69"/>
      <c r="DM356" s="68">
        <f t="shared" si="220"/>
        <v>0</v>
      </c>
      <c r="DN356" s="58"/>
      <c r="DO356" s="58"/>
      <c r="DP356" s="68">
        <f t="shared" si="221"/>
        <v>0</v>
      </c>
      <c r="DQ356" s="65"/>
      <c r="DR356" s="65"/>
      <c r="DS356" s="68">
        <f t="shared" si="222"/>
        <v>0</v>
      </c>
      <c r="DT356" s="65"/>
      <c r="DU356" s="65"/>
      <c r="DV356" s="65"/>
      <c r="DW356" s="68">
        <f>SUM(Tableau1[[#This Row],[Comission et courtage sur achats]:[Autres ou honoraires
 non précisé ]])</f>
        <v>0</v>
      </c>
      <c r="DX356" s="57"/>
      <c r="DY356" s="57"/>
      <c r="DZ356" s="65"/>
      <c r="EA356" s="65"/>
      <c r="EB356" s="65"/>
      <c r="EC356" s="68">
        <f t="shared" si="223"/>
        <v>0</v>
      </c>
      <c r="ED356" s="69"/>
      <c r="EE356" s="69"/>
      <c r="EF356" s="69"/>
      <c r="EG356" s="69"/>
      <c r="EH356" s="69"/>
      <c r="EI356" s="84">
        <f>SUM(Tableau1[[#This Row],[Transports sur films]:[autres ]])</f>
        <v>0</v>
      </c>
      <c r="EJ356" s="132">
        <v>0</v>
      </c>
      <c r="EK356" s="132"/>
      <c r="EL356" s="68">
        <f t="shared" si="224"/>
        <v>0</v>
      </c>
      <c r="EM356" s="65"/>
      <c r="EN356" s="65">
        <v>0</v>
      </c>
      <c r="EO356" s="65"/>
      <c r="EP356" s="65"/>
      <c r="EQ356" s="65"/>
      <c r="ER356" s="65"/>
      <c r="ES356" s="65"/>
      <c r="ET356" s="68">
        <f t="shared" si="225"/>
        <v>0</v>
      </c>
      <c r="EU356" s="65"/>
      <c r="EV356" s="65"/>
      <c r="EW356" s="65"/>
      <c r="EX356" s="65"/>
      <c r="EY356" s="65"/>
      <c r="EZ356" s="68">
        <f t="shared" si="202"/>
        <v>0</v>
      </c>
      <c r="FA356" s="65"/>
      <c r="FB356" s="65"/>
      <c r="FC356" s="70">
        <f t="shared" si="201"/>
        <v>0</v>
      </c>
      <c r="FD356" s="65"/>
      <c r="FE356" s="71">
        <f t="shared" si="226"/>
        <v>0</v>
      </c>
      <c r="FF356" s="72">
        <f t="shared" si="227"/>
        <v>0</v>
      </c>
      <c r="FG356" s="65"/>
      <c r="FH356" s="65"/>
      <c r="FI356" s="65"/>
      <c r="FJ356" s="56">
        <f t="shared" si="228"/>
        <v>0</v>
      </c>
      <c r="FK356" s="65"/>
      <c r="FL356" s="65"/>
      <c r="FM356" s="65"/>
      <c r="FN356" s="65"/>
      <c r="FO356" s="67">
        <f t="shared" si="229"/>
        <v>0</v>
      </c>
      <c r="FP356" s="57"/>
      <c r="FQ356" s="73"/>
      <c r="FR356" s="73"/>
      <c r="FS356" s="71">
        <f t="shared" si="230"/>
        <v>0</v>
      </c>
      <c r="FT356" s="91"/>
      <c r="FU356" s="91"/>
      <c r="FV356" s="67">
        <f>SUM(Tableau1[[#This Row],[Droits d''auteurs SACEM + cotisations SACEM]:[Autres ou non préciés]])</f>
        <v>0</v>
      </c>
      <c r="FW356" s="75">
        <f t="shared" si="231"/>
        <v>0</v>
      </c>
      <c r="FX356" s="74">
        <v>0</v>
      </c>
      <c r="FY356" s="74"/>
      <c r="FZ356" s="74"/>
      <c r="GA356" s="74"/>
      <c r="GB356" s="71">
        <f t="shared" si="232"/>
        <v>0</v>
      </c>
      <c r="GC356" s="92"/>
      <c r="GD356" s="92"/>
      <c r="GE356" s="67">
        <f t="shared" si="233"/>
        <v>0</v>
      </c>
      <c r="GF356" s="66"/>
      <c r="GG356" s="66"/>
      <c r="GH356" s="66"/>
      <c r="GI356" s="66"/>
      <c r="GJ356" s="77"/>
    </row>
    <row r="357" spans="1:192" ht="18.600000000000001" customHeight="1" x14ac:dyDescent="0.25">
      <c r="A357" s="89"/>
      <c r="B357" s="17"/>
      <c r="C357" s="50"/>
      <c r="D357" s="140"/>
      <c r="E357" s="51"/>
      <c r="F357" s="139">
        <f t="shared" si="198"/>
        <v>1</v>
      </c>
      <c r="G357" s="49"/>
      <c r="H357" s="50"/>
      <c r="I357" s="122"/>
      <c r="J357" s="49"/>
      <c r="K357" s="50"/>
      <c r="L357" s="50"/>
      <c r="M357" s="90"/>
      <c r="N357" s="50"/>
      <c r="O357" s="50"/>
      <c r="P357" s="90"/>
      <c r="Q357" s="52">
        <f t="shared" si="203"/>
        <v>0</v>
      </c>
      <c r="R357" s="52">
        <f t="shared" si="204"/>
        <v>0</v>
      </c>
      <c r="S357" s="53">
        <f t="shared" si="205"/>
        <v>0</v>
      </c>
      <c r="T357" s="54">
        <f t="shared" si="206"/>
        <v>0</v>
      </c>
      <c r="U357" s="115">
        <f>SUM(Tableau1[[#This Row],[Vente confiserie]:[Vente boisson]])</f>
        <v>0</v>
      </c>
      <c r="V357" s="95"/>
      <c r="W357" s="95"/>
      <c r="X357" s="136">
        <f>SUM(Tableau1[[#This Row],[Vente lunette]:[Location lunette]])</f>
        <v>0</v>
      </c>
      <c r="Y357" s="95"/>
      <c r="Z357" s="95"/>
      <c r="AA357" s="95"/>
      <c r="AB357" s="95"/>
      <c r="AC357" s="56">
        <f t="shared" si="235"/>
        <v>0</v>
      </c>
      <c r="AD357" s="57"/>
      <c r="AE357" s="57"/>
      <c r="AF357" s="57"/>
      <c r="AG357" s="57"/>
      <c r="AH357" s="57"/>
      <c r="AI357" s="57"/>
      <c r="AJ357" s="118">
        <f>(Tableau1[[#This Row],[Recette guichet ]]*1.1275177)-Tableau1[[#This Row],[Recette guichet ]]</f>
        <v>0</v>
      </c>
      <c r="AK357" s="57"/>
      <c r="AL357" s="56">
        <f t="shared" si="236"/>
        <v>0</v>
      </c>
      <c r="AM357" s="58"/>
      <c r="AN357" s="58"/>
      <c r="AO357" s="58"/>
      <c r="AP357" s="115">
        <f t="shared" si="207"/>
        <v>0</v>
      </c>
      <c r="AQ357" s="69"/>
      <c r="AR357" s="69"/>
      <c r="AS357" s="69"/>
      <c r="AT357" s="69"/>
      <c r="AU357" s="59">
        <f t="shared" si="208"/>
        <v>0</v>
      </c>
      <c r="AV357" s="60">
        <f t="shared" si="209"/>
        <v>0</v>
      </c>
      <c r="AW357" s="58"/>
      <c r="AX357" s="58"/>
      <c r="AY357" s="58"/>
      <c r="AZ357" s="60">
        <f t="shared" si="199"/>
        <v>0</v>
      </c>
      <c r="BA357" s="58"/>
      <c r="BB357" s="58"/>
      <c r="BC357" s="58"/>
      <c r="BD357" s="60">
        <f>SUM(Tableau1[[#This Row],[ticket/carte/abonnement périmé]:[Autres ou non précisé 5]])</f>
        <v>0</v>
      </c>
      <c r="BE357" s="58"/>
      <c r="BF357" s="58"/>
      <c r="BG357" s="58"/>
      <c r="BH357" s="61">
        <f t="shared" si="210"/>
        <v>0</v>
      </c>
      <c r="BI357" s="120"/>
      <c r="BJ357" s="120"/>
      <c r="BK357" s="62">
        <f t="shared" si="211"/>
        <v>0</v>
      </c>
      <c r="BL357" s="120"/>
      <c r="BM357" s="120"/>
      <c r="BN357" s="120"/>
      <c r="BO357" s="120"/>
      <c r="BP357" s="120"/>
      <c r="BQ357" s="63"/>
      <c r="BR357" s="52">
        <f t="shared" si="212"/>
        <v>0</v>
      </c>
      <c r="BS357" s="52">
        <f t="shared" si="213"/>
        <v>0</v>
      </c>
      <c r="BT357" s="61">
        <f t="shared" si="214"/>
        <v>0</v>
      </c>
      <c r="BU357" s="64">
        <f t="shared" si="215"/>
        <v>0</v>
      </c>
      <c r="BV357" s="119">
        <f>SUM(Tableau1[[#This Row],[Achats confiserie]:[Achats boisson]])</f>
        <v>0</v>
      </c>
      <c r="BW357" s="58"/>
      <c r="BX357" s="69"/>
      <c r="BY357" s="58"/>
      <c r="BZ357" s="56">
        <f t="shared" si="216"/>
        <v>0</v>
      </c>
      <c r="CA357" s="66"/>
      <c r="CB357" s="66"/>
      <c r="CC357" s="56">
        <f t="shared" si="217"/>
        <v>0</v>
      </c>
      <c r="CD357" s="55"/>
      <c r="CE357" s="65"/>
      <c r="CF357" s="55"/>
      <c r="CG357" s="55"/>
      <c r="CH357" s="67">
        <f t="shared" si="218"/>
        <v>0</v>
      </c>
      <c r="CI357" s="68">
        <f t="shared" si="234"/>
        <v>0</v>
      </c>
      <c r="CJ357" s="55"/>
      <c r="CK357" s="55"/>
      <c r="CL357" s="55"/>
      <c r="CM357" s="55"/>
      <c r="CN357" s="55"/>
      <c r="CO357" s="68">
        <f t="shared" si="219"/>
        <v>0</v>
      </c>
      <c r="CP357" s="75">
        <f>SUM(Tableau1[[#This Row],[Fourniture eau]:[Energie (non précisé)]])</f>
        <v>0</v>
      </c>
      <c r="CQ357" s="55"/>
      <c r="CR357" s="55"/>
      <c r="CS357" s="55"/>
      <c r="CT357" s="55"/>
      <c r="CU357" s="55"/>
      <c r="CV357" s="55">
        <v>0</v>
      </c>
      <c r="CW357" s="55"/>
      <c r="CX357" s="68">
        <f>SUM(Tableau1[[#This Row],[Sous-traitance]:[Autres ou non précisé 12]])</f>
        <v>0</v>
      </c>
      <c r="CY357" s="65"/>
      <c r="CZ357" s="65"/>
      <c r="DA357" s="65"/>
      <c r="DB357" s="65"/>
      <c r="DC357" s="55"/>
      <c r="DD357" s="68">
        <f t="shared" si="200"/>
        <v>0</v>
      </c>
      <c r="DE357" s="55"/>
      <c r="DF357" s="65"/>
      <c r="DG357" s="65"/>
      <c r="DH357" s="65"/>
      <c r="DI357" s="68">
        <f>SUM(Tableau1[[#This Row],[Entretien et réparation matériel de projection]:[Autres ou non précisé 14]])</f>
        <v>0</v>
      </c>
      <c r="DJ357" s="58"/>
      <c r="DK357" s="58"/>
      <c r="DL357" s="69"/>
      <c r="DM357" s="68">
        <f t="shared" si="220"/>
        <v>0</v>
      </c>
      <c r="DN357" s="58"/>
      <c r="DO357" s="58"/>
      <c r="DP357" s="68">
        <f t="shared" si="221"/>
        <v>0</v>
      </c>
      <c r="DQ357" s="65"/>
      <c r="DR357" s="65"/>
      <c r="DS357" s="68">
        <f t="shared" si="222"/>
        <v>0</v>
      </c>
      <c r="DT357" s="65"/>
      <c r="DU357" s="65"/>
      <c r="DV357" s="65"/>
      <c r="DW357" s="68">
        <f>SUM(Tableau1[[#This Row],[Comission et courtage sur achats]:[Autres ou honoraires
 non précisé ]])</f>
        <v>0</v>
      </c>
      <c r="DX357" s="57"/>
      <c r="DY357" s="57"/>
      <c r="DZ357" s="65"/>
      <c r="EA357" s="65"/>
      <c r="EB357" s="65"/>
      <c r="EC357" s="68">
        <f t="shared" si="223"/>
        <v>0</v>
      </c>
      <c r="ED357" s="69"/>
      <c r="EE357" s="69"/>
      <c r="EF357" s="69"/>
      <c r="EG357" s="69"/>
      <c r="EH357" s="69"/>
      <c r="EI357" s="84">
        <f>SUM(Tableau1[[#This Row],[Transports sur films]:[autres ]])</f>
        <v>0</v>
      </c>
      <c r="EJ357" s="132">
        <v>0</v>
      </c>
      <c r="EK357" s="132"/>
      <c r="EL357" s="68">
        <f t="shared" si="224"/>
        <v>0</v>
      </c>
      <c r="EM357" s="65"/>
      <c r="EN357" s="65">
        <v>0</v>
      </c>
      <c r="EO357" s="65"/>
      <c r="EP357" s="65"/>
      <c r="EQ357" s="65"/>
      <c r="ER357" s="65"/>
      <c r="ES357" s="65"/>
      <c r="ET357" s="68">
        <f t="shared" si="225"/>
        <v>0</v>
      </c>
      <c r="EU357" s="65"/>
      <c r="EV357" s="65"/>
      <c r="EW357" s="65"/>
      <c r="EX357" s="65"/>
      <c r="EY357" s="65"/>
      <c r="EZ357" s="68">
        <f t="shared" si="202"/>
        <v>0</v>
      </c>
      <c r="FA357" s="65"/>
      <c r="FB357" s="65"/>
      <c r="FC357" s="70">
        <f t="shared" si="201"/>
        <v>0</v>
      </c>
      <c r="FD357" s="65"/>
      <c r="FE357" s="71">
        <f t="shared" si="226"/>
        <v>0</v>
      </c>
      <c r="FF357" s="72">
        <f t="shared" si="227"/>
        <v>0</v>
      </c>
      <c r="FG357" s="65"/>
      <c r="FH357" s="65"/>
      <c r="FI357" s="65"/>
      <c r="FJ357" s="56">
        <f t="shared" si="228"/>
        <v>0</v>
      </c>
      <c r="FK357" s="65"/>
      <c r="FL357" s="65"/>
      <c r="FM357" s="65"/>
      <c r="FN357" s="65"/>
      <c r="FO357" s="67">
        <f t="shared" si="229"/>
        <v>0</v>
      </c>
      <c r="FP357" s="57"/>
      <c r="FQ357" s="73"/>
      <c r="FR357" s="73"/>
      <c r="FS357" s="71">
        <f t="shared" si="230"/>
        <v>0</v>
      </c>
      <c r="FT357" s="91"/>
      <c r="FU357" s="91"/>
      <c r="FV357" s="67">
        <f>SUM(Tableau1[[#This Row],[Droits d''auteurs SACEM + cotisations SACEM]:[Autres ou non préciés]])</f>
        <v>0</v>
      </c>
      <c r="FW357" s="75">
        <f t="shared" si="231"/>
        <v>0</v>
      </c>
      <c r="FX357" s="74">
        <v>0</v>
      </c>
      <c r="FY357" s="74"/>
      <c r="FZ357" s="74"/>
      <c r="GA357" s="74"/>
      <c r="GB357" s="71">
        <f t="shared" si="232"/>
        <v>0</v>
      </c>
      <c r="GC357" s="92"/>
      <c r="GD357" s="92"/>
      <c r="GE357" s="67">
        <f t="shared" si="233"/>
        <v>0</v>
      </c>
      <c r="GF357" s="66"/>
      <c r="GG357" s="66"/>
      <c r="GH357" s="66"/>
      <c r="GI357" s="66"/>
      <c r="GJ357" s="77"/>
    </row>
    <row r="358" spans="1:192" ht="18.600000000000001" customHeight="1" x14ac:dyDescent="0.25">
      <c r="A358" s="89"/>
      <c r="B358" s="17"/>
      <c r="C358" s="50"/>
      <c r="D358" s="140"/>
      <c r="E358" s="51"/>
      <c r="F358" s="139">
        <f t="shared" si="198"/>
        <v>1</v>
      </c>
      <c r="G358" s="49"/>
      <c r="H358" s="50"/>
      <c r="I358" s="122"/>
      <c r="J358" s="49"/>
      <c r="K358" s="50"/>
      <c r="L358" s="50"/>
      <c r="M358" s="90"/>
      <c r="N358" s="50"/>
      <c r="O358" s="50"/>
      <c r="P358" s="90"/>
      <c r="Q358" s="52">
        <f t="shared" si="203"/>
        <v>0</v>
      </c>
      <c r="R358" s="52">
        <f t="shared" si="204"/>
        <v>0</v>
      </c>
      <c r="S358" s="53">
        <f t="shared" si="205"/>
        <v>0</v>
      </c>
      <c r="T358" s="54">
        <f t="shared" si="206"/>
        <v>0</v>
      </c>
      <c r="U358" s="115">
        <f>SUM(Tableau1[[#This Row],[Vente confiserie]:[Vente boisson]])</f>
        <v>0</v>
      </c>
      <c r="V358" s="95"/>
      <c r="W358" s="95"/>
      <c r="X358" s="136">
        <f>SUM(Tableau1[[#This Row],[Vente lunette]:[Location lunette]])</f>
        <v>0</v>
      </c>
      <c r="Y358" s="95"/>
      <c r="Z358" s="95"/>
      <c r="AA358" s="95"/>
      <c r="AB358" s="95"/>
      <c r="AC358" s="56">
        <f t="shared" si="235"/>
        <v>0</v>
      </c>
      <c r="AD358" s="57"/>
      <c r="AE358" s="57"/>
      <c r="AF358" s="57"/>
      <c r="AG358" s="57"/>
      <c r="AH358" s="57"/>
      <c r="AI358" s="57"/>
      <c r="AJ358" s="118">
        <f>(Tableau1[[#This Row],[Recette guichet ]]*1.1275177)-Tableau1[[#This Row],[Recette guichet ]]</f>
        <v>0</v>
      </c>
      <c r="AK358" s="57"/>
      <c r="AL358" s="56">
        <f t="shared" si="236"/>
        <v>0</v>
      </c>
      <c r="AM358" s="58"/>
      <c r="AN358" s="58"/>
      <c r="AO358" s="58"/>
      <c r="AP358" s="115">
        <f t="shared" si="207"/>
        <v>0</v>
      </c>
      <c r="AQ358" s="69"/>
      <c r="AR358" s="69"/>
      <c r="AS358" s="69"/>
      <c r="AT358" s="69"/>
      <c r="AU358" s="59">
        <f t="shared" si="208"/>
        <v>0</v>
      </c>
      <c r="AV358" s="60">
        <f t="shared" si="209"/>
        <v>0</v>
      </c>
      <c r="AW358" s="58"/>
      <c r="AX358" s="58"/>
      <c r="AY358" s="58"/>
      <c r="AZ358" s="60">
        <f t="shared" si="199"/>
        <v>0</v>
      </c>
      <c r="BA358" s="58"/>
      <c r="BB358" s="58"/>
      <c r="BC358" s="58"/>
      <c r="BD358" s="60">
        <f>SUM(Tableau1[[#This Row],[ticket/carte/abonnement périmé]:[Autres ou non précisé 5]])</f>
        <v>0</v>
      </c>
      <c r="BE358" s="58"/>
      <c r="BF358" s="58"/>
      <c r="BG358" s="58"/>
      <c r="BH358" s="61">
        <f t="shared" si="210"/>
        <v>0</v>
      </c>
      <c r="BI358" s="120"/>
      <c r="BJ358" s="120"/>
      <c r="BK358" s="62">
        <f t="shared" si="211"/>
        <v>0</v>
      </c>
      <c r="BL358" s="120"/>
      <c r="BM358" s="120"/>
      <c r="BN358" s="120"/>
      <c r="BO358" s="120"/>
      <c r="BP358" s="120"/>
      <c r="BQ358" s="63"/>
      <c r="BR358" s="52">
        <f t="shared" si="212"/>
        <v>0</v>
      </c>
      <c r="BS358" s="52">
        <f t="shared" si="213"/>
        <v>0</v>
      </c>
      <c r="BT358" s="61">
        <f t="shared" si="214"/>
        <v>0</v>
      </c>
      <c r="BU358" s="64">
        <f t="shared" si="215"/>
        <v>0</v>
      </c>
      <c r="BV358" s="119">
        <f>SUM(Tableau1[[#This Row],[Achats confiserie]:[Achats boisson]])</f>
        <v>0</v>
      </c>
      <c r="BW358" s="58"/>
      <c r="BX358" s="69"/>
      <c r="BY358" s="58"/>
      <c r="BZ358" s="56">
        <f t="shared" si="216"/>
        <v>0</v>
      </c>
      <c r="CA358" s="66"/>
      <c r="CB358" s="66"/>
      <c r="CC358" s="56">
        <f t="shared" si="217"/>
        <v>0</v>
      </c>
      <c r="CD358" s="55"/>
      <c r="CE358" s="65"/>
      <c r="CF358" s="55"/>
      <c r="CG358" s="55"/>
      <c r="CH358" s="67">
        <f t="shared" si="218"/>
        <v>0</v>
      </c>
      <c r="CI358" s="68">
        <f t="shared" si="234"/>
        <v>0</v>
      </c>
      <c r="CJ358" s="55"/>
      <c r="CK358" s="55"/>
      <c r="CL358" s="55"/>
      <c r="CM358" s="55"/>
      <c r="CN358" s="55"/>
      <c r="CO358" s="68">
        <f t="shared" si="219"/>
        <v>0</v>
      </c>
      <c r="CP358" s="75">
        <f>SUM(Tableau1[[#This Row],[Fourniture eau]:[Energie (non précisé)]])</f>
        <v>0</v>
      </c>
      <c r="CQ358" s="55"/>
      <c r="CR358" s="55"/>
      <c r="CS358" s="55"/>
      <c r="CT358" s="55"/>
      <c r="CU358" s="55"/>
      <c r="CV358" s="55">
        <v>0</v>
      </c>
      <c r="CW358" s="55"/>
      <c r="CX358" s="68">
        <f>SUM(Tableau1[[#This Row],[Sous-traitance]:[Autres ou non précisé 12]])</f>
        <v>0</v>
      </c>
      <c r="CY358" s="65"/>
      <c r="CZ358" s="65"/>
      <c r="DA358" s="65"/>
      <c r="DB358" s="65"/>
      <c r="DC358" s="55"/>
      <c r="DD358" s="68">
        <f t="shared" si="200"/>
        <v>0</v>
      </c>
      <c r="DE358" s="55"/>
      <c r="DF358" s="65"/>
      <c r="DG358" s="65"/>
      <c r="DH358" s="65"/>
      <c r="DI358" s="68">
        <f>SUM(Tableau1[[#This Row],[Entretien et réparation matériel de projection]:[Autres ou non précisé 14]])</f>
        <v>0</v>
      </c>
      <c r="DJ358" s="58"/>
      <c r="DK358" s="58"/>
      <c r="DL358" s="69"/>
      <c r="DM358" s="68">
        <f t="shared" si="220"/>
        <v>0</v>
      </c>
      <c r="DN358" s="58"/>
      <c r="DO358" s="58"/>
      <c r="DP358" s="68">
        <f t="shared" si="221"/>
        <v>0</v>
      </c>
      <c r="DQ358" s="65"/>
      <c r="DR358" s="65"/>
      <c r="DS358" s="68">
        <f t="shared" si="222"/>
        <v>0</v>
      </c>
      <c r="DT358" s="65"/>
      <c r="DU358" s="65"/>
      <c r="DV358" s="65"/>
      <c r="DW358" s="68">
        <f>SUM(Tableau1[[#This Row],[Comission et courtage sur achats]:[Autres ou honoraires
 non précisé ]])</f>
        <v>0</v>
      </c>
      <c r="DX358" s="57"/>
      <c r="DY358" s="57"/>
      <c r="DZ358" s="65"/>
      <c r="EA358" s="65"/>
      <c r="EB358" s="65"/>
      <c r="EC358" s="68">
        <f t="shared" si="223"/>
        <v>0</v>
      </c>
      <c r="ED358" s="69"/>
      <c r="EE358" s="69"/>
      <c r="EF358" s="69"/>
      <c r="EG358" s="69"/>
      <c r="EH358" s="69"/>
      <c r="EI358" s="84">
        <f>SUM(Tableau1[[#This Row],[Transports sur films]:[autres ]])</f>
        <v>0</v>
      </c>
      <c r="EJ358" s="132">
        <v>0</v>
      </c>
      <c r="EK358" s="132"/>
      <c r="EL358" s="68">
        <f t="shared" si="224"/>
        <v>0</v>
      </c>
      <c r="EM358" s="65"/>
      <c r="EN358" s="65">
        <v>0</v>
      </c>
      <c r="EO358" s="65"/>
      <c r="EP358" s="65"/>
      <c r="EQ358" s="65"/>
      <c r="ER358" s="65"/>
      <c r="ES358" s="65"/>
      <c r="ET358" s="68">
        <f t="shared" si="225"/>
        <v>0</v>
      </c>
      <c r="EU358" s="65"/>
      <c r="EV358" s="65"/>
      <c r="EW358" s="65"/>
      <c r="EX358" s="65"/>
      <c r="EY358" s="65"/>
      <c r="EZ358" s="68">
        <f t="shared" si="202"/>
        <v>0</v>
      </c>
      <c r="FA358" s="65"/>
      <c r="FB358" s="65"/>
      <c r="FC358" s="70">
        <f t="shared" si="201"/>
        <v>0</v>
      </c>
      <c r="FD358" s="65"/>
      <c r="FE358" s="71">
        <f t="shared" si="226"/>
        <v>0</v>
      </c>
      <c r="FF358" s="72">
        <f t="shared" si="227"/>
        <v>0</v>
      </c>
      <c r="FG358" s="65"/>
      <c r="FH358" s="65"/>
      <c r="FI358" s="65"/>
      <c r="FJ358" s="56">
        <f t="shared" si="228"/>
        <v>0</v>
      </c>
      <c r="FK358" s="65"/>
      <c r="FL358" s="65"/>
      <c r="FM358" s="65"/>
      <c r="FN358" s="65"/>
      <c r="FO358" s="67">
        <f t="shared" si="229"/>
        <v>0</v>
      </c>
      <c r="FP358" s="57"/>
      <c r="FQ358" s="73"/>
      <c r="FR358" s="73"/>
      <c r="FS358" s="71">
        <f t="shared" si="230"/>
        <v>0</v>
      </c>
      <c r="FT358" s="91"/>
      <c r="FU358" s="91"/>
      <c r="FV358" s="67">
        <f>SUM(Tableau1[[#This Row],[Droits d''auteurs SACEM + cotisations SACEM]:[Autres ou non préciés]])</f>
        <v>0</v>
      </c>
      <c r="FW358" s="75">
        <f t="shared" si="231"/>
        <v>0</v>
      </c>
      <c r="FX358" s="74">
        <v>0</v>
      </c>
      <c r="FY358" s="74"/>
      <c r="FZ358" s="74"/>
      <c r="GA358" s="74"/>
      <c r="GB358" s="71">
        <f t="shared" si="232"/>
        <v>0</v>
      </c>
      <c r="GC358" s="92"/>
      <c r="GD358" s="92"/>
      <c r="GE358" s="67">
        <f t="shared" si="233"/>
        <v>0</v>
      </c>
      <c r="GF358" s="66"/>
      <c r="GG358" s="66"/>
      <c r="GH358" s="66"/>
      <c r="GI358" s="66"/>
      <c r="GJ358" s="77"/>
    </row>
    <row r="359" spans="1:192" ht="18.600000000000001" customHeight="1" x14ac:dyDescent="0.25">
      <c r="A359" s="89"/>
      <c r="B359" s="17"/>
      <c r="C359" s="50"/>
      <c r="D359" s="140"/>
      <c r="E359" s="51"/>
      <c r="F359" s="139">
        <f t="shared" si="198"/>
        <v>1</v>
      </c>
      <c r="G359" s="49"/>
      <c r="H359" s="50"/>
      <c r="I359" s="122"/>
      <c r="J359" s="49"/>
      <c r="K359" s="50"/>
      <c r="L359" s="50"/>
      <c r="M359" s="90"/>
      <c r="N359" s="50"/>
      <c r="O359" s="50"/>
      <c r="P359" s="90"/>
      <c r="Q359" s="52">
        <f t="shared" si="203"/>
        <v>0</v>
      </c>
      <c r="R359" s="52">
        <f t="shared" si="204"/>
        <v>0</v>
      </c>
      <c r="S359" s="53">
        <f t="shared" si="205"/>
        <v>0</v>
      </c>
      <c r="T359" s="54">
        <f t="shared" si="206"/>
        <v>0</v>
      </c>
      <c r="U359" s="115">
        <f>SUM(Tableau1[[#This Row],[Vente confiserie]:[Vente boisson]])</f>
        <v>0</v>
      </c>
      <c r="V359" s="95"/>
      <c r="W359" s="95"/>
      <c r="X359" s="136">
        <f>SUM(Tableau1[[#This Row],[Vente lunette]:[Location lunette]])</f>
        <v>0</v>
      </c>
      <c r="Y359" s="95"/>
      <c r="Z359" s="95"/>
      <c r="AA359" s="95"/>
      <c r="AB359" s="95"/>
      <c r="AC359" s="56">
        <f t="shared" si="235"/>
        <v>0</v>
      </c>
      <c r="AD359" s="57"/>
      <c r="AE359" s="57"/>
      <c r="AF359" s="57"/>
      <c r="AG359" s="57"/>
      <c r="AH359" s="57"/>
      <c r="AI359" s="57"/>
      <c r="AJ359" s="118">
        <f>(Tableau1[[#This Row],[Recette guichet ]]*1.1275177)-Tableau1[[#This Row],[Recette guichet ]]</f>
        <v>0</v>
      </c>
      <c r="AK359" s="57"/>
      <c r="AL359" s="56">
        <f t="shared" si="236"/>
        <v>0</v>
      </c>
      <c r="AM359" s="58"/>
      <c r="AN359" s="58"/>
      <c r="AO359" s="58"/>
      <c r="AP359" s="115">
        <f t="shared" si="207"/>
        <v>0</v>
      </c>
      <c r="AQ359" s="69"/>
      <c r="AR359" s="69"/>
      <c r="AS359" s="69"/>
      <c r="AT359" s="69"/>
      <c r="AU359" s="59">
        <f t="shared" si="208"/>
        <v>0</v>
      </c>
      <c r="AV359" s="60">
        <f t="shared" si="209"/>
        <v>0</v>
      </c>
      <c r="AW359" s="58"/>
      <c r="AX359" s="58"/>
      <c r="AY359" s="58"/>
      <c r="AZ359" s="60">
        <f t="shared" si="199"/>
        <v>0</v>
      </c>
      <c r="BA359" s="58"/>
      <c r="BB359" s="58"/>
      <c r="BC359" s="58"/>
      <c r="BD359" s="60">
        <f>SUM(Tableau1[[#This Row],[ticket/carte/abonnement périmé]:[Autres ou non précisé 5]])</f>
        <v>0</v>
      </c>
      <c r="BE359" s="58"/>
      <c r="BF359" s="58"/>
      <c r="BG359" s="58"/>
      <c r="BH359" s="61">
        <f t="shared" si="210"/>
        <v>0</v>
      </c>
      <c r="BI359" s="120"/>
      <c r="BJ359" s="120"/>
      <c r="BK359" s="62">
        <f t="shared" si="211"/>
        <v>0</v>
      </c>
      <c r="BL359" s="120"/>
      <c r="BM359" s="120"/>
      <c r="BN359" s="120"/>
      <c r="BO359" s="120"/>
      <c r="BP359" s="120"/>
      <c r="BQ359" s="63"/>
      <c r="BR359" s="52">
        <f t="shared" si="212"/>
        <v>0</v>
      </c>
      <c r="BS359" s="52">
        <f t="shared" si="213"/>
        <v>0</v>
      </c>
      <c r="BT359" s="61">
        <f t="shared" si="214"/>
        <v>0</v>
      </c>
      <c r="BU359" s="64">
        <f t="shared" si="215"/>
        <v>0</v>
      </c>
      <c r="BV359" s="119">
        <f>SUM(Tableau1[[#This Row],[Achats confiserie]:[Achats boisson]])</f>
        <v>0</v>
      </c>
      <c r="BW359" s="58"/>
      <c r="BX359" s="69"/>
      <c r="BY359" s="58"/>
      <c r="BZ359" s="56">
        <f t="shared" si="216"/>
        <v>0</v>
      </c>
      <c r="CA359" s="66"/>
      <c r="CB359" s="66"/>
      <c r="CC359" s="56">
        <f t="shared" si="217"/>
        <v>0</v>
      </c>
      <c r="CD359" s="55"/>
      <c r="CE359" s="65"/>
      <c r="CF359" s="55"/>
      <c r="CG359" s="55"/>
      <c r="CH359" s="67">
        <f t="shared" si="218"/>
        <v>0</v>
      </c>
      <c r="CI359" s="68">
        <f t="shared" si="234"/>
        <v>0</v>
      </c>
      <c r="CJ359" s="55"/>
      <c r="CK359" s="55"/>
      <c r="CL359" s="55"/>
      <c r="CM359" s="55"/>
      <c r="CN359" s="55"/>
      <c r="CO359" s="68">
        <f t="shared" si="219"/>
        <v>0</v>
      </c>
      <c r="CP359" s="75">
        <f>SUM(Tableau1[[#This Row],[Fourniture eau]:[Energie (non précisé)]])</f>
        <v>0</v>
      </c>
      <c r="CQ359" s="55"/>
      <c r="CR359" s="55"/>
      <c r="CS359" s="55"/>
      <c r="CT359" s="55"/>
      <c r="CU359" s="55"/>
      <c r="CV359" s="55">
        <v>0</v>
      </c>
      <c r="CW359" s="55"/>
      <c r="CX359" s="68">
        <f>SUM(Tableau1[[#This Row],[Sous-traitance]:[Autres ou non précisé 12]])</f>
        <v>0</v>
      </c>
      <c r="CY359" s="65"/>
      <c r="CZ359" s="65"/>
      <c r="DA359" s="65"/>
      <c r="DB359" s="65"/>
      <c r="DC359" s="55"/>
      <c r="DD359" s="68">
        <f t="shared" si="200"/>
        <v>0</v>
      </c>
      <c r="DE359" s="55"/>
      <c r="DF359" s="65"/>
      <c r="DG359" s="65"/>
      <c r="DH359" s="65"/>
      <c r="DI359" s="68">
        <f>SUM(Tableau1[[#This Row],[Entretien et réparation matériel de projection]:[Autres ou non précisé 14]])</f>
        <v>0</v>
      </c>
      <c r="DJ359" s="58"/>
      <c r="DK359" s="58"/>
      <c r="DL359" s="69"/>
      <c r="DM359" s="68">
        <f t="shared" si="220"/>
        <v>0</v>
      </c>
      <c r="DN359" s="58"/>
      <c r="DO359" s="58"/>
      <c r="DP359" s="68">
        <f t="shared" si="221"/>
        <v>0</v>
      </c>
      <c r="DQ359" s="65"/>
      <c r="DR359" s="65"/>
      <c r="DS359" s="68">
        <f t="shared" si="222"/>
        <v>0</v>
      </c>
      <c r="DT359" s="65"/>
      <c r="DU359" s="65"/>
      <c r="DV359" s="65"/>
      <c r="DW359" s="68">
        <f>SUM(Tableau1[[#This Row],[Comission et courtage sur achats]:[Autres ou honoraires
 non précisé ]])</f>
        <v>0</v>
      </c>
      <c r="DX359" s="57"/>
      <c r="DY359" s="57"/>
      <c r="DZ359" s="65"/>
      <c r="EA359" s="65"/>
      <c r="EB359" s="65"/>
      <c r="EC359" s="68">
        <f t="shared" si="223"/>
        <v>0</v>
      </c>
      <c r="ED359" s="69"/>
      <c r="EE359" s="69"/>
      <c r="EF359" s="69"/>
      <c r="EG359" s="69"/>
      <c r="EH359" s="69"/>
      <c r="EI359" s="84">
        <f>SUM(Tableau1[[#This Row],[Transports sur films]:[autres ]])</f>
        <v>0</v>
      </c>
      <c r="EJ359" s="132">
        <v>0</v>
      </c>
      <c r="EK359" s="132"/>
      <c r="EL359" s="68">
        <f t="shared" si="224"/>
        <v>0</v>
      </c>
      <c r="EM359" s="65"/>
      <c r="EN359" s="65">
        <v>0</v>
      </c>
      <c r="EO359" s="65"/>
      <c r="EP359" s="65"/>
      <c r="EQ359" s="65"/>
      <c r="ER359" s="65"/>
      <c r="ES359" s="65"/>
      <c r="ET359" s="68">
        <f t="shared" si="225"/>
        <v>0</v>
      </c>
      <c r="EU359" s="65"/>
      <c r="EV359" s="65"/>
      <c r="EW359" s="65"/>
      <c r="EX359" s="65"/>
      <c r="EY359" s="65"/>
      <c r="EZ359" s="68">
        <f t="shared" si="202"/>
        <v>0</v>
      </c>
      <c r="FA359" s="65"/>
      <c r="FB359" s="65"/>
      <c r="FC359" s="70">
        <f t="shared" si="201"/>
        <v>0</v>
      </c>
      <c r="FD359" s="65"/>
      <c r="FE359" s="71">
        <f t="shared" si="226"/>
        <v>0</v>
      </c>
      <c r="FF359" s="72">
        <f t="shared" si="227"/>
        <v>0</v>
      </c>
      <c r="FG359" s="65"/>
      <c r="FH359" s="65"/>
      <c r="FI359" s="65"/>
      <c r="FJ359" s="56">
        <f t="shared" si="228"/>
        <v>0</v>
      </c>
      <c r="FK359" s="65"/>
      <c r="FL359" s="65"/>
      <c r="FM359" s="65"/>
      <c r="FN359" s="65"/>
      <c r="FO359" s="67">
        <f t="shared" si="229"/>
        <v>0</v>
      </c>
      <c r="FP359" s="57"/>
      <c r="FQ359" s="73"/>
      <c r="FR359" s="73"/>
      <c r="FS359" s="71">
        <f t="shared" si="230"/>
        <v>0</v>
      </c>
      <c r="FT359" s="91"/>
      <c r="FU359" s="91"/>
      <c r="FV359" s="67">
        <f>SUM(Tableau1[[#This Row],[Droits d''auteurs SACEM + cotisations SACEM]:[Autres ou non préciés]])</f>
        <v>0</v>
      </c>
      <c r="FW359" s="75">
        <f t="shared" si="231"/>
        <v>0</v>
      </c>
      <c r="FX359" s="74">
        <v>0</v>
      </c>
      <c r="FY359" s="74"/>
      <c r="FZ359" s="74"/>
      <c r="GA359" s="74"/>
      <c r="GB359" s="71">
        <f t="shared" si="232"/>
        <v>0</v>
      </c>
      <c r="GC359" s="92"/>
      <c r="GD359" s="92"/>
      <c r="GE359" s="67">
        <f t="shared" si="233"/>
        <v>0</v>
      </c>
      <c r="GF359" s="66"/>
      <c r="GG359" s="66"/>
      <c r="GH359" s="66"/>
      <c r="GI359" s="66"/>
      <c r="GJ359" s="77"/>
    </row>
    <row r="360" spans="1:192" ht="18.600000000000001" customHeight="1" x14ac:dyDescent="0.25">
      <c r="A360" s="89"/>
      <c r="B360" s="17"/>
      <c r="C360" s="50"/>
      <c r="D360" s="140"/>
      <c r="E360" s="51"/>
      <c r="F360" s="139">
        <f t="shared" si="198"/>
        <v>1</v>
      </c>
      <c r="G360" s="49"/>
      <c r="H360" s="50"/>
      <c r="I360" s="122"/>
      <c r="J360" s="49"/>
      <c r="K360" s="50"/>
      <c r="L360" s="50"/>
      <c r="M360" s="90"/>
      <c r="N360" s="50"/>
      <c r="O360" s="50"/>
      <c r="P360" s="90"/>
      <c r="Q360" s="52">
        <f t="shared" si="203"/>
        <v>0</v>
      </c>
      <c r="R360" s="52">
        <f t="shared" si="204"/>
        <v>0</v>
      </c>
      <c r="S360" s="53">
        <f t="shared" si="205"/>
        <v>0</v>
      </c>
      <c r="T360" s="54">
        <f t="shared" si="206"/>
        <v>0</v>
      </c>
      <c r="U360" s="115">
        <f>SUM(Tableau1[[#This Row],[Vente confiserie]:[Vente boisson]])</f>
        <v>0</v>
      </c>
      <c r="V360" s="95"/>
      <c r="W360" s="95"/>
      <c r="X360" s="136">
        <f>SUM(Tableau1[[#This Row],[Vente lunette]:[Location lunette]])</f>
        <v>0</v>
      </c>
      <c r="Y360" s="95"/>
      <c r="Z360" s="95"/>
      <c r="AA360" s="95"/>
      <c r="AB360" s="95"/>
      <c r="AC360" s="56">
        <f t="shared" si="235"/>
        <v>0</v>
      </c>
      <c r="AD360" s="57"/>
      <c r="AE360" s="57"/>
      <c r="AF360" s="57"/>
      <c r="AG360" s="57"/>
      <c r="AH360" s="57"/>
      <c r="AI360" s="57"/>
      <c r="AJ360" s="118">
        <f>(Tableau1[[#This Row],[Recette guichet ]]*1.1275177)-Tableau1[[#This Row],[Recette guichet ]]</f>
        <v>0</v>
      </c>
      <c r="AK360" s="57"/>
      <c r="AL360" s="56">
        <f t="shared" si="236"/>
        <v>0</v>
      </c>
      <c r="AM360" s="58"/>
      <c r="AN360" s="58"/>
      <c r="AO360" s="58"/>
      <c r="AP360" s="115">
        <f t="shared" si="207"/>
        <v>0</v>
      </c>
      <c r="AQ360" s="69"/>
      <c r="AR360" s="69"/>
      <c r="AS360" s="69"/>
      <c r="AT360" s="69"/>
      <c r="AU360" s="59">
        <f t="shared" si="208"/>
        <v>0</v>
      </c>
      <c r="AV360" s="60">
        <f t="shared" si="209"/>
        <v>0</v>
      </c>
      <c r="AW360" s="58"/>
      <c r="AX360" s="58"/>
      <c r="AY360" s="58"/>
      <c r="AZ360" s="60">
        <f t="shared" si="199"/>
        <v>0</v>
      </c>
      <c r="BA360" s="58"/>
      <c r="BB360" s="58"/>
      <c r="BC360" s="58"/>
      <c r="BD360" s="60">
        <f>SUM(Tableau1[[#This Row],[ticket/carte/abonnement périmé]:[Autres ou non précisé 5]])</f>
        <v>0</v>
      </c>
      <c r="BE360" s="58"/>
      <c r="BF360" s="58"/>
      <c r="BG360" s="58"/>
      <c r="BH360" s="61">
        <f t="shared" si="210"/>
        <v>0</v>
      </c>
      <c r="BI360" s="120"/>
      <c r="BJ360" s="120"/>
      <c r="BK360" s="62">
        <f t="shared" si="211"/>
        <v>0</v>
      </c>
      <c r="BL360" s="120"/>
      <c r="BM360" s="120"/>
      <c r="BN360" s="120"/>
      <c r="BO360" s="120"/>
      <c r="BP360" s="120"/>
      <c r="BQ360" s="63"/>
      <c r="BR360" s="52">
        <f t="shared" si="212"/>
        <v>0</v>
      </c>
      <c r="BS360" s="52">
        <f t="shared" si="213"/>
        <v>0</v>
      </c>
      <c r="BT360" s="61">
        <f t="shared" si="214"/>
        <v>0</v>
      </c>
      <c r="BU360" s="64">
        <f t="shared" si="215"/>
        <v>0</v>
      </c>
      <c r="BV360" s="119">
        <f>SUM(Tableau1[[#This Row],[Achats confiserie]:[Achats boisson]])</f>
        <v>0</v>
      </c>
      <c r="BW360" s="58"/>
      <c r="BX360" s="69"/>
      <c r="BY360" s="58"/>
      <c r="BZ360" s="56">
        <f t="shared" si="216"/>
        <v>0</v>
      </c>
      <c r="CA360" s="66"/>
      <c r="CB360" s="66"/>
      <c r="CC360" s="56">
        <f t="shared" si="217"/>
        <v>0</v>
      </c>
      <c r="CD360" s="55"/>
      <c r="CE360" s="65"/>
      <c r="CF360" s="55"/>
      <c r="CG360" s="55"/>
      <c r="CH360" s="67">
        <f t="shared" si="218"/>
        <v>0</v>
      </c>
      <c r="CI360" s="68">
        <f t="shared" si="234"/>
        <v>0</v>
      </c>
      <c r="CJ360" s="55"/>
      <c r="CK360" s="55"/>
      <c r="CL360" s="55"/>
      <c r="CM360" s="55"/>
      <c r="CN360" s="55"/>
      <c r="CO360" s="68">
        <f t="shared" si="219"/>
        <v>0</v>
      </c>
      <c r="CP360" s="75">
        <f>SUM(Tableau1[[#This Row],[Fourniture eau]:[Energie (non précisé)]])</f>
        <v>0</v>
      </c>
      <c r="CQ360" s="55"/>
      <c r="CR360" s="55"/>
      <c r="CS360" s="55"/>
      <c r="CT360" s="55"/>
      <c r="CU360" s="55"/>
      <c r="CV360" s="55">
        <v>0</v>
      </c>
      <c r="CW360" s="55"/>
      <c r="CX360" s="68">
        <f>SUM(Tableau1[[#This Row],[Sous-traitance]:[Autres ou non précisé 12]])</f>
        <v>0</v>
      </c>
      <c r="CY360" s="65"/>
      <c r="CZ360" s="65"/>
      <c r="DA360" s="65"/>
      <c r="DB360" s="65"/>
      <c r="DC360" s="55"/>
      <c r="DD360" s="68">
        <f t="shared" si="200"/>
        <v>0</v>
      </c>
      <c r="DE360" s="55"/>
      <c r="DF360" s="65"/>
      <c r="DG360" s="65"/>
      <c r="DH360" s="65"/>
      <c r="DI360" s="68">
        <f>SUM(Tableau1[[#This Row],[Entretien et réparation matériel de projection]:[Autres ou non précisé 14]])</f>
        <v>0</v>
      </c>
      <c r="DJ360" s="58"/>
      <c r="DK360" s="58"/>
      <c r="DL360" s="69"/>
      <c r="DM360" s="68">
        <f t="shared" si="220"/>
        <v>0</v>
      </c>
      <c r="DN360" s="58"/>
      <c r="DO360" s="58"/>
      <c r="DP360" s="68">
        <f t="shared" si="221"/>
        <v>0</v>
      </c>
      <c r="DQ360" s="65"/>
      <c r="DR360" s="65"/>
      <c r="DS360" s="68">
        <f t="shared" si="222"/>
        <v>0</v>
      </c>
      <c r="DT360" s="65"/>
      <c r="DU360" s="65"/>
      <c r="DV360" s="65"/>
      <c r="DW360" s="68">
        <f>SUM(Tableau1[[#This Row],[Comission et courtage sur achats]:[Autres ou honoraires
 non précisé ]])</f>
        <v>0</v>
      </c>
      <c r="DX360" s="57"/>
      <c r="DY360" s="57"/>
      <c r="DZ360" s="65"/>
      <c r="EA360" s="65"/>
      <c r="EB360" s="65"/>
      <c r="EC360" s="68">
        <f t="shared" si="223"/>
        <v>0</v>
      </c>
      <c r="ED360" s="69"/>
      <c r="EE360" s="69"/>
      <c r="EF360" s="69"/>
      <c r="EG360" s="69"/>
      <c r="EH360" s="69"/>
      <c r="EI360" s="84">
        <f>SUM(Tableau1[[#This Row],[Transports sur films]:[autres ]])</f>
        <v>0</v>
      </c>
      <c r="EJ360" s="132">
        <v>0</v>
      </c>
      <c r="EK360" s="132"/>
      <c r="EL360" s="68">
        <f t="shared" si="224"/>
        <v>0</v>
      </c>
      <c r="EM360" s="65"/>
      <c r="EN360" s="65">
        <v>0</v>
      </c>
      <c r="EO360" s="65"/>
      <c r="EP360" s="65"/>
      <c r="EQ360" s="65"/>
      <c r="ER360" s="65"/>
      <c r="ES360" s="65"/>
      <c r="ET360" s="68">
        <f t="shared" si="225"/>
        <v>0</v>
      </c>
      <c r="EU360" s="65"/>
      <c r="EV360" s="65"/>
      <c r="EW360" s="65"/>
      <c r="EX360" s="65"/>
      <c r="EY360" s="65"/>
      <c r="EZ360" s="68">
        <f t="shared" si="202"/>
        <v>0</v>
      </c>
      <c r="FA360" s="65"/>
      <c r="FB360" s="65"/>
      <c r="FC360" s="70">
        <f t="shared" si="201"/>
        <v>0</v>
      </c>
      <c r="FD360" s="65"/>
      <c r="FE360" s="71">
        <f t="shared" si="226"/>
        <v>0</v>
      </c>
      <c r="FF360" s="72">
        <f t="shared" si="227"/>
        <v>0</v>
      </c>
      <c r="FG360" s="65"/>
      <c r="FH360" s="65"/>
      <c r="FI360" s="65"/>
      <c r="FJ360" s="56">
        <f t="shared" si="228"/>
        <v>0</v>
      </c>
      <c r="FK360" s="65"/>
      <c r="FL360" s="65"/>
      <c r="FM360" s="65"/>
      <c r="FN360" s="65"/>
      <c r="FO360" s="67">
        <f t="shared" si="229"/>
        <v>0</v>
      </c>
      <c r="FP360" s="57"/>
      <c r="FQ360" s="73"/>
      <c r="FR360" s="73"/>
      <c r="FS360" s="71">
        <f t="shared" si="230"/>
        <v>0</v>
      </c>
      <c r="FT360" s="91"/>
      <c r="FU360" s="91"/>
      <c r="FV360" s="67">
        <f>SUM(Tableau1[[#This Row],[Droits d''auteurs SACEM + cotisations SACEM]:[Autres ou non préciés]])</f>
        <v>0</v>
      </c>
      <c r="FW360" s="75">
        <f t="shared" si="231"/>
        <v>0</v>
      </c>
      <c r="FX360" s="74">
        <v>0</v>
      </c>
      <c r="FY360" s="74"/>
      <c r="FZ360" s="74"/>
      <c r="GA360" s="74"/>
      <c r="GB360" s="71">
        <f t="shared" si="232"/>
        <v>0</v>
      </c>
      <c r="GC360" s="92"/>
      <c r="GD360" s="92"/>
      <c r="GE360" s="67">
        <f t="shared" si="233"/>
        <v>0</v>
      </c>
      <c r="GF360" s="66"/>
      <c r="GG360" s="66"/>
      <c r="GH360" s="66"/>
      <c r="GI360" s="66"/>
      <c r="GJ360" s="77"/>
    </row>
    <row r="361" spans="1:192" ht="18.600000000000001" customHeight="1" x14ac:dyDescent="0.25">
      <c r="A361" s="89"/>
      <c r="B361" s="17"/>
      <c r="C361" s="50"/>
      <c r="D361" s="140"/>
      <c r="E361" s="51"/>
      <c r="F361" s="139">
        <f t="shared" si="198"/>
        <v>1</v>
      </c>
      <c r="G361" s="49"/>
      <c r="H361" s="50"/>
      <c r="I361" s="122"/>
      <c r="J361" s="49"/>
      <c r="K361" s="50"/>
      <c r="L361" s="50"/>
      <c r="M361" s="90"/>
      <c r="N361" s="50"/>
      <c r="O361" s="50"/>
      <c r="P361" s="90"/>
      <c r="Q361" s="52">
        <f t="shared" si="203"/>
        <v>0</v>
      </c>
      <c r="R361" s="52">
        <f t="shared" si="204"/>
        <v>0</v>
      </c>
      <c r="S361" s="53">
        <f t="shared" si="205"/>
        <v>0</v>
      </c>
      <c r="T361" s="54">
        <f t="shared" si="206"/>
        <v>0</v>
      </c>
      <c r="U361" s="115">
        <f>SUM(Tableau1[[#This Row],[Vente confiserie]:[Vente boisson]])</f>
        <v>0</v>
      </c>
      <c r="V361" s="95"/>
      <c r="W361" s="95"/>
      <c r="X361" s="136">
        <f>SUM(Tableau1[[#This Row],[Vente lunette]:[Location lunette]])</f>
        <v>0</v>
      </c>
      <c r="Y361" s="95"/>
      <c r="Z361" s="95"/>
      <c r="AA361" s="95"/>
      <c r="AB361" s="95"/>
      <c r="AC361" s="56">
        <f t="shared" si="235"/>
        <v>0</v>
      </c>
      <c r="AD361" s="57"/>
      <c r="AE361" s="57"/>
      <c r="AF361" s="57"/>
      <c r="AG361" s="57"/>
      <c r="AH361" s="57"/>
      <c r="AI361" s="57"/>
      <c r="AJ361" s="118">
        <f>(Tableau1[[#This Row],[Recette guichet ]]*1.1275177)-Tableau1[[#This Row],[Recette guichet ]]</f>
        <v>0</v>
      </c>
      <c r="AK361" s="57"/>
      <c r="AL361" s="56">
        <f t="shared" si="236"/>
        <v>0</v>
      </c>
      <c r="AM361" s="58"/>
      <c r="AN361" s="58"/>
      <c r="AO361" s="58"/>
      <c r="AP361" s="115">
        <f t="shared" si="207"/>
        <v>0</v>
      </c>
      <c r="AQ361" s="69"/>
      <c r="AR361" s="69"/>
      <c r="AS361" s="69"/>
      <c r="AT361" s="69"/>
      <c r="AU361" s="59">
        <f t="shared" si="208"/>
        <v>0</v>
      </c>
      <c r="AV361" s="60">
        <f t="shared" si="209"/>
        <v>0</v>
      </c>
      <c r="AW361" s="58"/>
      <c r="AX361" s="58"/>
      <c r="AY361" s="58"/>
      <c r="AZ361" s="60">
        <f t="shared" si="199"/>
        <v>0</v>
      </c>
      <c r="BA361" s="58"/>
      <c r="BB361" s="58"/>
      <c r="BC361" s="58"/>
      <c r="BD361" s="60">
        <f>SUM(Tableau1[[#This Row],[ticket/carte/abonnement périmé]:[Autres ou non précisé 5]])</f>
        <v>0</v>
      </c>
      <c r="BE361" s="58"/>
      <c r="BF361" s="58"/>
      <c r="BG361" s="58"/>
      <c r="BH361" s="61">
        <f t="shared" si="210"/>
        <v>0</v>
      </c>
      <c r="BI361" s="120"/>
      <c r="BJ361" s="120"/>
      <c r="BK361" s="62">
        <f t="shared" si="211"/>
        <v>0</v>
      </c>
      <c r="BL361" s="120"/>
      <c r="BM361" s="120"/>
      <c r="BN361" s="120"/>
      <c r="BO361" s="120"/>
      <c r="BP361" s="120"/>
      <c r="BQ361" s="63"/>
      <c r="BR361" s="52">
        <f t="shared" si="212"/>
        <v>0</v>
      </c>
      <c r="BS361" s="52">
        <f t="shared" si="213"/>
        <v>0</v>
      </c>
      <c r="BT361" s="61">
        <f t="shared" si="214"/>
        <v>0</v>
      </c>
      <c r="BU361" s="64">
        <f t="shared" si="215"/>
        <v>0</v>
      </c>
      <c r="BV361" s="119">
        <f>SUM(Tableau1[[#This Row],[Achats confiserie]:[Achats boisson]])</f>
        <v>0</v>
      </c>
      <c r="BW361" s="58"/>
      <c r="BX361" s="69"/>
      <c r="BY361" s="58"/>
      <c r="BZ361" s="56">
        <f t="shared" si="216"/>
        <v>0</v>
      </c>
      <c r="CA361" s="66"/>
      <c r="CB361" s="66"/>
      <c r="CC361" s="56">
        <f t="shared" si="217"/>
        <v>0</v>
      </c>
      <c r="CD361" s="55"/>
      <c r="CE361" s="65"/>
      <c r="CF361" s="55"/>
      <c r="CG361" s="55"/>
      <c r="CH361" s="67">
        <f t="shared" si="218"/>
        <v>0</v>
      </c>
      <c r="CI361" s="68">
        <f t="shared" si="234"/>
        <v>0</v>
      </c>
      <c r="CJ361" s="55"/>
      <c r="CK361" s="55"/>
      <c r="CL361" s="55"/>
      <c r="CM361" s="55"/>
      <c r="CN361" s="55"/>
      <c r="CO361" s="68">
        <f t="shared" si="219"/>
        <v>0</v>
      </c>
      <c r="CP361" s="75">
        <f>SUM(Tableau1[[#This Row],[Fourniture eau]:[Energie (non précisé)]])</f>
        <v>0</v>
      </c>
      <c r="CQ361" s="55"/>
      <c r="CR361" s="55"/>
      <c r="CS361" s="55"/>
      <c r="CT361" s="55"/>
      <c r="CU361" s="55"/>
      <c r="CV361" s="55">
        <v>0</v>
      </c>
      <c r="CW361" s="55"/>
      <c r="CX361" s="68">
        <f>SUM(Tableau1[[#This Row],[Sous-traitance]:[Autres ou non précisé 12]])</f>
        <v>0</v>
      </c>
      <c r="CY361" s="65"/>
      <c r="CZ361" s="65"/>
      <c r="DA361" s="65"/>
      <c r="DB361" s="65"/>
      <c r="DC361" s="55"/>
      <c r="DD361" s="68">
        <f t="shared" si="200"/>
        <v>0</v>
      </c>
      <c r="DE361" s="55"/>
      <c r="DF361" s="65"/>
      <c r="DG361" s="65"/>
      <c r="DH361" s="65"/>
      <c r="DI361" s="68">
        <f>SUM(Tableau1[[#This Row],[Entretien et réparation matériel de projection]:[Autres ou non précisé 14]])</f>
        <v>0</v>
      </c>
      <c r="DJ361" s="58"/>
      <c r="DK361" s="58"/>
      <c r="DL361" s="69"/>
      <c r="DM361" s="68">
        <f t="shared" si="220"/>
        <v>0</v>
      </c>
      <c r="DN361" s="58"/>
      <c r="DO361" s="58"/>
      <c r="DP361" s="68">
        <f t="shared" si="221"/>
        <v>0</v>
      </c>
      <c r="DQ361" s="65"/>
      <c r="DR361" s="65"/>
      <c r="DS361" s="68">
        <f t="shared" si="222"/>
        <v>0</v>
      </c>
      <c r="DT361" s="65"/>
      <c r="DU361" s="65"/>
      <c r="DV361" s="65"/>
      <c r="DW361" s="68">
        <f>SUM(Tableau1[[#This Row],[Comission et courtage sur achats]:[Autres ou honoraires
 non précisé ]])</f>
        <v>0</v>
      </c>
      <c r="DX361" s="57"/>
      <c r="DY361" s="57"/>
      <c r="DZ361" s="65"/>
      <c r="EA361" s="65"/>
      <c r="EB361" s="65"/>
      <c r="EC361" s="68">
        <f t="shared" si="223"/>
        <v>0</v>
      </c>
      <c r="ED361" s="69"/>
      <c r="EE361" s="69"/>
      <c r="EF361" s="69"/>
      <c r="EG361" s="69"/>
      <c r="EH361" s="69"/>
      <c r="EI361" s="84">
        <f>SUM(Tableau1[[#This Row],[Transports sur films]:[autres ]])</f>
        <v>0</v>
      </c>
      <c r="EJ361" s="132">
        <v>0</v>
      </c>
      <c r="EK361" s="132"/>
      <c r="EL361" s="68">
        <f t="shared" si="224"/>
        <v>0</v>
      </c>
      <c r="EM361" s="65"/>
      <c r="EN361" s="65">
        <v>0</v>
      </c>
      <c r="EO361" s="65"/>
      <c r="EP361" s="65"/>
      <c r="EQ361" s="65"/>
      <c r="ER361" s="65"/>
      <c r="ES361" s="65"/>
      <c r="ET361" s="68">
        <f t="shared" si="225"/>
        <v>0</v>
      </c>
      <c r="EU361" s="65"/>
      <c r="EV361" s="65"/>
      <c r="EW361" s="65"/>
      <c r="EX361" s="65"/>
      <c r="EY361" s="65"/>
      <c r="EZ361" s="68">
        <f t="shared" si="202"/>
        <v>0</v>
      </c>
      <c r="FA361" s="65"/>
      <c r="FB361" s="65"/>
      <c r="FC361" s="70">
        <f t="shared" si="201"/>
        <v>0</v>
      </c>
      <c r="FD361" s="65"/>
      <c r="FE361" s="71">
        <f t="shared" si="226"/>
        <v>0</v>
      </c>
      <c r="FF361" s="72">
        <f t="shared" si="227"/>
        <v>0</v>
      </c>
      <c r="FG361" s="65"/>
      <c r="FH361" s="65"/>
      <c r="FI361" s="65"/>
      <c r="FJ361" s="56">
        <f t="shared" si="228"/>
        <v>0</v>
      </c>
      <c r="FK361" s="65"/>
      <c r="FL361" s="65"/>
      <c r="FM361" s="65"/>
      <c r="FN361" s="65"/>
      <c r="FO361" s="67">
        <f t="shared" si="229"/>
        <v>0</v>
      </c>
      <c r="FP361" s="57"/>
      <c r="FQ361" s="73"/>
      <c r="FR361" s="73"/>
      <c r="FS361" s="71">
        <f t="shared" si="230"/>
        <v>0</v>
      </c>
      <c r="FT361" s="91"/>
      <c r="FU361" s="91"/>
      <c r="FV361" s="67">
        <f>SUM(Tableau1[[#This Row],[Droits d''auteurs SACEM + cotisations SACEM]:[Autres ou non préciés]])</f>
        <v>0</v>
      </c>
      <c r="FW361" s="75">
        <f t="shared" si="231"/>
        <v>0</v>
      </c>
      <c r="FX361" s="74">
        <v>0</v>
      </c>
      <c r="FY361" s="74"/>
      <c r="FZ361" s="74"/>
      <c r="GA361" s="74"/>
      <c r="GB361" s="71">
        <f t="shared" si="232"/>
        <v>0</v>
      </c>
      <c r="GC361" s="92"/>
      <c r="GD361" s="92"/>
      <c r="GE361" s="67">
        <f t="shared" si="233"/>
        <v>0</v>
      </c>
      <c r="GF361" s="66"/>
      <c r="GG361" s="66"/>
      <c r="GH361" s="66"/>
      <c r="GI361" s="66"/>
      <c r="GJ361" s="77"/>
    </row>
    <row r="362" spans="1:192" ht="18.600000000000001" customHeight="1" x14ac:dyDescent="0.25">
      <c r="A362" s="89"/>
      <c r="B362" s="17"/>
      <c r="C362" s="50"/>
      <c r="D362" s="140"/>
      <c r="E362" s="51"/>
      <c r="F362" s="139">
        <f t="shared" ref="F362:F425" si="237">DATEDIF(D362,E362,"m")+1</f>
        <v>1</v>
      </c>
      <c r="G362" s="49"/>
      <c r="H362" s="50"/>
      <c r="I362" s="122"/>
      <c r="J362" s="49"/>
      <c r="K362" s="50"/>
      <c r="L362" s="50"/>
      <c r="M362" s="90"/>
      <c r="N362" s="50"/>
      <c r="O362" s="50"/>
      <c r="P362" s="90"/>
      <c r="Q362" s="52">
        <f t="shared" si="203"/>
        <v>0</v>
      </c>
      <c r="R362" s="52">
        <f t="shared" si="204"/>
        <v>0</v>
      </c>
      <c r="S362" s="53">
        <f t="shared" si="205"/>
        <v>0</v>
      </c>
      <c r="T362" s="54">
        <f t="shared" si="206"/>
        <v>0</v>
      </c>
      <c r="U362" s="115">
        <f>SUM(Tableau1[[#This Row],[Vente confiserie]:[Vente boisson]])</f>
        <v>0</v>
      </c>
      <c r="V362" s="95"/>
      <c r="W362" s="95"/>
      <c r="X362" s="136">
        <f>SUM(Tableau1[[#This Row],[Vente lunette]:[Location lunette]])</f>
        <v>0</v>
      </c>
      <c r="Y362" s="95"/>
      <c r="Z362" s="95"/>
      <c r="AA362" s="95"/>
      <c r="AB362" s="95"/>
      <c r="AC362" s="56">
        <f t="shared" si="235"/>
        <v>0</v>
      </c>
      <c r="AD362" s="57"/>
      <c r="AE362" s="57"/>
      <c r="AF362" s="57"/>
      <c r="AG362" s="57"/>
      <c r="AH362" s="57"/>
      <c r="AI362" s="57"/>
      <c r="AJ362" s="118">
        <f>(Tableau1[[#This Row],[Recette guichet ]]*1.1275177)-Tableau1[[#This Row],[Recette guichet ]]</f>
        <v>0</v>
      </c>
      <c r="AK362" s="57"/>
      <c r="AL362" s="56">
        <f t="shared" si="236"/>
        <v>0</v>
      </c>
      <c r="AM362" s="58"/>
      <c r="AN362" s="58"/>
      <c r="AO362" s="58"/>
      <c r="AP362" s="115">
        <f t="shared" si="207"/>
        <v>0</v>
      </c>
      <c r="AQ362" s="69"/>
      <c r="AR362" s="69"/>
      <c r="AS362" s="69"/>
      <c r="AT362" s="69"/>
      <c r="AU362" s="59">
        <f t="shared" si="208"/>
        <v>0</v>
      </c>
      <c r="AV362" s="60">
        <f t="shared" si="209"/>
        <v>0</v>
      </c>
      <c r="AW362" s="58"/>
      <c r="AX362" s="58"/>
      <c r="AY362" s="58"/>
      <c r="AZ362" s="60">
        <f t="shared" si="199"/>
        <v>0</v>
      </c>
      <c r="BA362" s="58"/>
      <c r="BB362" s="58"/>
      <c r="BC362" s="58"/>
      <c r="BD362" s="60">
        <f>SUM(Tableau1[[#This Row],[ticket/carte/abonnement périmé]:[Autres ou non précisé 5]])</f>
        <v>0</v>
      </c>
      <c r="BE362" s="58"/>
      <c r="BF362" s="58"/>
      <c r="BG362" s="58"/>
      <c r="BH362" s="61">
        <f t="shared" si="210"/>
        <v>0</v>
      </c>
      <c r="BI362" s="120"/>
      <c r="BJ362" s="120"/>
      <c r="BK362" s="62">
        <f t="shared" si="211"/>
        <v>0</v>
      </c>
      <c r="BL362" s="120"/>
      <c r="BM362" s="120"/>
      <c r="BN362" s="120"/>
      <c r="BO362" s="120"/>
      <c r="BP362" s="120"/>
      <c r="BQ362" s="63"/>
      <c r="BR362" s="52">
        <f t="shared" si="212"/>
        <v>0</v>
      </c>
      <c r="BS362" s="52">
        <f t="shared" si="213"/>
        <v>0</v>
      </c>
      <c r="BT362" s="61">
        <f t="shared" si="214"/>
        <v>0</v>
      </c>
      <c r="BU362" s="64">
        <f t="shared" si="215"/>
        <v>0</v>
      </c>
      <c r="BV362" s="119">
        <f>SUM(Tableau1[[#This Row],[Achats confiserie]:[Achats boisson]])</f>
        <v>0</v>
      </c>
      <c r="BW362" s="58"/>
      <c r="BX362" s="69"/>
      <c r="BY362" s="58"/>
      <c r="BZ362" s="56">
        <f t="shared" si="216"/>
        <v>0</v>
      </c>
      <c r="CA362" s="66"/>
      <c r="CB362" s="66"/>
      <c r="CC362" s="56">
        <f t="shared" si="217"/>
        <v>0</v>
      </c>
      <c r="CD362" s="55"/>
      <c r="CE362" s="65"/>
      <c r="CF362" s="55"/>
      <c r="CG362" s="55"/>
      <c r="CH362" s="67">
        <f t="shared" si="218"/>
        <v>0</v>
      </c>
      <c r="CI362" s="68">
        <f t="shared" si="234"/>
        <v>0</v>
      </c>
      <c r="CJ362" s="55"/>
      <c r="CK362" s="55"/>
      <c r="CL362" s="55"/>
      <c r="CM362" s="55"/>
      <c r="CN362" s="55"/>
      <c r="CO362" s="68">
        <f t="shared" si="219"/>
        <v>0</v>
      </c>
      <c r="CP362" s="75">
        <f>SUM(Tableau1[[#This Row],[Fourniture eau]:[Energie (non précisé)]])</f>
        <v>0</v>
      </c>
      <c r="CQ362" s="55"/>
      <c r="CR362" s="55"/>
      <c r="CS362" s="55"/>
      <c r="CT362" s="55"/>
      <c r="CU362" s="55"/>
      <c r="CV362" s="55">
        <v>0</v>
      </c>
      <c r="CW362" s="55"/>
      <c r="CX362" s="68">
        <f>SUM(Tableau1[[#This Row],[Sous-traitance]:[Autres ou non précisé 12]])</f>
        <v>0</v>
      </c>
      <c r="CY362" s="65"/>
      <c r="CZ362" s="65"/>
      <c r="DA362" s="65"/>
      <c r="DB362" s="65"/>
      <c r="DC362" s="55"/>
      <c r="DD362" s="68">
        <f t="shared" si="200"/>
        <v>0</v>
      </c>
      <c r="DE362" s="55"/>
      <c r="DF362" s="65"/>
      <c r="DG362" s="65"/>
      <c r="DH362" s="65"/>
      <c r="DI362" s="68">
        <f>SUM(Tableau1[[#This Row],[Entretien et réparation matériel de projection]:[Autres ou non précisé 14]])</f>
        <v>0</v>
      </c>
      <c r="DJ362" s="58"/>
      <c r="DK362" s="58"/>
      <c r="DL362" s="69"/>
      <c r="DM362" s="68">
        <f t="shared" si="220"/>
        <v>0</v>
      </c>
      <c r="DN362" s="58"/>
      <c r="DO362" s="58"/>
      <c r="DP362" s="68">
        <f t="shared" si="221"/>
        <v>0</v>
      </c>
      <c r="DQ362" s="65"/>
      <c r="DR362" s="65"/>
      <c r="DS362" s="68">
        <f t="shared" si="222"/>
        <v>0</v>
      </c>
      <c r="DT362" s="65"/>
      <c r="DU362" s="65"/>
      <c r="DV362" s="65"/>
      <c r="DW362" s="68">
        <f>SUM(Tableau1[[#This Row],[Comission et courtage sur achats]:[Autres ou honoraires
 non précisé ]])</f>
        <v>0</v>
      </c>
      <c r="DX362" s="57"/>
      <c r="DY362" s="57"/>
      <c r="DZ362" s="65"/>
      <c r="EA362" s="65"/>
      <c r="EB362" s="65"/>
      <c r="EC362" s="68">
        <f t="shared" si="223"/>
        <v>0</v>
      </c>
      <c r="ED362" s="69"/>
      <c r="EE362" s="69"/>
      <c r="EF362" s="69"/>
      <c r="EG362" s="69"/>
      <c r="EH362" s="69"/>
      <c r="EI362" s="84">
        <f>SUM(Tableau1[[#This Row],[Transports sur films]:[autres ]])</f>
        <v>0</v>
      </c>
      <c r="EJ362" s="132">
        <v>0</v>
      </c>
      <c r="EK362" s="132"/>
      <c r="EL362" s="68">
        <f t="shared" si="224"/>
        <v>0</v>
      </c>
      <c r="EM362" s="65"/>
      <c r="EN362" s="65">
        <v>0</v>
      </c>
      <c r="EO362" s="65"/>
      <c r="EP362" s="65"/>
      <c r="EQ362" s="65"/>
      <c r="ER362" s="65"/>
      <c r="ES362" s="65"/>
      <c r="ET362" s="68">
        <f t="shared" si="225"/>
        <v>0</v>
      </c>
      <c r="EU362" s="65"/>
      <c r="EV362" s="65"/>
      <c r="EW362" s="65"/>
      <c r="EX362" s="65"/>
      <c r="EY362" s="65"/>
      <c r="EZ362" s="68">
        <f t="shared" si="202"/>
        <v>0</v>
      </c>
      <c r="FA362" s="65"/>
      <c r="FB362" s="65"/>
      <c r="FC362" s="70">
        <f t="shared" si="201"/>
        <v>0</v>
      </c>
      <c r="FD362" s="65"/>
      <c r="FE362" s="71">
        <f t="shared" si="226"/>
        <v>0</v>
      </c>
      <c r="FF362" s="72">
        <f t="shared" si="227"/>
        <v>0</v>
      </c>
      <c r="FG362" s="65"/>
      <c r="FH362" s="65"/>
      <c r="FI362" s="65"/>
      <c r="FJ362" s="56">
        <f t="shared" si="228"/>
        <v>0</v>
      </c>
      <c r="FK362" s="65"/>
      <c r="FL362" s="65"/>
      <c r="FM362" s="65"/>
      <c r="FN362" s="65"/>
      <c r="FO362" s="67">
        <f t="shared" si="229"/>
        <v>0</v>
      </c>
      <c r="FP362" s="57"/>
      <c r="FQ362" s="73"/>
      <c r="FR362" s="73"/>
      <c r="FS362" s="71">
        <f t="shared" si="230"/>
        <v>0</v>
      </c>
      <c r="FT362" s="91"/>
      <c r="FU362" s="91"/>
      <c r="FV362" s="67">
        <f>SUM(Tableau1[[#This Row],[Droits d''auteurs SACEM + cotisations SACEM]:[Autres ou non préciés]])</f>
        <v>0</v>
      </c>
      <c r="FW362" s="75">
        <f t="shared" si="231"/>
        <v>0</v>
      </c>
      <c r="FX362" s="74">
        <v>0</v>
      </c>
      <c r="FY362" s="74"/>
      <c r="FZ362" s="74"/>
      <c r="GA362" s="74"/>
      <c r="GB362" s="71">
        <f t="shared" si="232"/>
        <v>0</v>
      </c>
      <c r="GC362" s="92"/>
      <c r="GD362" s="92"/>
      <c r="GE362" s="67">
        <f t="shared" si="233"/>
        <v>0</v>
      </c>
      <c r="GF362" s="66"/>
      <c r="GG362" s="66"/>
      <c r="GH362" s="66"/>
      <c r="GI362" s="66"/>
      <c r="GJ362" s="77"/>
    </row>
    <row r="363" spans="1:192" ht="18.600000000000001" customHeight="1" x14ac:dyDescent="0.25">
      <c r="A363" s="89"/>
      <c r="B363" s="17"/>
      <c r="C363" s="50"/>
      <c r="D363" s="140"/>
      <c r="E363" s="51"/>
      <c r="F363" s="139">
        <f t="shared" si="237"/>
        <v>1</v>
      </c>
      <c r="G363" s="49"/>
      <c r="H363" s="50"/>
      <c r="I363" s="122"/>
      <c r="J363" s="49"/>
      <c r="K363" s="50"/>
      <c r="L363" s="50"/>
      <c r="M363" s="90"/>
      <c r="N363" s="50"/>
      <c r="O363" s="50"/>
      <c r="P363" s="90"/>
      <c r="Q363" s="52">
        <f t="shared" si="203"/>
        <v>0</v>
      </c>
      <c r="R363" s="52">
        <f t="shared" si="204"/>
        <v>0</v>
      </c>
      <c r="S363" s="53">
        <f t="shared" si="205"/>
        <v>0</v>
      </c>
      <c r="T363" s="54">
        <f t="shared" si="206"/>
        <v>0</v>
      </c>
      <c r="U363" s="115">
        <f>SUM(Tableau1[[#This Row],[Vente confiserie]:[Vente boisson]])</f>
        <v>0</v>
      </c>
      <c r="V363" s="95"/>
      <c r="W363" s="95"/>
      <c r="X363" s="136">
        <f>SUM(Tableau1[[#This Row],[Vente lunette]:[Location lunette]])</f>
        <v>0</v>
      </c>
      <c r="Y363" s="95"/>
      <c r="Z363" s="95"/>
      <c r="AA363" s="95"/>
      <c r="AB363" s="95"/>
      <c r="AC363" s="56">
        <f t="shared" si="235"/>
        <v>0</v>
      </c>
      <c r="AD363" s="57"/>
      <c r="AE363" s="57"/>
      <c r="AF363" s="57"/>
      <c r="AG363" s="57"/>
      <c r="AH363" s="57"/>
      <c r="AI363" s="57"/>
      <c r="AJ363" s="118">
        <f>(Tableau1[[#This Row],[Recette guichet ]]*1.1275177)-Tableau1[[#This Row],[Recette guichet ]]</f>
        <v>0</v>
      </c>
      <c r="AK363" s="57"/>
      <c r="AL363" s="56">
        <f t="shared" si="236"/>
        <v>0</v>
      </c>
      <c r="AM363" s="58"/>
      <c r="AN363" s="58"/>
      <c r="AO363" s="58"/>
      <c r="AP363" s="115">
        <f t="shared" si="207"/>
        <v>0</v>
      </c>
      <c r="AQ363" s="69"/>
      <c r="AR363" s="69"/>
      <c r="AS363" s="69"/>
      <c r="AT363" s="69"/>
      <c r="AU363" s="59">
        <f t="shared" si="208"/>
        <v>0</v>
      </c>
      <c r="AV363" s="60">
        <f t="shared" si="209"/>
        <v>0</v>
      </c>
      <c r="AW363" s="58"/>
      <c r="AX363" s="58"/>
      <c r="AY363" s="58"/>
      <c r="AZ363" s="60">
        <f t="shared" si="199"/>
        <v>0</v>
      </c>
      <c r="BA363" s="58"/>
      <c r="BB363" s="58"/>
      <c r="BC363" s="58"/>
      <c r="BD363" s="60">
        <f>SUM(Tableau1[[#This Row],[ticket/carte/abonnement périmé]:[Autres ou non précisé 5]])</f>
        <v>0</v>
      </c>
      <c r="BE363" s="58"/>
      <c r="BF363" s="58"/>
      <c r="BG363" s="58"/>
      <c r="BH363" s="61">
        <f t="shared" si="210"/>
        <v>0</v>
      </c>
      <c r="BI363" s="120"/>
      <c r="BJ363" s="120"/>
      <c r="BK363" s="62">
        <f t="shared" si="211"/>
        <v>0</v>
      </c>
      <c r="BL363" s="120"/>
      <c r="BM363" s="120"/>
      <c r="BN363" s="120"/>
      <c r="BO363" s="120"/>
      <c r="BP363" s="120"/>
      <c r="BQ363" s="63"/>
      <c r="BR363" s="52">
        <f t="shared" si="212"/>
        <v>0</v>
      </c>
      <c r="BS363" s="52">
        <f t="shared" si="213"/>
        <v>0</v>
      </c>
      <c r="BT363" s="61">
        <f t="shared" si="214"/>
        <v>0</v>
      </c>
      <c r="BU363" s="64">
        <f t="shared" si="215"/>
        <v>0</v>
      </c>
      <c r="BV363" s="119">
        <f>SUM(Tableau1[[#This Row],[Achats confiserie]:[Achats boisson]])</f>
        <v>0</v>
      </c>
      <c r="BW363" s="58"/>
      <c r="BX363" s="69"/>
      <c r="BY363" s="58"/>
      <c r="BZ363" s="56">
        <f t="shared" si="216"/>
        <v>0</v>
      </c>
      <c r="CA363" s="66"/>
      <c r="CB363" s="66"/>
      <c r="CC363" s="56">
        <f t="shared" si="217"/>
        <v>0</v>
      </c>
      <c r="CD363" s="55"/>
      <c r="CE363" s="65"/>
      <c r="CF363" s="55"/>
      <c r="CG363" s="55"/>
      <c r="CH363" s="67">
        <f t="shared" si="218"/>
        <v>0</v>
      </c>
      <c r="CI363" s="68">
        <f t="shared" si="234"/>
        <v>0</v>
      </c>
      <c r="CJ363" s="55"/>
      <c r="CK363" s="55"/>
      <c r="CL363" s="55"/>
      <c r="CM363" s="55"/>
      <c r="CN363" s="55"/>
      <c r="CO363" s="68">
        <f t="shared" si="219"/>
        <v>0</v>
      </c>
      <c r="CP363" s="75">
        <f>SUM(Tableau1[[#This Row],[Fourniture eau]:[Energie (non précisé)]])</f>
        <v>0</v>
      </c>
      <c r="CQ363" s="55"/>
      <c r="CR363" s="55"/>
      <c r="CS363" s="55"/>
      <c r="CT363" s="55"/>
      <c r="CU363" s="55"/>
      <c r="CV363" s="55">
        <v>0</v>
      </c>
      <c r="CW363" s="55"/>
      <c r="CX363" s="68">
        <f>SUM(Tableau1[[#This Row],[Sous-traitance]:[Autres ou non précisé 12]])</f>
        <v>0</v>
      </c>
      <c r="CY363" s="65"/>
      <c r="CZ363" s="65"/>
      <c r="DA363" s="65"/>
      <c r="DB363" s="65"/>
      <c r="DC363" s="55"/>
      <c r="DD363" s="68">
        <f t="shared" si="200"/>
        <v>0</v>
      </c>
      <c r="DE363" s="55"/>
      <c r="DF363" s="65"/>
      <c r="DG363" s="65"/>
      <c r="DH363" s="65"/>
      <c r="DI363" s="68">
        <f>SUM(Tableau1[[#This Row],[Entretien et réparation matériel de projection]:[Autres ou non précisé 14]])</f>
        <v>0</v>
      </c>
      <c r="DJ363" s="58"/>
      <c r="DK363" s="58"/>
      <c r="DL363" s="69"/>
      <c r="DM363" s="68">
        <f t="shared" si="220"/>
        <v>0</v>
      </c>
      <c r="DN363" s="58"/>
      <c r="DO363" s="58"/>
      <c r="DP363" s="68">
        <f t="shared" si="221"/>
        <v>0</v>
      </c>
      <c r="DQ363" s="65"/>
      <c r="DR363" s="65"/>
      <c r="DS363" s="68">
        <f t="shared" si="222"/>
        <v>0</v>
      </c>
      <c r="DT363" s="65"/>
      <c r="DU363" s="65"/>
      <c r="DV363" s="65"/>
      <c r="DW363" s="68">
        <f>SUM(Tableau1[[#This Row],[Comission et courtage sur achats]:[Autres ou honoraires
 non précisé ]])</f>
        <v>0</v>
      </c>
      <c r="DX363" s="57"/>
      <c r="DY363" s="57"/>
      <c r="DZ363" s="65"/>
      <c r="EA363" s="65"/>
      <c r="EB363" s="65"/>
      <c r="EC363" s="68">
        <f t="shared" si="223"/>
        <v>0</v>
      </c>
      <c r="ED363" s="69"/>
      <c r="EE363" s="69"/>
      <c r="EF363" s="69"/>
      <c r="EG363" s="69"/>
      <c r="EH363" s="69"/>
      <c r="EI363" s="84">
        <f>SUM(Tableau1[[#This Row],[Transports sur films]:[autres ]])</f>
        <v>0</v>
      </c>
      <c r="EJ363" s="132">
        <v>0</v>
      </c>
      <c r="EK363" s="132"/>
      <c r="EL363" s="68">
        <f t="shared" si="224"/>
        <v>0</v>
      </c>
      <c r="EM363" s="65"/>
      <c r="EN363" s="65">
        <v>0</v>
      </c>
      <c r="EO363" s="65"/>
      <c r="EP363" s="65"/>
      <c r="EQ363" s="65"/>
      <c r="ER363" s="65"/>
      <c r="ES363" s="65"/>
      <c r="ET363" s="68">
        <f t="shared" si="225"/>
        <v>0</v>
      </c>
      <c r="EU363" s="65"/>
      <c r="EV363" s="65"/>
      <c r="EW363" s="65"/>
      <c r="EX363" s="65"/>
      <c r="EY363" s="65"/>
      <c r="EZ363" s="68">
        <f t="shared" si="202"/>
        <v>0</v>
      </c>
      <c r="FA363" s="65"/>
      <c r="FB363" s="65"/>
      <c r="FC363" s="70">
        <f t="shared" si="201"/>
        <v>0</v>
      </c>
      <c r="FD363" s="65"/>
      <c r="FE363" s="71">
        <f t="shared" si="226"/>
        <v>0</v>
      </c>
      <c r="FF363" s="72">
        <f t="shared" si="227"/>
        <v>0</v>
      </c>
      <c r="FG363" s="65"/>
      <c r="FH363" s="65"/>
      <c r="FI363" s="65"/>
      <c r="FJ363" s="56">
        <f t="shared" si="228"/>
        <v>0</v>
      </c>
      <c r="FK363" s="65"/>
      <c r="FL363" s="65"/>
      <c r="FM363" s="65"/>
      <c r="FN363" s="65"/>
      <c r="FO363" s="67">
        <f t="shared" si="229"/>
        <v>0</v>
      </c>
      <c r="FP363" s="57"/>
      <c r="FQ363" s="73"/>
      <c r="FR363" s="73"/>
      <c r="FS363" s="71">
        <f t="shared" si="230"/>
        <v>0</v>
      </c>
      <c r="FT363" s="91"/>
      <c r="FU363" s="91"/>
      <c r="FV363" s="67">
        <f>SUM(Tableau1[[#This Row],[Droits d''auteurs SACEM + cotisations SACEM]:[Autres ou non préciés]])</f>
        <v>0</v>
      </c>
      <c r="FW363" s="75">
        <f t="shared" si="231"/>
        <v>0</v>
      </c>
      <c r="FX363" s="74">
        <v>0</v>
      </c>
      <c r="FY363" s="74"/>
      <c r="FZ363" s="74"/>
      <c r="GA363" s="74"/>
      <c r="GB363" s="71">
        <f t="shared" si="232"/>
        <v>0</v>
      </c>
      <c r="GC363" s="92"/>
      <c r="GD363" s="92"/>
      <c r="GE363" s="67">
        <f t="shared" si="233"/>
        <v>0</v>
      </c>
      <c r="GF363" s="66"/>
      <c r="GG363" s="66"/>
      <c r="GH363" s="66"/>
      <c r="GI363" s="66"/>
      <c r="GJ363" s="77"/>
    </row>
    <row r="364" spans="1:192" ht="18.600000000000001" customHeight="1" x14ac:dyDescent="0.25">
      <c r="A364" s="89"/>
      <c r="B364" s="17"/>
      <c r="C364" s="50"/>
      <c r="D364" s="140"/>
      <c r="E364" s="51"/>
      <c r="F364" s="139">
        <f t="shared" si="237"/>
        <v>1</v>
      </c>
      <c r="G364" s="49"/>
      <c r="H364" s="50"/>
      <c r="I364" s="122"/>
      <c r="J364" s="49"/>
      <c r="K364" s="50"/>
      <c r="L364" s="50"/>
      <c r="M364" s="90"/>
      <c r="N364" s="50"/>
      <c r="O364" s="50"/>
      <c r="P364" s="90"/>
      <c r="Q364" s="52">
        <f t="shared" si="203"/>
        <v>0</v>
      </c>
      <c r="R364" s="52">
        <f t="shared" si="204"/>
        <v>0</v>
      </c>
      <c r="S364" s="53">
        <f t="shared" si="205"/>
        <v>0</v>
      </c>
      <c r="T364" s="54">
        <f t="shared" si="206"/>
        <v>0</v>
      </c>
      <c r="U364" s="115">
        <f>SUM(Tableau1[[#This Row],[Vente confiserie]:[Vente boisson]])</f>
        <v>0</v>
      </c>
      <c r="V364" s="95"/>
      <c r="W364" s="95"/>
      <c r="X364" s="136">
        <f>SUM(Tableau1[[#This Row],[Vente lunette]:[Location lunette]])</f>
        <v>0</v>
      </c>
      <c r="Y364" s="95"/>
      <c r="Z364" s="95"/>
      <c r="AA364" s="95"/>
      <c r="AB364" s="95"/>
      <c r="AC364" s="56">
        <f t="shared" si="235"/>
        <v>0</v>
      </c>
      <c r="AD364" s="57"/>
      <c r="AE364" s="57"/>
      <c r="AF364" s="57"/>
      <c r="AG364" s="57"/>
      <c r="AH364" s="57"/>
      <c r="AI364" s="57"/>
      <c r="AJ364" s="118">
        <f>(Tableau1[[#This Row],[Recette guichet ]]*1.1275177)-Tableau1[[#This Row],[Recette guichet ]]</f>
        <v>0</v>
      </c>
      <c r="AK364" s="57"/>
      <c r="AL364" s="56">
        <f t="shared" si="236"/>
        <v>0</v>
      </c>
      <c r="AM364" s="58"/>
      <c r="AN364" s="58"/>
      <c r="AO364" s="58"/>
      <c r="AP364" s="115">
        <f t="shared" si="207"/>
        <v>0</v>
      </c>
      <c r="AQ364" s="69"/>
      <c r="AR364" s="69"/>
      <c r="AS364" s="69"/>
      <c r="AT364" s="69"/>
      <c r="AU364" s="59">
        <f t="shared" si="208"/>
        <v>0</v>
      </c>
      <c r="AV364" s="60">
        <f t="shared" si="209"/>
        <v>0</v>
      </c>
      <c r="AW364" s="58"/>
      <c r="AX364" s="58"/>
      <c r="AY364" s="58"/>
      <c r="AZ364" s="60">
        <f t="shared" si="199"/>
        <v>0</v>
      </c>
      <c r="BA364" s="58"/>
      <c r="BB364" s="58"/>
      <c r="BC364" s="58"/>
      <c r="BD364" s="60">
        <f>SUM(Tableau1[[#This Row],[ticket/carte/abonnement périmé]:[Autres ou non précisé 5]])</f>
        <v>0</v>
      </c>
      <c r="BE364" s="58"/>
      <c r="BF364" s="58"/>
      <c r="BG364" s="58"/>
      <c r="BH364" s="61">
        <f t="shared" si="210"/>
        <v>0</v>
      </c>
      <c r="BI364" s="120"/>
      <c r="BJ364" s="120"/>
      <c r="BK364" s="62">
        <f t="shared" si="211"/>
        <v>0</v>
      </c>
      <c r="BL364" s="120"/>
      <c r="BM364" s="120"/>
      <c r="BN364" s="120"/>
      <c r="BO364" s="120"/>
      <c r="BP364" s="120"/>
      <c r="BQ364" s="63"/>
      <c r="BR364" s="52">
        <f t="shared" si="212"/>
        <v>0</v>
      </c>
      <c r="BS364" s="52">
        <f t="shared" si="213"/>
        <v>0</v>
      </c>
      <c r="BT364" s="61">
        <f t="shared" si="214"/>
        <v>0</v>
      </c>
      <c r="BU364" s="64">
        <f t="shared" si="215"/>
        <v>0</v>
      </c>
      <c r="BV364" s="119">
        <f>SUM(Tableau1[[#This Row],[Achats confiserie]:[Achats boisson]])</f>
        <v>0</v>
      </c>
      <c r="BW364" s="58"/>
      <c r="BX364" s="69"/>
      <c r="BY364" s="58"/>
      <c r="BZ364" s="56">
        <f t="shared" si="216"/>
        <v>0</v>
      </c>
      <c r="CA364" s="66"/>
      <c r="CB364" s="66"/>
      <c r="CC364" s="56">
        <f t="shared" si="217"/>
        <v>0</v>
      </c>
      <c r="CD364" s="55"/>
      <c r="CE364" s="65"/>
      <c r="CF364" s="55"/>
      <c r="CG364" s="55"/>
      <c r="CH364" s="67">
        <f t="shared" si="218"/>
        <v>0</v>
      </c>
      <c r="CI364" s="68">
        <f t="shared" si="234"/>
        <v>0</v>
      </c>
      <c r="CJ364" s="55"/>
      <c r="CK364" s="55"/>
      <c r="CL364" s="55"/>
      <c r="CM364" s="55"/>
      <c r="CN364" s="55"/>
      <c r="CO364" s="68">
        <f t="shared" si="219"/>
        <v>0</v>
      </c>
      <c r="CP364" s="75">
        <f>SUM(Tableau1[[#This Row],[Fourniture eau]:[Energie (non précisé)]])</f>
        <v>0</v>
      </c>
      <c r="CQ364" s="55"/>
      <c r="CR364" s="55"/>
      <c r="CS364" s="55"/>
      <c r="CT364" s="55"/>
      <c r="CU364" s="55"/>
      <c r="CV364" s="55">
        <v>0</v>
      </c>
      <c r="CW364" s="55"/>
      <c r="CX364" s="68">
        <f>SUM(Tableau1[[#This Row],[Sous-traitance]:[Autres ou non précisé 12]])</f>
        <v>0</v>
      </c>
      <c r="CY364" s="65"/>
      <c r="CZ364" s="65"/>
      <c r="DA364" s="65"/>
      <c r="DB364" s="65"/>
      <c r="DC364" s="55"/>
      <c r="DD364" s="68">
        <f t="shared" si="200"/>
        <v>0</v>
      </c>
      <c r="DE364" s="55"/>
      <c r="DF364" s="65"/>
      <c r="DG364" s="65"/>
      <c r="DH364" s="65"/>
      <c r="DI364" s="68">
        <f>SUM(Tableau1[[#This Row],[Entretien et réparation matériel de projection]:[Autres ou non précisé 14]])</f>
        <v>0</v>
      </c>
      <c r="DJ364" s="58"/>
      <c r="DK364" s="58"/>
      <c r="DL364" s="69"/>
      <c r="DM364" s="68">
        <f t="shared" si="220"/>
        <v>0</v>
      </c>
      <c r="DN364" s="58"/>
      <c r="DO364" s="58"/>
      <c r="DP364" s="68">
        <f t="shared" si="221"/>
        <v>0</v>
      </c>
      <c r="DQ364" s="65"/>
      <c r="DR364" s="65"/>
      <c r="DS364" s="68">
        <f t="shared" si="222"/>
        <v>0</v>
      </c>
      <c r="DT364" s="65"/>
      <c r="DU364" s="65"/>
      <c r="DV364" s="65"/>
      <c r="DW364" s="68">
        <f>SUM(Tableau1[[#This Row],[Comission et courtage sur achats]:[Autres ou honoraires
 non précisé ]])</f>
        <v>0</v>
      </c>
      <c r="DX364" s="57"/>
      <c r="DY364" s="57"/>
      <c r="DZ364" s="65"/>
      <c r="EA364" s="65"/>
      <c r="EB364" s="65"/>
      <c r="EC364" s="68">
        <f t="shared" si="223"/>
        <v>0</v>
      </c>
      <c r="ED364" s="69"/>
      <c r="EE364" s="69"/>
      <c r="EF364" s="69"/>
      <c r="EG364" s="69"/>
      <c r="EH364" s="69"/>
      <c r="EI364" s="84">
        <f>SUM(Tableau1[[#This Row],[Transports sur films]:[autres ]])</f>
        <v>0</v>
      </c>
      <c r="EJ364" s="132">
        <v>0</v>
      </c>
      <c r="EK364" s="132"/>
      <c r="EL364" s="68">
        <f t="shared" si="224"/>
        <v>0</v>
      </c>
      <c r="EM364" s="65"/>
      <c r="EN364" s="65">
        <v>0</v>
      </c>
      <c r="EO364" s="65"/>
      <c r="EP364" s="65"/>
      <c r="EQ364" s="65"/>
      <c r="ER364" s="65"/>
      <c r="ES364" s="65"/>
      <c r="ET364" s="68">
        <f t="shared" si="225"/>
        <v>0</v>
      </c>
      <c r="EU364" s="65"/>
      <c r="EV364" s="65"/>
      <c r="EW364" s="65"/>
      <c r="EX364" s="65"/>
      <c r="EY364" s="65"/>
      <c r="EZ364" s="68">
        <f t="shared" si="202"/>
        <v>0</v>
      </c>
      <c r="FA364" s="65"/>
      <c r="FB364" s="65"/>
      <c r="FC364" s="70">
        <f t="shared" si="201"/>
        <v>0</v>
      </c>
      <c r="FD364" s="65"/>
      <c r="FE364" s="71">
        <f t="shared" si="226"/>
        <v>0</v>
      </c>
      <c r="FF364" s="72">
        <f t="shared" si="227"/>
        <v>0</v>
      </c>
      <c r="FG364" s="65"/>
      <c r="FH364" s="65"/>
      <c r="FI364" s="65"/>
      <c r="FJ364" s="56">
        <f t="shared" si="228"/>
        <v>0</v>
      </c>
      <c r="FK364" s="65"/>
      <c r="FL364" s="65"/>
      <c r="FM364" s="65"/>
      <c r="FN364" s="65"/>
      <c r="FO364" s="67">
        <f t="shared" si="229"/>
        <v>0</v>
      </c>
      <c r="FP364" s="57"/>
      <c r="FQ364" s="73"/>
      <c r="FR364" s="73"/>
      <c r="FS364" s="71">
        <f t="shared" si="230"/>
        <v>0</v>
      </c>
      <c r="FT364" s="91"/>
      <c r="FU364" s="91"/>
      <c r="FV364" s="67">
        <f>SUM(Tableau1[[#This Row],[Droits d''auteurs SACEM + cotisations SACEM]:[Autres ou non préciés]])</f>
        <v>0</v>
      </c>
      <c r="FW364" s="75">
        <f t="shared" si="231"/>
        <v>0</v>
      </c>
      <c r="FX364" s="74">
        <v>0</v>
      </c>
      <c r="FY364" s="74"/>
      <c r="FZ364" s="74"/>
      <c r="GA364" s="74"/>
      <c r="GB364" s="71">
        <f t="shared" si="232"/>
        <v>0</v>
      </c>
      <c r="GC364" s="92"/>
      <c r="GD364" s="92"/>
      <c r="GE364" s="67">
        <f t="shared" si="233"/>
        <v>0</v>
      </c>
      <c r="GF364" s="66"/>
      <c r="GG364" s="66"/>
      <c r="GH364" s="66"/>
      <c r="GI364" s="66"/>
      <c r="GJ364" s="77"/>
    </row>
    <row r="365" spans="1:192" ht="18.600000000000001" customHeight="1" x14ac:dyDescent="0.25">
      <c r="A365" s="89"/>
      <c r="B365" s="17"/>
      <c r="C365" s="50"/>
      <c r="D365" s="140"/>
      <c r="E365" s="51"/>
      <c r="F365" s="139">
        <f t="shared" si="237"/>
        <v>1</v>
      </c>
      <c r="G365" s="49"/>
      <c r="H365" s="50"/>
      <c r="I365" s="122"/>
      <c r="J365" s="49"/>
      <c r="K365" s="50"/>
      <c r="L365" s="50"/>
      <c r="M365" s="90"/>
      <c r="N365" s="50"/>
      <c r="O365" s="50"/>
      <c r="P365" s="90"/>
      <c r="Q365" s="52">
        <f t="shared" si="203"/>
        <v>0</v>
      </c>
      <c r="R365" s="52">
        <f t="shared" si="204"/>
        <v>0</v>
      </c>
      <c r="S365" s="53">
        <f t="shared" si="205"/>
        <v>0</v>
      </c>
      <c r="T365" s="54">
        <f t="shared" si="206"/>
        <v>0</v>
      </c>
      <c r="U365" s="115">
        <f>SUM(Tableau1[[#This Row],[Vente confiserie]:[Vente boisson]])</f>
        <v>0</v>
      </c>
      <c r="V365" s="95"/>
      <c r="W365" s="95"/>
      <c r="X365" s="136">
        <f>SUM(Tableau1[[#This Row],[Vente lunette]:[Location lunette]])</f>
        <v>0</v>
      </c>
      <c r="Y365" s="95"/>
      <c r="Z365" s="95"/>
      <c r="AA365" s="95"/>
      <c r="AB365" s="95"/>
      <c r="AC365" s="56">
        <f t="shared" si="235"/>
        <v>0</v>
      </c>
      <c r="AD365" s="57"/>
      <c r="AE365" s="57"/>
      <c r="AF365" s="57"/>
      <c r="AG365" s="57"/>
      <c r="AH365" s="57"/>
      <c r="AI365" s="57"/>
      <c r="AJ365" s="118">
        <f>(Tableau1[[#This Row],[Recette guichet ]]*1.1275177)-Tableau1[[#This Row],[Recette guichet ]]</f>
        <v>0</v>
      </c>
      <c r="AK365" s="57"/>
      <c r="AL365" s="56">
        <f t="shared" si="236"/>
        <v>0</v>
      </c>
      <c r="AM365" s="58"/>
      <c r="AN365" s="58"/>
      <c r="AO365" s="58"/>
      <c r="AP365" s="115">
        <f t="shared" si="207"/>
        <v>0</v>
      </c>
      <c r="AQ365" s="69"/>
      <c r="AR365" s="69"/>
      <c r="AS365" s="69"/>
      <c r="AT365" s="69"/>
      <c r="AU365" s="59">
        <f t="shared" si="208"/>
        <v>0</v>
      </c>
      <c r="AV365" s="60">
        <f t="shared" si="209"/>
        <v>0</v>
      </c>
      <c r="AW365" s="58"/>
      <c r="AX365" s="58"/>
      <c r="AY365" s="58"/>
      <c r="AZ365" s="60">
        <f t="shared" si="199"/>
        <v>0</v>
      </c>
      <c r="BA365" s="58"/>
      <c r="BB365" s="58"/>
      <c r="BC365" s="58"/>
      <c r="BD365" s="60">
        <f>SUM(Tableau1[[#This Row],[ticket/carte/abonnement périmé]:[Autres ou non précisé 5]])</f>
        <v>0</v>
      </c>
      <c r="BE365" s="58"/>
      <c r="BF365" s="58"/>
      <c r="BG365" s="58"/>
      <c r="BH365" s="61">
        <f t="shared" si="210"/>
        <v>0</v>
      </c>
      <c r="BI365" s="120"/>
      <c r="BJ365" s="120"/>
      <c r="BK365" s="62">
        <f t="shared" si="211"/>
        <v>0</v>
      </c>
      <c r="BL365" s="120"/>
      <c r="BM365" s="120"/>
      <c r="BN365" s="120"/>
      <c r="BO365" s="120"/>
      <c r="BP365" s="120"/>
      <c r="BQ365" s="63"/>
      <c r="BR365" s="52">
        <f t="shared" si="212"/>
        <v>0</v>
      </c>
      <c r="BS365" s="52">
        <f t="shared" si="213"/>
        <v>0</v>
      </c>
      <c r="BT365" s="61">
        <f t="shared" si="214"/>
        <v>0</v>
      </c>
      <c r="BU365" s="64">
        <f t="shared" si="215"/>
        <v>0</v>
      </c>
      <c r="BV365" s="119">
        <f>SUM(Tableau1[[#This Row],[Achats confiserie]:[Achats boisson]])</f>
        <v>0</v>
      </c>
      <c r="BW365" s="58"/>
      <c r="BX365" s="69"/>
      <c r="BY365" s="58"/>
      <c r="BZ365" s="56">
        <f t="shared" si="216"/>
        <v>0</v>
      </c>
      <c r="CA365" s="66"/>
      <c r="CB365" s="66"/>
      <c r="CC365" s="56">
        <f t="shared" si="217"/>
        <v>0</v>
      </c>
      <c r="CD365" s="55"/>
      <c r="CE365" s="65"/>
      <c r="CF365" s="55"/>
      <c r="CG365" s="55"/>
      <c r="CH365" s="67">
        <f t="shared" si="218"/>
        <v>0</v>
      </c>
      <c r="CI365" s="68">
        <f t="shared" si="234"/>
        <v>0</v>
      </c>
      <c r="CJ365" s="55"/>
      <c r="CK365" s="55"/>
      <c r="CL365" s="55"/>
      <c r="CM365" s="55"/>
      <c r="CN365" s="55"/>
      <c r="CO365" s="68">
        <f t="shared" si="219"/>
        <v>0</v>
      </c>
      <c r="CP365" s="75">
        <f>SUM(Tableau1[[#This Row],[Fourniture eau]:[Energie (non précisé)]])</f>
        <v>0</v>
      </c>
      <c r="CQ365" s="55"/>
      <c r="CR365" s="55"/>
      <c r="CS365" s="55"/>
      <c r="CT365" s="55"/>
      <c r="CU365" s="55"/>
      <c r="CV365" s="55">
        <v>0</v>
      </c>
      <c r="CW365" s="55"/>
      <c r="CX365" s="68">
        <f>SUM(Tableau1[[#This Row],[Sous-traitance]:[Autres ou non précisé 12]])</f>
        <v>0</v>
      </c>
      <c r="CY365" s="65"/>
      <c r="CZ365" s="65"/>
      <c r="DA365" s="65"/>
      <c r="DB365" s="65"/>
      <c r="DC365" s="55"/>
      <c r="DD365" s="68">
        <f t="shared" si="200"/>
        <v>0</v>
      </c>
      <c r="DE365" s="55"/>
      <c r="DF365" s="65"/>
      <c r="DG365" s="65"/>
      <c r="DH365" s="65"/>
      <c r="DI365" s="68">
        <f>SUM(Tableau1[[#This Row],[Entretien et réparation matériel de projection]:[Autres ou non précisé 14]])</f>
        <v>0</v>
      </c>
      <c r="DJ365" s="58"/>
      <c r="DK365" s="58"/>
      <c r="DL365" s="69"/>
      <c r="DM365" s="68">
        <f t="shared" si="220"/>
        <v>0</v>
      </c>
      <c r="DN365" s="58"/>
      <c r="DO365" s="58"/>
      <c r="DP365" s="68">
        <f t="shared" si="221"/>
        <v>0</v>
      </c>
      <c r="DQ365" s="65"/>
      <c r="DR365" s="65"/>
      <c r="DS365" s="68">
        <f t="shared" si="222"/>
        <v>0</v>
      </c>
      <c r="DT365" s="65"/>
      <c r="DU365" s="65"/>
      <c r="DV365" s="65"/>
      <c r="DW365" s="68">
        <f>SUM(Tableau1[[#This Row],[Comission et courtage sur achats]:[Autres ou honoraires
 non précisé ]])</f>
        <v>0</v>
      </c>
      <c r="DX365" s="57"/>
      <c r="DY365" s="57"/>
      <c r="DZ365" s="65"/>
      <c r="EA365" s="65"/>
      <c r="EB365" s="65"/>
      <c r="EC365" s="68">
        <f t="shared" si="223"/>
        <v>0</v>
      </c>
      <c r="ED365" s="69"/>
      <c r="EE365" s="69"/>
      <c r="EF365" s="69"/>
      <c r="EG365" s="69"/>
      <c r="EH365" s="69"/>
      <c r="EI365" s="84">
        <f>SUM(Tableau1[[#This Row],[Transports sur films]:[autres ]])</f>
        <v>0</v>
      </c>
      <c r="EJ365" s="132">
        <v>0</v>
      </c>
      <c r="EK365" s="132"/>
      <c r="EL365" s="68">
        <f t="shared" si="224"/>
        <v>0</v>
      </c>
      <c r="EM365" s="65"/>
      <c r="EN365" s="65">
        <v>0</v>
      </c>
      <c r="EO365" s="65"/>
      <c r="EP365" s="65"/>
      <c r="EQ365" s="65"/>
      <c r="ER365" s="65"/>
      <c r="ES365" s="65"/>
      <c r="ET365" s="68">
        <f t="shared" si="225"/>
        <v>0</v>
      </c>
      <c r="EU365" s="65"/>
      <c r="EV365" s="65"/>
      <c r="EW365" s="65"/>
      <c r="EX365" s="65"/>
      <c r="EY365" s="65"/>
      <c r="EZ365" s="68">
        <f t="shared" si="202"/>
        <v>0</v>
      </c>
      <c r="FA365" s="65"/>
      <c r="FB365" s="65"/>
      <c r="FC365" s="70">
        <f t="shared" si="201"/>
        <v>0</v>
      </c>
      <c r="FD365" s="65"/>
      <c r="FE365" s="71">
        <f t="shared" si="226"/>
        <v>0</v>
      </c>
      <c r="FF365" s="72">
        <f t="shared" si="227"/>
        <v>0</v>
      </c>
      <c r="FG365" s="65"/>
      <c r="FH365" s="65"/>
      <c r="FI365" s="65"/>
      <c r="FJ365" s="56">
        <f t="shared" si="228"/>
        <v>0</v>
      </c>
      <c r="FK365" s="65"/>
      <c r="FL365" s="65"/>
      <c r="FM365" s="65"/>
      <c r="FN365" s="65"/>
      <c r="FO365" s="67">
        <f t="shared" si="229"/>
        <v>0</v>
      </c>
      <c r="FP365" s="57"/>
      <c r="FQ365" s="73"/>
      <c r="FR365" s="73"/>
      <c r="FS365" s="71">
        <f t="shared" si="230"/>
        <v>0</v>
      </c>
      <c r="FT365" s="91"/>
      <c r="FU365" s="91"/>
      <c r="FV365" s="67">
        <f>SUM(Tableau1[[#This Row],[Droits d''auteurs SACEM + cotisations SACEM]:[Autres ou non préciés]])</f>
        <v>0</v>
      </c>
      <c r="FW365" s="75">
        <f t="shared" si="231"/>
        <v>0</v>
      </c>
      <c r="FX365" s="74">
        <v>0</v>
      </c>
      <c r="FY365" s="74"/>
      <c r="FZ365" s="74"/>
      <c r="GA365" s="74"/>
      <c r="GB365" s="71">
        <f t="shared" si="232"/>
        <v>0</v>
      </c>
      <c r="GC365" s="92"/>
      <c r="GD365" s="92"/>
      <c r="GE365" s="67">
        <f t="shared" si="233"/>
        <v>0</v>
      </c>
      <c r="GF365" s="66"/>
      <c r="GG365" s="66"/>
      <c r="GH365" s="66"/>
      <c r="GI365" s="66"/>
      <c r="GJ365" s="77"/>
    </row>
    <row r="366" spans="1:192" ht="18.600000000000001" customHeight="1" x14ac:dyDescent="0.25">
      <c r="A366" s="89"/>
      <c r="B366" s="17"/>
      <c r="C366" s="50"/>
      <c r="D366" s="140"/>
      <c r="E366" s="51"/>
      <c r="F366" s="139">
        <f t="shared" si="237"/>
        <v>1</v>
      </c>
      <c r="G366" s="49"/>
      <c r="H366" s="50"/>
      <c r="I366" s="122"/>
      <c r="J366" s="49"/>
      <c r="K366" s="50"/>
      <c r="L366" s="50"/>
      <c r="M366" s="90"/>
      <c r="N366" s="50"/>
      <c r="O366" s="50"/>
      <c r="P366" s="90"/>
      <c r="Q366" s="52">
        <f t="shared" si="203"/>
        <v>0</v>
      </c>
      <c r="R366" s="52">
        <f t="shared" si="204"/>
        <v>0</v>
      </c>
      <c r="S366" s="53">
        <f t="shared" si="205"/>
        <v>0</v>
      </c>
      <c r="T366" s="54">
        <f t="shared" si="206"/>
        <v>0</v>
      </c>
      <c r="U366" s="115">
        <f>SUM(Tableau1[[#This Row],[Vente confiserie]:[Vente boisson]])</f>
        <v>0</v>
      </c>
      <c r="V366" s="95"/>
      <c r="W366" s="95"/>
      <c r="X366" s="136">
        <f>SUM(Tableau1[[#This Row],[Vente lunette]:[Location lunette]])</f>
        <v>0</v>
      </c>
      <c r="Y366" s="95"/>
      <c r="Z366" s="95"/>
      <c r="AA366" s="95"/>
      <c r="AB366" s="95"/>
      <c r="AC366" s="56">
        <f t="shared" si="235"/>
        <v>0</v>
      </c>
      <c r="AD366" s="57"/>
      <c r="AE366" s="57"/>
      <c r="AF366" s="57"/>
      <c r="AG366" s="57"/>
      <c r="AH366" s="57"/>
      <c r="AI366" s="57"/>
      <c r="AJ366" s="118">
        <f>(Tableau1[[#This Row],[Recette guichet ]]*1.1275177)-Tableau1[[#This Row],[Recette guichet ]]</f>
        <v>0</v>
      </c>
      <c r="AK366" s="57"/>
      <c r="AL366" s="56">
        <f t="shared" si="236"/>
        <v>0</v>
      </c>
      <c r="AM366" s="58"/>
      <c r="AN366" s="58"/>
      <c r="AO366" s="58"/>
      <c r="AP366" s="115">
        <f t="shared" si="207"/>
        <v>0</v>
      </c>
      <c r="AQ366" s="69"/>
      <c r="AR366" s="69"/>
      <c r="AS366" s="69"/>
      <c r="AT366" s="69"/>
      <c r="AU366" s="59">
        <f t="shared" si="208"/>
        <v>0</v>
      </c>
      <c r="AV366" s="60">
        <f t="shared" si="209"/>
        <v>0</v>
      </c>
      <c r="AW366" s="58"/>
      <c r="AX366" s="58"/>
      <c r="AY366" s="58"/>
      <c r="AZ366" s="60">
        <f t="shared" si="199"/>
        <v>0</v>
      </c>
      <c r="BA366" s="58"/>
      <c r="BB366" s="58"/>
      <c r="BC366" s="58"/>
      <c r="BD366" s="60">
        <f>SUM(Tableau1[[#This Row],[ticket/carte/abonnement périmé]:[Autres ou non précisé 5]])</f>
        <v>0</v>
      </c>
      <c r="BE366" s="58"/>
      <c r="BF366" s="58"/>
      <c r="BG366" s="58"/>
      <c r="BH366" s="61">
        <f t="shared" si="210"/>
        <v>0</v>
      </c>
      <c r="BI366" s="120"/>
      <c r="BJ366" s="120"/>
      <c r="BK366" s="62">
        <f t="shared" si="211"/>
        <v>0</v>
      </c>
      <c r="BL366" s="120"/>
      <c r="BM366" s="120"/>
      <c r="BN366" s="120"/>
      <c r="BO366" s="120"/>
      <c r="BP366" s="120"/>
      <c r="BQ366" s="63"/>
      <c r="BR366" s="52">
        <f t="shared" si="212"/>
        <v>0</v>
      </c>
      <c r="BS366" s="52">
        <f t="shared" si="213"/>
        <v>0</v>
      </c>
      <c r="BT366" s="61">
        <f t="shared" si="214"/>
        <v>0</v>
      </c>
      <c r="BU366" s="64">
        <f t="shared" si="215"/>
        <v>0</v>
      </c>
      <c r="BV366" s="119">
        <f>SUM(Tableau1[[#This Row],[Achats confiserie]:[Achats boisson]])</f>
        <v>0</v>
      </c>
      <c r="BW366" s="58"/>
      <c r="BX366" s="69"/>
      <c r="BY366" s="58"/>
      <c r="BZ366" s="56">
        <f t="shared" si="216"/>
        <v>0</v>
      </c>
      <c r="CA366" s="66"/>
      <c r="CB366" s="66"/>
      <c r="CC366" s="56">
        <f t="shared" si="217"/>
        <v>0</v>
      </c>
      <c r="CD366" s="55"/>
      <c r="CE366" s="65"/>
      <c r="CF366" s="55"/>
      <c r="CG366" s="55"/>
      <c r="CH366" s="67">
        <f t="shared" si="218"/>
        <v>0</v>
      </c>
      <c r="CI366" s="68">
        <f t="shared" si="234"/>
        <v>0</v>
      </c>
      <c r="CJ366" s="55"/>
      <c r="CK366" s="55"/>
      <c r="CL366" s="55"/>
      <c r="CM366" s="55"/>
      <c r="CN366" s="55"/>
      <c r="CO366" s="68">
        <f t="shared" si="219"/>
        <v>0</v>
      </c>
      <c r="CP366" s="75">
        <f>SUM(Tableau1[[#This Row],[Fourniture eau]:[Energie (non précisé)]])</f>
        <v>0</v>
      </c>
      <c r="CQ366" s="55"/>
      <c r="CR366" s="55"/>
      <c r="CS366" s="55"/>
      <c r="CT366" s="55"/>
      <c r="CU366" s="55"/>
      <c r="CV366" s="55">
        <v>0</v>
      </c>
      <c r="CW366" s="55"/>
      <c r="CX366" s="68">
        <f>SUM(Tableau1[[#This Row],[Sous-traitance]:[Autres ou non précisé 12]])</f>
        <v>0</v>
      </c>
      <c r="CY366" s="65"/>
      <c r="CZ366" s="65"/>
      <c r="DA366" s="65"/>
      <c r="DB366" s="65"/>
      <c r="DC366" s="55"/>
      <c r="DD366" s="68">
        <f t="shared" si="200"/>
        <v>0</v>
      </c>
      <c r="DE366" s="55"/>
      <c r="DF366" s="65"/>
      <c r="DG366" s="65"/>
      <c r="DH366" s="65"/>
      <c r="DI366" s="68">
        <f>SUM(Tableau1[[#This Row],[Entretien et réparation matériel de projection]:[Autres ou non précisé 14]])</f>
        <v>0</v>
      </c>
      <c r="DJ366" s="58"/>
      <c r="DK366" s="58"/>
      <c r="DL366" s="69"/>
      <c r="DM366" s="68">
        <f t="shared" si="220"/>
        <v>0</v>
      </c>
      <c r="DN366" s="58"/>
      <c r="DO366" s="58"/>
      <c r="DP366" s="68">
        <f t="shared" si="221"/>
        <v>0</v>
      </c>
      <c r="DQ366" s="65"/>
      <c r="DR366" s="65"/>
      <c r="DS366" s="68">
        <f t="shared" si="222"/>
        <v>0</v>
      </c>
      <c r="DT366" s="65"/>
      <c r="DU366" s="65"/>
      <c r="DV366" s="65"/>
      <c r="DW366" s="68">
        <f>SUM(Tableau1[[#This Row],[Comission et courtage sur achats]:[Autres ou honoraires
 non précisé ]])</f>
        <v>0</v>
      </c>
      <c r="DX366" s="57"/>
      <c r="DY366" s="57"/>
      <c r="DZ366" s="65"/>
      <c r="EA366" s="65"/>
      <c r="EB366" s="65"/>
      <c r="EC366" s="68">
        <f t="shared" si="223"/>
        <v>0</v>
      </c>
      <c r="ED366" s="69"/>
      <c r="EE366" s="69"/>
      <c r="EF366" s="69"/>
      <c r="EG366" s="69"/>
      <c r="EH366" s="69"/>
      <c r="EI366" s="84">
        <f>SUM(Tableau1[[#This Row],[Transports sur films]:[autres ]])</f>
        <v>0</v>
      </c>
      <c r="EJ366" s="132">
        <v>0</v>
      </c>
      <c r="EK366" s="132"/>
      <c r="EL366" s="68">
        <f t="shared" si="224"/>
        <v>0</v>
      </c>
      <c r="EM366" s="65"/>
      <c r="EN366" s="65">
        <v>0</v>
      </c>
      <c r="EO366" s="65"/>
      <c r="EP366" s="65"/>
      <c r="EQ366" s="65"/>
      <c r="ER366" s="65"/>
      <c r="ES366" s="65"/>
      <c r="ET366" s="68">
        <f t="shared" si="225"/>
        <v>0</v>
      </c>
      <c r="EU366" s="65"/>
      <c r="EV366" s="65"/>
      <c r="EW366" s="65"/>
      <c r="EX366" s="65"/>
      <c r="EY366" s="65"/>
      <c r="EZ366" s="68">
        <f t="shared" si="202"/>
        <v>0</v>
      </c>
      <c r="FA366" s="65"/>
      <c r="FB366" s="65"/>
      <c r="FC366" s="70">
        <f t="shared" si="201"/>
        <v>0</v>
      </c>
      <c r="FD366" s="65"/>
      <c r="FE366" s="71">
        <f t="shared" si="226"/>
        <v>0</v>
      </c>
      <c r="FF366" s="72">
        <f t="shared" si="227"/>
        <v>0</v>
      </c>
      <c r="FG366" s="65"/>
      <c r="FH366" s="65"/>
      <c r="FI366" s="65"/>
      <c r="FJ366" s="56">
        <f t="shared" si="228"/>
        <v>0</v>
      </c>
      <c r="FK366" s="65"/>
      <c r="FL366" s="65"/>
      <c r="FM366" s="65"/>
      <c r="FN366" s="65"/>
      <c r="FO366" s="67">
        <f t="shared" si="229"/>
        <v>0</v>
      </c>
      <c r="FP366" s="57"/>
      <c r="FQ366" s="73"/>
      <c r="FR366" s="73"/>
      <c r="FS366" s="71">
        <f t="shared" si="230"/>
        <v>0</v>
      </c>
      <c r="FT366" s="91"/>
      <c r="FU366" s="91"/>
      <c r="FV366" s="67">
        <f>SUM(Tableau1[[#This Row],[Droits d''auteurs SACEM + cotisations SACEM]:[Autres ou non préciés]])</f>
        <v>0</v>
      </c>
      <c r="FW366" s="75">
        <f t="shared" si="231"/>
        <v>0</v>
      </c>
      <c r="FX366" s="74">
        <v>0</v>
      </c>
      <c r="FY366" s="74"/>
      <c r="FZ366" s="74"/>
      <c r="GA366" s="74"/>
      <c r="GB366" s="71">
        <f t="shared" si="232"/>
        <v>0</v>
      </c>
      <c r="GC366" s="92"/>
      <c r="GD366" s="92"/>
      <c r="GE366" s="67">
        <f t="shared" si="233"/>
        <v>0</v>
      </c>
      <c r="GF366" s="66"/>
      <c r="GG366" s="66"/>
      <c r="GH366" s="66"/>
      <c r="GI366" s="66"/>
      <c r="GJ366" s="77"/>
    </row>
    <row r="367" spans="1:192" ht="18.600000000000001" customHeight="1" x14ac:dyDescent="0.25">
      <c r="A367" s="89"/>
      <c r="B367" s="17"/>
      <c r="C367" s="50"/>
      <c r="D367" s="140"/>
      <c r="E367" s="51"/>
      <c r="F367" s="139">
        <f t="shared" si="237"/>
        <v>1</v>
      </c>
      <c r="G367" s="49"/>
      <c r="H367" s="50"/>
      <c r="I367" s="122"/>
      <c r="J367" s="49"/>
      <c r="K367" s="50"/>
      <c r="L367" s="50"/>
      <c r="M367" s="90"/>
      <c r="N367" s="50"/>
      <c r="O367" s="50"/>
      <c r="P367" s="90"/>
      <c r="Q367" s="52">
        <f t="shared" si="203"/>
        <v>0</v>
      </c>
      <c r="R367" s="52">
        <f t="shared" si="204"/>
        <v>0</v>
      </c>
      <c r="S367" s="53">
        <f t="shared" si="205"/>
        <v>0</v>
      </c>
      <c r="T367" s="54">
        <f t="shared" si="206"/>
        <v>0</v>
      </c>
      <c r="U367" s="115">
        <f>SUM(Tableau1[[#This Row],[Vente confiserie]:[Vente boisson]])</f>
        <v>0</v>
      </c>
      <c r="V367" s="95"/>
      <c r="W367" s="95"/>
      <c r="X367" s="136">
        <f>SUM(Tableau1[[#This Row],[Vente lunette]:[Location lunette]])</f>
        <v>0</v>
      </c>
      <c r="Y367" s="95"/>
      <c r="Z367" s="95"/>
      <c r="AA367" s="95"/>
      <c r="AB367" s="95"/>
      <c r="AC367" s="56">
        <f t="shared" si="235"/>
        <v>0</v>
      </c>
      <c r="AD367" s="57"/>
      <c r="AE367" s="57"/>
      <c r="AF367" s="57"/>
      <c r="AG367" s="57"/>
      <c r="AH367" s="57"/>
      <c r="AI367" s="57"/>
      <c r="AJ367" s="118">
        <f>(Tableau1[[#This Row],[Recette guichet ]]*1.1275177)-Tableau1[[#This Row],[Recette guichet ]]</f>
        <v>0</v>
      </c>
      <c r="AK367" s="57"/>
      <c r="AL367" s="56">
        <f t="shared" si="236"/>
        <v>0</v>
      </c>
      <c r="AM367" s="58"/>
      <c r="AN367" s="58"/>
      <c r="AO367" s="58"/>
      <c r="AP367" s="115">
        <f t="shared" si="207"/>
        <v>0</v>
      </c>
      <c r="AQ367" s="69"/>
      <c r="AR367" s="69"/>
      <c r="AS367" s="69"/>
      <c r="AT367" s="69"/>
      <c r="AU367" s="59">
        <f t="shared" si="208"/>
        <v>0</v>
      </c>
      <c r="AV367" s="60">
        <f t="shared" si="209"/>
        <v>0</v>
      </c>
      <c r="AW367" s="58"/>
      <c r="AX367" s="58"/>
      <c r="AY367" s="58"/>
      <c r="AZ367" s="60">
        <f t="shared" si="199"/>
        <v>0</v>
      </c>
      <c r="BA367" s="58"/>
      <c r="BB367" s="58"/>
      <c r="BC367" s="58"/>
      <c r="BD367" s="60">
        <f>SUM(Tableau1[[#This Row],[ticket/carte/abonnement périmé]:[Autres ou non précisé 5]])</f>
        <v>0</v>
      </c>
      <c r="BE367" s="58"/>
      <c r="BF367" s="58"/>
      <c r="BG367" s="58"/>
      <c r="BH367" s="61">
        <f t="shared" si="210"/>
        <v>0</v>
      </c>
      <c r="BI367" s="120"/>
      <c r="BJ367" s="120"/>
      <c r="BK367" s="62">
        <f t="shared" si="211"/>
        <v>0</v>
      </c>
      <c r="BL367" s="120"/>
      <c r="BM367" s="120"/>
      <c r="BN367" s="120"/>
      <c r="BO367" s="120"/>
      <c r="BP367" s="120"/>
      <c r="BQ367" s="63"/>
      <c r="BR367" s="52">
        <f t="shared" si="212"/>
        <v>0</v>
      </c>
      <c r="BS367" s="52">
        <f t="shared" si="213"/>
        <v>0</v>
      </c>
      <c r="BT367" s="61">
        <f t="shared" si="214"/>
        <v>0</v>
      </c>
      <c r="BU367" s="64">
        <f t="shared" si="215"/>
        <v>0</v>
      </c>
      <c r="BV367" s="119">
        <f>SUM(Tableau1[[#This Row],[Achats confiserie]:[Achats boisson]])</f>
        <v>0</v>
      </c>
      <c r="BW367" s="58"/>
      <c r="BX367" s="69"/>
      <c r="BY367" s="58"/>
      <c r="BZ367" s="56">
        <f t="shared" si="216"/>
        <v>0</v>
      </c>
      <c r="CA367" s="66"/>
      <c r="CB367" s="66"/>
      <c r="CC367" s="56">
        <f t="shared" si="217"/>
        <v>0</v>
      </c>
      <c r="CD367" s="55"/>
      <c r="CE367" s="65"/>
      <c r="CF367" s="55"/>
      <c r="CG367" s="55"/>
      <c r="CH367" s="67">
        <f t="shared" si="218"/>
        <v>0</v>
      </c>
      <c r="CI367" s="68">
        <f t="shared" si="234"/>
        <v>0</v>
      </c>
      <c r="CJ367" s="55"/>
      <c r="CK367" s="55"/>
      <c r="CL367" s="55"/>
      <c r="CM367" s="55"/>
      <c r="CN367" s="55"/>
      <c r="CO367" s="68">
        <f t="shared" si="219"/>
        <v>0</v>
      </c>
      <c r="CP367" s="75">
        <f>SUM(Tableau1[[#This Row],[Fourniture eau]:[Energie (non précisé)]])</f>
        <v>0</v>
      </c>
      <c r="CQ367" s="55"/>
      <c r="CR367" s="55"/>
      <c r="CS367" s="55"/>
      <c r="CT367" s="55"/>
      <c r="CU367" s="55"/>
      <c r="CV367" s="55">
        <v>0</v>
      </c>
      <c r="CW367" s="55"/>
      <c r="CX367" s="68">
        <f>SUM(Tableau1[[#This Row],[Sous-traitance]:[Autres ou non précisé 12]])</f>
        <v>0</v>
      </c>
      <c r="CY367" s="65"/>
      <c r="CZ367" s="65"/>
      <c r="DA367" s="65"/>
      <c r="DB367" s="65"/>
      <c r="DC367" s="55"/>
      <c r="DD367" s="68">
        <f t="shared" si="200"/>
        <v>0</v>
      </c>
      <c r="DE367" s="55"/>
      <c r="DF367" s="65"/>
      <c r="DG367" s="65"/>
      <c r="DH367" s="65"/>
      <c r="DI367" s="68">
        <f>SUM(Tableau1[[#This Row],[Entretien et réparation matériel de projection]:[Autres ou non précisé 14]])</f>
        <v>0</v>
      </c>
      <c r="DJ367" s="58"/>
      <c r="DK367" s="58"/>
      <c r="DL367" s="69"/>
      <c r="DM367" s="68">
        <f t="shared" si="220"/>
        <v>0</v>
      </c>
      <c r="DN367" s="58"/>
      <c r="DO367" s="58"/>
      <c r="DP367" s="68">
        <f t="shared" si="221"/>
        <v>0</v>
      </c>
      <c r="DQ367" s="65"/>
      <c r="DR367" s="65"/>
      <c r="DS367" s="68">
        <f t="shared" si="222"/>
        <v>0</v>
      </c>
      <c r="DT367" s="65"/>
      <c r="DU367" s="65"/>
      <c r="DV367" s="65"/>
      <c r="DW367" s="68">
        <f>SUM(Tableau1[[#This Row],[Comission et courtage sur achats]:[Autres ou honoraires
 non précisé ]])</f>
        <v>0</v>
      </c>
      <c r="DX367" s="57"/>
      <c r="DY367" s="57"/>
      <c r="DZ367" s="65"/>
      <c r="EA367" s="65"/>
      <c r="EB367" s="65"/>
      <c r="EC367" s="68">
        <f t="shared" si="223"/>
        <v>0</v>
      </c>
      <c r="ED367" s="69"/>
      <c r="EE367" s="69"/>
      <c r="EF367" s="69"/>
      <c r="EG367" s="69"/>
      <c r="EH367" s="69"/>
      <c r="EI367" s="84">
        <f>SUM(Tableau1[[#This Row],[Transports sur films]:[autres ]])</f>
        <v>0</v>
      </c>
      <c r="EJ367" s="132">
        <v>0</v>
      </c>
      <c r="EK367" s="132"/>
      <c r="EL367" s="68">
        <f t="shared" si="224"/>
        <v>0</v>
      </c>
      <c r="EM367" s="65"/>
      <c r="EN367" s="65">
        <v>0</v>
      </c>
      <c r="EO367" s="65"/>
      <c r="EP367" s="65"/>
      <c r="EQ367" s="65"/>
      <c r="ER367" s="65"/>
      <c r="ES367" s="65"/>
      <c r="ET367" s="68">
        <f t="shared" si="225"/>
        <v>0</v>
      </c>
      <c r="EU367" s="65"/>
      <c r="EV367" s="65"/>
      <c r="EW367" s="65"/>
      <c r="EX367" s="65"/>
      <c r="EY367" s="65"/>
      <c r="EZ367" s="68">
        <f t="shared" si="202"/>
        <v>0</v>
      </c>
      <c r="FA367" s="65"/>
      <c r="FB367" s="65"/>
      <c r="FC367" s="70">
        <f t="shared" si="201"/>
        <v>0</v>
      </c>
      <c r="FD367" s="65"/>
      <c r="FE367" s="71">
        <f t="shared" si="226"/>
        <v>0</v>
      </c>
      <c r="FF367" s="72">
        <f t="shared" si="227"/>
        <v>0</v>
      </c>
      <c r="FG367" s="65"/>
      <c r="FH367" s="65"/>
      <c r="FI367" s="65"/>
      <c r="FJ367" s="56">
        <f t="shared" si="228"/>
        <v>0</v>
      </c>
      <c r="FK367" s="65"/>
      <c r="FL367" s="65"/>
      <c r="FM367" s="65"/>
      <c r="FN367" s="65"/>
      <c r="FO367" s="67">
        <f t="shared" si="229"/>
        <v>0</v>
      </c>
      <c r="FP367" s="57"/>
      <c r="FQ367" s="73"/>
      <c r="FR367" s="73"/>
      <c r="FS367" s="71">
        <f t="shared" si="230"/>
        <v>0</v>
      </c>
      <c r="FT367" s="91"/>
      <c r="FU367" s="91"/>
      <c r="FV367" s="67">
        <f>SUM(Tableau1[[#This Row],[Droits d''auteurs SACEM + cotisations SACEM]:[Autres ou non préciés]])</f>
        <v>0</v>
      </c>
      <c r="FW367" s="75">
        <f t="shared" si="231"/>
        <v>0</v>
      </c>
      <c r="FX367" s="74">
        <v>0</v>
      </c>
      <c r="FY367" s="74"/>
      <c r="FZ367" s="74"/>
      <c r="GA367" s="74"/>
      <c r="GB367" s="71">
        <f t="shared" si="232"/>
        <v>0</v>
      </c>
      <c r="GC367" s="92"/>
      <c r="GD367" s="92"/>
      <c r="GE367" s="67">
        <f t="shared" si="233"/>
        <v>0</v>
      </c>
      <c r="GF367" s="66"/>
      <c r="GG367" s="66"/>
      <c r="GH367" s="66"/>
      <c r="GI367" s="66"/>
      <c r="GJ367" s="77"/>
    </row>
    <row r="368" spans="1:192" ht="18.600000000000001" customHeight="1" x14ac:dyDescent="0.25">
      <c r="A368" s="89"/>
      <c r="B368" s="17"/>
      <c r="C368" s="50"/>
      <c r="D368" s="140"/>
      <c r="E368" s="51"/>
      <c r="F368" s="139">
        <f t="shared" si="237"/>
        <v>1</v>
      </c>
      <c r="G368" s="49"/>
      <c r="H368" s="50"/>
      <c r="I368" s="122"/>
      <c r="J368" s="49"/>
      <c r="K368" s="50"/>
      <c r="L368" s="50"/>
      <c r="M368" s="90"/>
      <c r="N368" s="50"/>
      <c r="O368" s="50"/>
      <c r="P368" s="90"/>
      <c r="Q368" s="52">
        <f t="shared" si="203"/>
        <v>0</v>
      </c>
      <c r="R368" s="52">
        <f t="shared" si="204"/>
        <v>0</v>
      </c>
      <c r="S368" s="53">
        <f t="shared" si="205"/>
        <v>0</v>
      </c>
      <c r="T368" s="54">
        <f t="shared" si="206"/>
        <v>0</v>
      </c>
      <c r="U368" s="115">
        <f>SUM(Tableau1[[#This Row],[Vente confiserie]:[Vente boisson]])</f>
        <v>0</v>
      </c>
      <c r="V368" s="95"/>
      <c r="W368" s="95"/>
      <c r="X368" s="136">
        <f>SUM(Tableau1[[#This Row],[Vente lunette]:[Location lunette]])</f>
        <v>0</v>
      </c>
      <c r="Y368" s="95"/>
      <c r="Z368" s="95"/>
      <c r="AA368" s="95"/>
      <c r="AB368" s="95"/>
      <c r="AC368" s="56">
        <f t="shared" si="235"/>
        <v>0</v>
      </c>
      <c r="AD368" s="57"/>
      <c r="AE368" s="57"/>
      <c r="AF368" s="57"/>
      <c r="AG368" s="57"/>
      <c r="AH368" s="57"/>
      <c r="AI368" s="57"/>
      <c r="AJ368" s="118">
        <f>(Tableau1[[#This Row],[Recette guichet ]]*1.1275177)-Tableau1[[#This Row],[Recette guichet ]]</f>
        <v>0</v>
      </c>
      <c r="AK368" s="57"/>
      <c r="AL368" s="56">
        <f t="shared" si="236"/>
        <v>0</v>
      </c>
      <c r="AM368" s="58"/>
      <c r="AN368" s="58"/>
      <c r="AO368" s="58"/>
      <c r="AP368" s="115">
        <f t="shared" si="207"/>
        <v>0</v>
      </c>
      <c r="AQ368" s="69"/>
      <c r="AR368" s="69"/>
      <c r="AS368" s="69"/>
      <c r="AT368" s="69"/>
      <c r="AU368" s="59">
        <f t="shared" si="208"/>
        <v>0</v>
      </c>
      <c r="AV368" s="60">
        <f t="shared" si="209"/>
        <v>0</v>
      </c>
      <c r="AW368" s="58"/>
      <c r="AX368" s="58"/>
      <c r="AY368" s="58"/>
      <c r="AZ368" s="60">
        <f t="shared" si="199"/>
        <v>0</v>
      </c>
      <c r="BA368" s="58"/>
      <c r="BB368" s="58"/>
      <c r="BC368" s="58"/>
      <c r="BD368" s="60">
        <f>SUM(Tableau1[[#This Row],[ticket/carte/abonnement périmé]:[Autres ou non précisé 5]])</f>
        <v>0</v>
      </c>
      <c r="BE368" s="58"/>
      <c r="BF368" s="58"/>
      <c r="BG368" s="58"/>
      <c r="BH368" s="61">
        <f t="shared" si="210"/>
        <v>0</v>
      </c>
      <c r="BI368" s="120"/>
      <c r="BJ368" s="120"/>
      <c r="BK368" s="62">
        <f t="shared" si="211"/>
        <v>0</v>
      </c>
      <c r="BL368" s="120"/>
      <c r="BM368" s="120"/>
      <c r="BN368" s="120"/>
      <c r="BO368" s="120"/>
      <c r="BP368" s="120"/>
      <c r="BQ368" s="63"/>
      <c r="BR368" s="52">
        <f t="shared" si="212"/>
        <v>0</v>
      </c>
      <c r="BS368" s="52">
        <f t="shared" si="213"/>
        <v>0</v>
      </c>
      <c r="BT368" s="61">
        <f t="shared" si="214"/>
        <v>0</v>
      </c>
      <c r="BU368" s="64">
        <f t="shared" si="215"/>
        <v>0</v>
      </c>
      <c r="BV368" s="119">
        <f>SUM(Tableau1[[#This Row],[Achats confiserie]:[Achats boisson]])</f>
        <v>0</v>
      </c>
      <c r="BW368" s="58"/>
      <c r="BX368" s="69"/>
      <c r="BY368" s="58"/>
      <c r="BZ368" s="56">
        <f t="shared" si="216"/>
        <v>0</v>
      </c>
      <c r="CA368" s="66"/>
      <c r="CB368" s="66"/>
      <c r="CC368" s="56">
        <f t="shared" si="217"/>
        <v>0</v>
      </c>
      <c r="CD368" s="55"/>
      <c r="CE368" s="65"/>
      <c r="CF368" s="55"/>
      <c r="CG368" s="55"/>
      <c r="CH368" s="67">
        <f t="shared" si="218"/>
        <v>0</v>
      </c>
      <c r="CI368" s="68">
        <f t="shared" si="234"/>
        <v>0</v>
      </c>
      <c r="CJ368" s="55"/>
      <c r="CK368" s="55"/>
      <c r="CL368" s="55"/>
      <c r="CM368" s="55"/>
      <c r="CN368" s="55"/>
      <c r="CO368" s="68">
        <f t="shared" si="219"/>
        <v>0</v>
      </c>
      <c r="CP368" s="75">
        <f>SUM(Tableau1[[#This Row],[Fourniture eau]:[Energie (non précisé)]])</f>
        <v>0</v>
      </c>
      <c r="CQ368" s="55"/>
      <c r="CR368" s="55"/>
      <c r="CS368" s="55"/>
      <c r="CT368" s="55"/>
      <c r="CU368" s="55"/>
      <c r="CV368" s="55">
        <v>0</v>
      </c>
      <c r="CW368" s="55"/>
      <c r="CX368" s="68">
        <f>SUM(Tableau1[[#This Row],[Sous-traitance]:[Autres ou non précisé 12]])</f>
        <v>0</v>
      </c>
      <c r="CY368" s="65"/>
      <c r="CZ368" s="65"/>
      <c r="DA368" s="65"/>
      <c r="DB368" s="65"/>
      <c r="DC368" s="55"/>
      <c r="DD368" s="68">
        <f t="shared" si="200"/>
        <v>0</v>
      </c>
      <c r="DE368" s="55"/>
      <c r="DF368" s="65"/>
      <c r="DG368" s="65"/>
      <c r="DH368" s="65"/>
      <c r="DI368" s="68">
        <f>SUM(Tableau1[[#This Row],[Entretien et réparation matériel de projection]:[Autres ou non précisé 14]])</f>
        <v>0</v>
      </c>
      <c r="DJ368" s="58"/>
      <c r="DK368" s="58"/>
      <c r="DL368" s="69"/>
      <c r="DM368" s="68">
        <f t="shared" si="220"/>
        <v>0</v>
      </c>
      <c r="DN368" s="58"/>
      <c r="DO368" s="58"/>
      <c r="DP368" s="68">
        <f t="shared" si="221"/>
        <v>0</v>
      </c>
      <c r="DQ368" s="65"/>
      <c r="DR368" s="65"/>
      <c r="DS368" s="68">
        <f t="shared" si="222"/>
        <v>0</v>
      </c>
      <c r="DT368" s="65"/>
      <c r="DU368" s="65"/>
      <c r="DV368" s="65"/>
      <c r="DW368" s="68">
        <f>SUM(Tableau1[[#This Row],[Comission et courtage sur achats]:[Autres ou honoraires
 non précisé ]])</f>
        <v>0</v>
      </c>
      <c r="DX368" s="57"/>
      <c r="DY368" s="57"/>
      <c r="DZ368" s="65"/>
      <c r="EA368" s="65"/>
      <c r="EB368" s="65"/>
      <c r="EC368" s="68">
        <f t="shared" si="223"/>
        <v>0</v>
      </c>
      <c r="ED368" s="69"/>
      <c r="EE368" s="69"/>
      <c r="EF368" s="69"/>
      <c r="EG368" s="69"/>
      <c r="EH368" s="69"/>
      <c r="EI368" s="84">
        <f>SUM(Tableau1[[#This Row],[Transports sur films]:[autres ]])</f>
        <v>0</v>
      </c>
      <c r="EJ368" s="132">
        <v>0</v>
      </c>
      <c r="EK368" s="132"/>
      <c r="EL368" s="68">
        <f t="shared" si="224"/>
        <v>0</v>
      </c>
      <c r="EM368" s="65"/>
      <c r="EN368" s="65">
        <v>0</v>
      </c>
      <c r="EO368" s="65"/>
      <c r="EP368" s="65"/>
      <c r="EQ368" s="65"/>
      <c r="ER368" s="65"/>
      <c r="ES368" s="65"/>
      <c r="ET368" s="68">
        <f t="shared" si="225"/>
        <v>0</v>
      </c>
      <c r="EU368" s="65"/>
      <c r="EV368" s="65"/>
      <c r="EW368" s="65"/>
      <c r="EX368" s="65"/>
      <c r="EY368" s="65"/>
      <c r="EZ368" s="68">
        <f t="shared" si="202"/>
        <v>0</v>
      </c>
      <c r="FA368" s="65"/>
      <c r="FB368" s="65"/>
      <c r="FC368" s="70">
        <f t="shared" si="201"/>
        <v>0</v>
      </c>
      <c r="FD368" s="65"/>
      <c r="FE368" s="71">
        <f t="shared" si="226"/>
        <v>0</v>
      </c>
      <c r="FF368" s="72">
        <f t="shared" si="227"/>
        <v>0</v>
      </c>
      <c r="FG368" s="65"/>
      <c r="FH368" s="65"/>
      <c r="FI368" s="65"/>
      <c r="FJ368" s="56">
        <f t="shared" si="228"/>
        <v>0</v>
      </c>
      <c r="FK368" s="65"/>
      <c r="FL368" s="65"/>
      <c r="FM368" s="65"/>
      <c r="FN368" s="65"/>
      <c r="FO368" s="67">
        <f t="shared" si="229"/>
        <v>0</v>
      </c>
      <c r="FP368" s="57"/>
      <c r="FQ368" s="73"/>
      <c r="FR368" s="73"/>
      <c r="FS368" s="71">
        <f t="shared" si="230"/>
        <v>0</v>
      </c>
      <c r="FT368" s="91"/>
      <c r="FU368" s="91"/>
      <c r="FV368" s="67">
        <f>SUM(Tableau1[[#This Row],[Droits d''auteurs SACEM + cotisations SACEM]:[Autres ou non préciés]])</f>
        <v>0</v>
      </c>
      <c r="FW368" s="75">
        <f t="shared" si="231"/>
        <v>0</v>
      </c>
      <c r="FX368" s="74">
        <v>0</v>
      </c>
      <c r="FY368" s="74"/>
      <c r="FZ368" s="74"/>
      <c r="GA368" s="74"/>
      <c r="GB368" s="71">
        <f t="shared" si="232"/>
        <v>0</v>
      </c>
      <c r="GC368" s="92"/>
      <c r="GD368" s="92"/>
      <c r="GE368" s="67">
        <f t="shared" si="233"/>
        <v>0</v>
      </c>
      <c r="GF368" s="66"/>
      <c r="GG368" s="66"/>
      <c r="GH368" s="66"/>
      <c r="GI368" s="66"/>
      <c r="GJ368" s="77"/>
    </row>
    <row r="369" spans="1:192" ht="18.600000000000001" customHeight="1" x14ac:dyDescent="0.25">
      <c r="A369" s="89"/>
      <c r="B369" s="17"/>
      <c r="C369" s="50"/>
      <c r="D369" s="140"/>
      <c r="E369" s="51"/>
      <c r="F369" s="139">
        <f t="shared" si="237"/>
        <v>1</v>
      </c>
      <c r="G369" s="49"/>
      <c r="H369" s="50"/>
      <c r="I369" s="122"/>
      <c r="J369" s="49"/>
      <c r="K369" s="50"/>
      <c r="L369" s="50"/>
      <c r="M369" s="90"/>
      <c r="N369" s="50"/>
      <c r="O369" s="50"/>
      <c r="P369" s="90"/>
      <c r="Q369" s="52">
        <f t="shared" si="203"/>
        <v>0</v>
      </c>
      <c r="R369" s="52">
        <f t="shared" si="204"/>
        <v>0</v>
      </c>
      <c r="S369" s="53">
        <f t="shared" si="205"/>
        <v>0</v>
      </c>
      <c r="T369" s="54">
        <f t="shared" si="206"/>
        <v>0</v>
      </c>
      <c r="U369" s="115">
        <f>SUM(Tableau1[[#This Row],[Vente confiserie]:[Vente boisson]])</f>
        <v>0</v>
      </c>
      <c r="V369" s="95"/>
      <c r="W369" s="95"/>
      <c r="X369" s="136">
        <f>SUM(Tableau1[[#This Row],[Vente lunette]:[Location lunette]])</f>
        <v>0</v>
      </c>
      <c r="Y369" s="95"/>
      <c r="Z369" s="95"/>
      <c r="AA369" s="95"/>
      <c r="AB369" s="95"/>
      <c r="AC369" s="56">
        <f t="shared" si="235"/>
        <v>0</v>
      </c>
      <c r="AD369" s="57"/>
      <c r="AE369" s="57"/>
      <c r="AF369" s="57"/>
      <c r="AG369" s="57"/>
      <c r="AH369" s="57"/>
      <c r="AI369" s="57"/>
      <c r="AJ369" s="118">
        <f>(Tableau1[[#This Row],[Recette guichet ]]*1.1275177)-Tableau1[[#This Row],[Recette guichet ]]</f>
        <v>0</v>
      </c>
      <c r="AK369" s="57"/>
      <c r="AL369" s="56">
        <f t="shared" si="236"/>
        <v>0</v>
      </c>
      <c r="AM369" s="58"/>
      <c r="AN369" s="58"/>
      <c r="AO369" s="58"/>
      <c r="AP369" s="115">
        <f t="shared" si="207"/>
        <v>0</v>
      </c>
      <c r="AQ369" s="69"/>
      <c r="AR369" s="69"/>
      <c r="AS369" s="69"/>
      <c r="AT369" s="69"/>
      <c r="AU369" s="59">
        <f t="shared" si="208"/>
        <v>0</v>
      </c>
      <c r="AV369" s="60">
        <f t="shared" si="209"/>
        <v>0</v>
      </c>
      <c r="AW369" s="58"/>
      <c r="AX369" s="58"/>
      <c r="AY369" s="58"/>
      <c r="AZ369" s="60">
        <f t="shared" si="199"/>
        <v>0</v>
      </c>
      <c r="BA369" s="58"/>
      <c r="BB369" s="58"/>
      <c r="BC369" s="58"/>
      <c r="BD369" s="60">
        <f>SUM(Tableau1[[#This Row],[ticket/carte/abonnement périmé]:[Autres ou non précisé 5]])</f>
        <v>0</v>
      </c>
      <c r="BE369" s="58"/>
      <c r="BF369" s="58"/>
      <c r="BG369" s="58"/>
      <c r="BH369" s="61">
        <f t="shared" si="210"/>
        <v>0</v>
      </c>
      <c r="BI369" s="120"/>
      <c r="BJ369" s="120"/>
      <c r="BK369" s="62">
        <f t="shared" si="211"/>
        <v>0</v>
      </c>
      <c r="BL369" s="120"/>
      <c r="BM369" s="120"/>
      <c r="BN369" s="120"/>
      <c r="BO369" s="120"/>
      <c r="BP369" s="120"/>
      <c r="BQ369" s="63"/>
      <c r="BR369" s="52">
        <f t="shared" si="212"/>
        <v>0</v>
      </c>
      <c r="BS369" s="52">
        <f t="shared" si="213"/>
        <v>0</v>
      </c>
      <c r="BT369" s="61">
        <f t="shared" si="214"/>
        <v>0</v>
      </c>
      <c r="BU369" s="64">
        <f t="shared" si="215"/>
        <v>0</v>
      </c>
      <c r="BV369" s="119">
        <f>SUM(Tableau1[[#This Row],[Achats confiserie]:[Achats boisson]])</f>
        <v>0</v>
      </c>
      <c r="BW369" s="58"/>
      <c r="BX369" s="69"/>
      <c r="BY369" s="58"/>
      <c r="BZ369" s="56">
        <f t="shared" si="216"/>
        <v>0</v>
      </c>
      <c r="CA369" s="66"/>
      <c r="CB369" s="66"/>
      <c r="CC369" s="56">
        <f t="shared" si="217"/>
        <v>0</v>
      </c>
      <c r="CD369" s="55"/>
      <c r="CE369" s="65"/>
      <c r="CF369" s="55"/>
      <c r="CG369" s="55"/>
      <c r="CH369" s="67">
        <f t="shared" si="218"/>
        <v>0</v>
      </c>
      <c r="CI369" s="68">
        <f t="shared" si="234"/>
        <v>0</v>
      </c>
      <c r="CJ369" s="55"/>
      <c r="CK369" s="55"/>
      <c r="CL369" s="55"/>
      <c r="CM369" s="55"/>
      <c r="CN369" s="55"/>
      <c r="CO369" s="68">
        <f t="shared" si="219"/>
        <v>0</v>
      </c>
      <c r="CP369" s="75">
        <f>SUM(Tableau1[[#This Row],[Fourniture eau]:[Energie (non précisé)]])</f>
        <v>0</v>
      </c>
      <c r="CQ369" s="55"/>
      <c r="CR369" s="55"/>
      <c r="CS369" s="55"/>
      <c r="CT369" s="55"/>
      <c r="CU369" s="55"/>
      <c r="CV369" s="55">
        <v>0</v>
      </c>
      <c r="CW369" s="55"/>
      <c r="CX369" s="68">
        <f>SUM(Tableau1[[#This Row],[Sous-traitance]:[Autres ou non précisé 12]])</f>
        <v>0</v>
      </c>
      <c r="CY369" s="65"/>
      <c r="CZ369" s="65"/>
      <c r="DA369" s="65"/>
      <c r="DB369" s="65"/>
      <c r="DC369" s="55"/>
      <c r="DD369" s="68">
        <f t="shared" si="200"/>
        <v>0</v>
      </c>
      <c r="DE369" s="55"/>
      <c r="DF369" s="65"/>
      <c r="DG369" s="65"/>
      <c r="DH369" s="65"/>
      <c r="DI369" s="68">
        <f>SUM(Tableau1[[#This Row],[Entretien et réparation matériel de projection]:[Autres ou non précisé 14]])</f>
        <v>0</v>
      </c>
      <c r="DJ369" s="58"/>
      <c r="DK369" s="58"/>
      <c r="DL369" s="69"/>
      <c r="DM369" s="68">
        <f t="shared" si="220"/>
        <v>0</v>
      </c>
      <c r="DN369" s="58"/>
      <c r="DO369" s="58"/>
      <c r="DP369" s="68">
        <f t="shared" si="221"/>
        <v>0</v>
      </c>
      <c r="DQ369" s="65"/>
      <c r="DR369" s="65"/>
      <c r="DS369" s="68">
        <f t="shared" si="222"/>
        <v>0</v>
      </c>
      <c r="DT369" s="65"/>
      <c r="DU369" s="65"/>
      <c r="DV369" s="65"/>
      <c r="DW369" s="68">
        <f>SUM(Tableau1[[#This Row],[Comission et courtage sur achats]:[Autres ou honoraires
 non précisé ]])</f>
        <v>0</v>
      </c>
      <c r="DX369" s="57"/>
      <c r="DY369" s="57"/>
      <c r="DZ369" s="65"/>
      <c r="EA369" s="65"/>
      <c r="EB369" s="65"/>
      <c r="EC369" s="68">
        <f t="shared" si="223"/>
        <v>0</v>
      </c>
      <c r="ED369" s="69"/>
      <c r="EE369" s="69"/>
      <c r="EF369" s="69"/>
      <c r="EG369" s="69"/>
      <c r="EH369" s="69"/>
      <c r="EI369" s="84">
        <f>SUM(Tableau1[[#This Row],[Transports sur films]:[autres ]])</f>
        <v>0</v>
      </c>
      <c r="EJ369" s="132">
        <v>0</v>
      </c>
      <c r="EK369" s="132"/>
      <c r="EL369" s="68">
        <f t="shared" si="224"/>
        <v>0</v>
      </c>
      <c r="EM369" s="65"/>
      <c r="EN369" s="65">
        <v>0</v>
      </c>
      <c r="EO369" s="65"/>
      <c r="EP369" s="65"/>
      <c r="EQ369" s="65"/>
      <c r="ER369" s="65"/>
      <c r="ES369" s="65"/>
      <c r="ET369" s="68">
        <f t="shared" si="225"/>
        <v>0</v>
      </c>
      <c r="EU369" s="65"/>
      <c r="EV369" s="65"/>
      <c r="EW369" s="65"/>
      <c r="EX369" s="65"/>
      <c r="EY369" s="65"/>
      <c r="EZ369" s="68">
        <f t="shared" si="202"/>
        <v>0</v>
      </c>
      <c r="FA369" s="65"/>
      <c r="FB369" s="65"/>
      <c r="FC369" s="70">
        <f t="shared" si="201"/>
        <v>0</v>
      </c>
      <c r="FD369" s="65"/>
      <c r="FE369" s="71">
        <f t="shared" si="226"/>
        <v>0</v>
      </c>
      <c r="FF369" s="72">
        <f t="shared" si="227"/>
        <v>0</v>
      </c>
      <c r="FG369" s="65"/>
      <c r="FH369" s="65"/>
      <c r="FI369" s="65"/>
      <c r="FJ369" s="56">
        <f t="shared" si="228"/>
        <v>0</v>
      </c>
      <c r="FK369" s="65"/>
      <c r="FL369" s="65"/>
      <c r="FM369" s="65"/>
      <c r="FN369" s="65"/>
      <c r="FO369" s="67">
        <f t="shared" si="229"/>
        <v>0</v>
      </c>
      <c r="FP369" s="57"/>
      <c r="FQ369" s="73"/>
      <c r="FR369" s="73"/>
      <c r="FS369" s="71">
        <f t="shared" si="230"/>
        <v>0</v>
      </c>
      <c r="FT369" s="91"/>
      <c r="FU369" s="91"/>
      <c r="FV369" s="67">
        <f>SUM(Tableau1[[#This Row],[Droits d''auteurs SACEM + cotisations SACEM]:[Autres ou non préciés]])</f>
        <v>0</v>
      </c>
      <c r="FW369" s="75">
        <f t="shared" si="231"/>
        <v>0</v>
      </c>
      <c r="FX369" s="74">
        <v>0</v>
      </c>
      <c r="FY369" s="74"/>
      <c r="FZ369" s="74"/>
      <c r="GA369" s="74"/>
      <c r="GB369" s="71">
        <f t="shared" si="232"/>
        <v>0</v>
      </c>
      <c r="GC369" s="92"/>
      <c r="GD369" s="92"/>
      <c r="GE369" s="67">
        <f t="shared" si="233"/>
        <v>0</v>
      </c>
      <c r="GF369" s="66"/>
      <c r="GG369" s="66"/>
      <c r="GH369" s="66"/>
      <c r="GI369" s="66"/>
      <c r="GJ369" s="77"/>
    </row>
    <row r="370" spans="1:192" ht="18.600000000000001" customHeight="1" x14ac:dyDescent="0.25">
      <c r="A370" s="89"/>
      <c r="B370" s="17"/>
      <c r="C370" s="50"/>
      <c r="D370" s="140"/>
      <c r="E370" s="51"/>
      <c r="F370" s="139">
        <f t="shared" si="237"/>
        <v>1</v>
      </c>
      <c r="G370" s="49"/>
      <c r="H370" s="50"/>
      <c r="I370" s="122"/>
      <c r="J370" s="49"/>
      <c r="K370" s="50"/>
      <c r="L370" s="50"/>
      <c r="M370" s="90"/>
      <c r="N370" s="50"/>
      <c r="O370" s="50"/>
      <c r="P370" s="90"/>
      <c r="Q370" s="52">
        <f t="shared" si="203"/>
        <v>0</v>
      </c>
      <c r="R370" s="52">
        <f t="shared" si="204"/>
        <v>0</v>
      </c>
      <c r="S370" s="53">
        <f t="shared" si="205"/>
        <v>0</v>
      </c>
      <c r="T370" s="54">
        <f t="shared" si="206"/>
        <v>0</v>
      </c>
      <c r="U370" s="115">
        <f>SUM(Tableau1[[#This Row],[Vente confiserie]:[Vente boisson]])</f>
        <v>0</v>
      </c>
      <c r="V370" s="95"/>
      <c r="W370" s="95"/>
      <c r="X370" s="136">
        <f>SUM(Tableau1[[#This Row],[Vente lunette]:[Location lunette]])</f>
        <v>0</v>
      </c>
      <c r="Y370" s="95"/>
      <c r="Z370" s="95"/>
      <c r="AA370" s="95"/>
      <c r="AB370" s="95"/>
      <c r="AC370" s="56">
        <f t="shared" si="235"/>
        <v>0</v>
      </c>
      <c r="AD370" s="57"/>
      <c r="AE370" s="57"/>
      <c r="AF370" s="57"/>
      <c r="AG370" s="57"/>
      <c r="AH370" s="57"/>
      <c r="AI370" s="57"/>
      <c r="AJ370" s="118">
        <f>(Tableau1[[#This Row],[Recette guichet ]]*1.1275177)-Tableau1[[#This Row],[Recette guichet ]]</f>
        <v>0</v>
      </c>
      <c r="AK370" s="57"/>
      <c r="AL370" s="56">
        <f t="shared" si="236"/>
        <v>0</v>
      </c>
      <c r="AM370" s="58"/>
      <c r="AN370" s="58"/>
      <c r="AO370" s="58"/>
      <c r="AP370" s="115">
        <f t="shared" si="207"/>
        <v>0</v>
      </c>
      <c r="AQ370" s="69"/>
      <c r="AR370" s="69"/>
      <c r="AS370" s="69"/>
      <c r="AT370" s="69"/>
      <c r="AU370" s="59">
        <f t="shared" si="208"/>
        <v>0</v>
      </c>
      <c r="AV370" s="60">
        <f t="shared" si="209"/>
        <v>0</v>
      </c>
      <c r="AW370" s="58"/>
      <c r="AX370" s="58"/>
      <c r="AY370" s="58"/>
      <c r="AZ370" s="60">
        <f t="shared" si="199"/>
        <v>0</v>
      </c>
      <c r="BA370" s="58"/>
      <c r="BB370" s="58"/>
      <c r="BC370" s="58"/>
      <c r="BD370" s="60">
        <f>SUM(Tableau1[[#This Row],[ticket/carte/abonnement périmé]:[Autres ou non précisé 5]])</f>
        <v>0</v>
      </c>
      <c r="BE370" s="58"/>
      <c r="BF370" s="58"/>
      <c r="BG370" s="58"/>
      <c r="BH370" s="61">
        <f t="shared" si="210"/>
        <v>0</v>
      </c>
      <c r="BI370" s="120"/>
      <c r="BJ370" s="120"/>
      <c r="BK370" s="62">
        <f t="shared" si="211"/>
        <v>0</v>
      </c>
      <c r="BL370" s="120"/>
      <c r="BM370" s="120"/>
      <c r="BN370" s="120"/>
      <c r="BO370" s="120"/>
      <c r="BP370" s="120"/>
      <c r="BQ370" s="63"/>
      <c r="BR370" s="52">
        <f t="shared" si="212"/>
        <v>0</v>
      </c>
      <c r="BS370" s="52">
        <f t="shared" si="213"/>
        <v>0</v>
      </c>
      <c r="BT370" s="61">
        <f t="shared" si="214"/>
        <v>0</v>
      </c>
      <c r="BU370" s="64">
        <f t="shared" si="215"/>
        <v>0</v>
      </c>
      <c r="BV370" s="119">
        <f>SUM(Tableau1[[#This Row],[Achats confiserie]:[Achats boisson]])</f>
        <v>0</v>
      </c>
      <c r="BW370" s="58"/>
      <c r="BX370" s="69"/>
      <c r="BY370" s="58"/>
      <c r="BZ370" s="56">
        <f t="shared" si="216"/>
        <v>0</v>
      </c>
      <c r="CA370" s="66"/>
      <c r="CB370" s="66"/>
      <c r="CC370" s="56">
        <f t="shared" si="217"/>
        <v>0</v>
      </c>
      <c r="CD370" s="55"/>
      <c r="CE370" s="65"/>
      <c r="CF370" s="55"/>
      <c r="CG370" s="55"/>
      <c r="CH370" s="67">
        <f t="shared" si="218"/>
        <v>0</v>
      </c>
      <c r="CI370" s="68">
        <f t="shared" si="234"/>
        <v>0</v>
      </c>
      <c r="CJ370" s="55"/>
      <c r="CK370" s="55"/>
      <c r="CL370" s="55"/>
      <c r="CM370" s="55"/>
      <c r="CN370" s="55"/>
      <c r="CO370" s="68">
        <f t="shared" si="219"/>
        <v>0</v>
      </c>
      <c r="CP370" s="75">
        <f>SUM(Tableau1[[#This Row],[Fourniture eau]:[Energie (non précisé)]])</f>
        <v>0</v>
      </c>
      <c r="CQ370" s="55"/>
      <c r="CR370" s="55"/>
      <c r="CS370" s="55"/>
      <c r="CT370" s="55"/>
      <c r="CU370" s="55"/>
      <c r="CV370" s="55">
        <v>0</v>
      </c>
      <c r="CW370" s="55"/>
      <c r="CX370" s="68">
        <f>SUM(Tableau1[[#This Row],[Sous-traitance]:[Autres ou non précisé 12]])</f>
        <v>0</v>
      </c>
      <c r="CY370" s="65"/>
      <c r="CZ370" s="65"/>
      <c r="DA370" s="65"/>
      <c r="DB370" s="65"/>
      <c r="DC370" s="55"/>
      <c r="DD370" s="68">
        <f t="shared" si="200"/>
        <v>0</v>
      </c>
      <c r="DE370" s="55"/>
      <c r="DF370" s="65"/>
      <c r="DG370" s="65"/>
      <c r="DH370" s="65"/>
      <c r="DI370" s="68">
        <f>SUM(Tableau1[[#This Row],[Entretien et réparation matériel de projection]:[Autres ou non précisé 14]])</f>
        <v>0</v>
      </c>
      <c r="DJ370" s="58"/>
      <c r="DK370" s="58"/>
      <c r="DL370" s="69"/>
      <c r="DM370" s="68">
        <f t="shared" si="220"/>
        <v>0</v>
      </c>
      <c r="DN370" s="58"/>
      <c r="DO370" s="58"/>
      <c r="DP370" s="68">
        <f t="shared" si="221"/>
        <v>0</v>
      </c>
      <c r="DQ370" s="65"/>
      <c r="DR370" s="65"/>
      <c r="DS370" s="68">
        <f t="shared" si="222"/>
        <v>0</v>
      </c>
      <c r="DT370" s="65"/>
      <c r="DU370" s="65"/>
      <c r="DV370" s="65"/>
      <c r="DW370" s="68">
        <f>SUM(Tableau1[[#This Row],[Comission et courtage sur achats]:[Autres ou honoraires
 non précisé ]])</f>
        <v>0</v>
      </c>
      <c r="DX370" s="57"/>
      <c r="DY370" s="57"/>
      <c r="DZ370" s="65"/>
      <c r="EA370" s="65"/>
      <c r="EB370" s="65"/>
      <c r="EC370" s="68">
        <f t="shared" si="223"/>
        <v>0</v>
      </c>
      <c r="ED370" s="69"/>
      <c r="EE370" s="69"/>
      <c r="EF370" s="69"/>
      <c r="EG370" s="69"/>
      <c r="EH370" s="69"/>
      <c r="EI370" s="84">
        <f>SUM(Tableau1[[#This Row],[Transports sur films]:[autres ]])</f>
        <v>0</v>
      </c>
      <c r="EJ370" s="132">
        <v>0</v>
      </c>
      <c r="EK370" s="132"/>
      <c r="EL370" s="68">
        <f t="shared" si="224"/>
        <v>0</v>
      </c>
      <c r="EM370" s="65"/>
      <c r="EN370" s="65">
        <v>0</v>
      </c>
      <c r="EO370" s="65"/>
      <c r="EP370" s="65"/>
      <c r="EQ370" s="65"/>
      <c r="ER370" s="65"/>
      <c r="ES370" s="65"/>
      <c r="ET370" s="68">
        <f t="shared" si="225"/>
        <v>0</v>
      </c>
      <c r="EU370" s="65"/>
      <c r="EV370" s="65"/>
      <c r="EW370" s="65"/>
      <c r="EX370" s="65"/>
      <c r="EY370" s="65"/>
      <c r="EZ370" s="68">
        <f t="shared" si="202"/>
        <v>0</v>
      </c>
      <c r="FA370" s="65"/>
      <c r="FB370" s="65"/>
      <c r="FC370" s="70">
        <f t="shared" si="201"/>
        <v>0</v>
      </c>
      <c r="FD370" s="65"/>
      <c r="FE370" s="71">
        <f t="shared" si="226"/>
        <v>0</v>
      </c>
      <c r="FF370" s="72">
        <f t="shared" si="227"/>
        <v>0</v>
      </c>
      <c r="FG370" s="65"/>
      <c r="FH370" s="65"/>
      <c r="FI370" s="65"/>
      <c r="FJ370" s="56">
        <f t="shared" si="228"/>
        <v>0</v>
      </c>
      <c r="FK370" s="65"/>
      <c r="FL370" s="65"/>
      <c r="FM370" s="65"/>
      <c r="FN370" s="65"/>
      <c r="FO370" s="67">
        <f t="shared" si="229"/>
        <v>0</v>
      </c>
      <c r="FP370" s="57"/>
      <c r="FQ370" s="73"/>
      <c r="FR370" s="73"/>
      <c r="FS370" s="71">
        <f t="shared" si="230"/>
        <v>0</v>
      </c>
      <c r="FT370" s="91"/>
      <c r="FU370" s="91"/>
      <c r="FV370" s="67">
        <f>SUM(Tableau1[[#This Row],[Droits d''auteurs SACEM + cotisations SACEM]:[Autres ou non préciés]])</f>
        <v>0</v>
      </c>
      <c r="FW370" s="75">
        <f t="shared" si="231"/>
        <v>0</v>
      </c>
      <c r="FX370" s="74">
        <v>0</v>
      </c>
      <c r="FY370" s="74"/>
      <c r="FZ370" s="74"/>
      <c r="GA370" s="74"/>
      <c r="GB370" s="71">
        <f t="shared" si="232"/>
        <v>0</v>
      </c>
      <c r="GC370" s="92"/>
      <c r="GD370" s="92"/>
      <c r="GE370" s="67">
        <f t="shared" si="233"/>
        <v>0</v>
      </c>
      <c r="GF370" s="66"/>
      <c r="GG370" s="66"/>
      <c r="GH370" s="66"/>
      <c r="GI370" s="66"/>
      <c r="GJ370" s="77"/>
    </row>
    <row r="371" spans="1:192" ht="18.600000000000001" customHeight="1" x14ac:dyDescent="0.25">
      <c r="A371" s="89"/>
      <c r="B371" s="17"/>
      <c r="C371" s="50"/>
      <c r="D371" s="140"/>
      <c r="E371" s="51"/>
      <c r="F371" s="139">
        <f t="shared" si="237"/>
        <v>1</v>
      </c>
      <c r="G371" s="49"/>
      <c r="H371" s="50"/>
      <c r="I371" s="122"/>
      <c r="J371" s="49"/>
      <c r="K371" s="50"/>
      <c r="L371" s="50"/>
      <c r="M371" s="90"/>
      <c r="N371" s="50"/>
      <c r="O371" s="50"/>
      <c r="P371" s="90"/>
      <c r="Q371" s="52">
        <f t="shared" si="203"/>
        <v>0</v>
      </c>
      <c r="R371" s="52">
        <f t="shared" si="204"/>
        <v>0</v>
      </c>
      <c r="S371" s="53">
        <f t="shared" si="205"/>
        <v>0</v>
      </c>
      <c r="T371" s="54">
        <f t="shared" si="206"/>
        <v>0</v>
      </c>
      <c r="U371" s="115">
        <f>SUM(Tableau1[[#This Row],[Vente confiserie]:[Vente boisson]])</f>
        <v>0</v>
      </c>
      <c r="V371" s="95"/>
      <c r="W371" s="95"/>
      <c r="X371" s="136">
        <f>SUM(Tableau1[[#This Row],[Vente lunette]:[Location lunette]])</f>
        <v>0</v>
      </c>
      <c r="Y371" s="95"/>
      <c r="Z371" s="95"/>
      <c r="AA371" s="95"/>
      <c r="AB371" s="95"/>
      <c r="AC371" s="56">
        <f t="shared" si="235"/>
        <v>0</v>
      </c>
      <c r="AD371" s="57"/>
      <c r="AE371" s="57"/>
      <c r="AF371" s="57"/>
      <c r="AG371" s="57"/>
      <c r="AH371" s="57"/>
      <c r="AI371" s="57"/>
      <c r="AJ371" s="118">
        <f>(Tableau1[[#This Row],[Recette guichet ]]*1.1275177)-Tableau1[[#This Row],[Recette guichet ]]</f>
        <v>0</v>
      </c>
      <c r="AK371" s="57"/>
      <c r="AL371" s="56">
        <f t="shared" si="236"/>
        <v>0</v>
      </c>
      <c r="AM371" s="58"/>
      <c r="AN371" s="58"/>
      <c r="AO371" s="58"/>
      <c r="AP371" s="115">
        <f t="shared" si="207"/>
        <v>0</v>
      </c>
      <c r="AQ371" s="69"/>
      <c r="AR371" s="69"/>
      <c r="AS371" s="69"/>
      <c r="AT371" s="69"/>
      <c r="AU371" s="59">
        <f t="shared" si="208"/>
        <v>0</v>
      </c>
      <c r="AV371" s="60">
        <f t="shared" si="209"/>
        <v>0</v>
      </c>
      <c r="AW371" s="58"/>
      <c r="AX371" s="58"/>
      <c r="AY371" s="58"/>
      <c r="AZ371" s="60">
        <f t="shared" si="199"/>
        <v>0</v>
      </c>
      <c r="BA371" s="58"/>
      <c r="BB371" s="58"/>
      <c r="BC371" s="58"/>
      <c r="BD371" s="60">
        <f>SUM(Tableau1[[#This Row],[ticket/carte/abonnement périmé]:[Autres ou non précisé 5]])</f>
        <v>0</v>
      </c>
      <c r="BE371" s="58"/>
      <c r="BF371" s="58"/>
      <c r="BG371" s="58"/>
      <c r="BH371" s="61">
        <f t="shared" si="210"/>
        <v>0</v>
      </c>
      <c r="BI371" s="120"/>
      <c r="BJ371" s="120"/>
      <c r="BK371" s="62">
        <f t="shared" si="211"/>
        <v>0</v>
      </c>
      <c r="BL371" s="120"/>
      <c r="BM371" s="120"/>
      <c r="BN371" s="120"/>
      <c r="BO371" s="120"/>
      <c r="BP371" s="120"/>
      <c r="BQ371" s="63"/>
      <c r="BR371" s="52">
        <f t="shared" si="212"/>
        <v>0</v>
      </c>
      <c r="BS371" s="52">
        <f t="shared" si="213"/>
        <v>0</v>
      </c>
      <c r="BT371" s="61">
        <f t="shared" si="214"/>
        <v>0</v>
      </c>
      <c r="BU371" s="64">
        <f t="shared" si="215"/>
        <v>0</v>
      </c>
      <c r="BV371" s="119">
        <f>SUM(Tableau1[[#This Row],[Achats confiserie]:[Achats boisson]])</f>
        <v>0</v>
      </c>
      <c r="BW371" s="58"/>
      <c r="BX371" s="69"/>
      <c r="BY371" s="58"/>
      <c r="BZ371" s="56">
        <f t="shared" si="216"/>
        <v>0</v>
      </c>
      <c r="CA371" s="66"/>
      <c r="CB371" s="66"/>
      <c r="CC371" s="56">
        <f t="shared" si="217"/>
        <v>0</v>
      </c>
      <c r="CD371" s="55"/>
      <c r="CE371" s="65"/>
      <c r="CF371" s="55"/>
      <c r="CG371" s="55"/>
      <c r="CH371" s="67">
        <f t="shared" si="218"/>
        <v>0</v>
      </c>
      <c r="CI371" s="68">
        <f t="shared" si="234"/>
        <v>0</v>
      </c>
      <c r="CJ371" s="55"/>
      <c r="CK371" s="55"/>
      <c r="CL371" s="55"/>
      <c r="CM371" s="55"/>
      <c r="CN371" s="55"/>
      <c r="CO371" s="68">
        <f t="shared" si="219"/>
        <v>0</v>
      </c>
      <c r="CP371" s="75">
        <f>SUM(Tableau1[[#This Row],[Fourniture eau]:[Energie (non précisé)]])</f>
        <v>0</v>
      </c>
      <c r="CQ371" s="55"/>
      <c r="CR371" s="55"/>
      <c r="CS371" s="55"/>
      <c r="CT371" s="55"/>
      <c r="CU371" s="55"/>
      <c r="CV371" s="55">
        <v>0</v>
      </c>
      <c r="CW371" s="55"/>
      <c r="CX371" s="68">
        <f>SUM(Tableau1[[#This Row],[Sous-traitance]:[Autres ou non précisé 12]])</f>
        <v>0</v>
      </c>
      <c r="CY371" s="65"/>
      <c r="CZ371" s="65"/>
      <c r="DA371" s="65"/>
      <c r="DB371" s="65"/>
      <c r="DC371" s="55"/>
      <c r="DD371" s="68">
        <f t="shared" si="200"/>
        <v>0</v>
      </c>
      <c r="DE371" s="55"/>
      <c r="DF371" s="65"/>
      <c r="DG371" s="65"/>
      <c r="DH371" s="65"/>
      <c r="DI371" s="68">
        <f>SUM(Tableau1[[#This Row],[Entretien et réparation matériel de projection]:[Autres ou non précisé 14]])</f>
        <v>0</v>
      </c>
      <c r="DJ371" s="58"/>
      <c r="DK371" s="58"/>
      <c r="DL371" s="69"/>
      <c r="DM371" s="68">
        <f t="shared" si="220"/>
        <v>0</v>
      </c>
      <c r="DN371" s="58"/>
      <c r="DO371" s="58"/>
      <c r="DP371" s="68">
        <f t="shared" si="221"/>
        <v>0</v>
      </c>
      <c r="DQ371" s="65"/>
      <c r="DR371" s="65"/>
      <c r="DS371" s="68">
        <f t="shared" si="222"/>
        <v>0</v>
      </c>
      <c r="DT371" s="65"/>
      <c r="DU371" s="65"/>
      <c r="DV371" s="65"/>
      <c r="DW371" s="68">
        <f>SUM(Tableau1[[#This Row],[Comission et courtage sur achats]:[Autres ou honoraires
 non précisé ]])</f>
        <v>0</v>
      </c>
      <c r="DX371" s="57"/>
      <c r="DY371" s="57"/>
      <c r="DZ371" s="65"/>
      <c r="EA371" s="65"/>
      <c r="EB371" s="65"/>
      <c r="EC371" s="68">
        <f t="shared" si="223"/>
        <v>0</v>
      </c>
      <c r="ED371" s="69"/>
      <c r="EE371" s="69"/>
      <c r="EF371" s="69"/>
      <c r="EG371" s="69"/>
      <c r="EH371" s="69"/>
      <c r="EI371" s="84">
        <f>SUM(Tableau1[[#This Row],[Transports sur films]:[autres ]])</f>
        <v>0</v>
      </c>
      <c r="EJ371" s="132">
        <v>0</v>
      </c>
      <c r="EK371" s="132"/>
      <c r="EL371" s="68">
        <f t="shared" si="224"/>
        <v>0</v>
      </c>
      <c r="EM371" s="65"/>
      <c r="EN371" s="65">
        <v>0</v>
      </c>
      <c r="EO371" s="65"/>
      <c r="EP371" s="65"/>
      <c r="EQ371" s="65"/>
      <c r="ER371" s="65"/>
      <c r="ES371" s="65"/>
      <c r="ET371" s="68">
        <f t="shared" si="225"/>
        <v>0</v>
      </c>
      <c r="EU371" s="65"/>
      <c r="EV371" s="65"/>
      <c r="EW371" s="65"/>
      <c r="EX371" s="65"/>
      <c r="EY371" s="65"/>
      <c r="EZ371" s="68">
        <f t="shared" si="202"/>
        <v>0</v>
      </c>
      <c r="FA371" s="65"/>
      <c r="FB371" s="65"/>
      <c r="FC371" s="70">
        <f t="shared" si="201"/>
        <v>0</v>
      </c>
      <c r="FD371" s="65"/>
      <c r="FE371" s="71">
        <f t="shared" si="226"/>
        <v>0</v>
      </c>
      <c r="FF371" s="72">
        <f t="shared" si="227"/>
        <v>0</v>
      </c>
      <c r="FG371" s="65"/>
      <c r="FH371" s="65"/>
      <c r="FI371" s="65"/>
      <c r="FJ371" s="56">
        <f t="shared" si="228"/>
        <v>0</v>
      </c>
      <c r="FK371" s="65"/>
      <c r="FL371" s="65"/>
      <c r="FM371" s="65"/>
      <c r="FN371" s="65"/>
      <c r="FO371" s="67">
        <f t="shared" si="229"/>
        <v>0</v>
      </c>
      <c r="FP371" s="57"/>
      <c r="FQ371" s="73"/>
      <c r="FR371" s="73"/>
      <c r="FS371" s="71">
        <f t="shared" si="230"/>
        <v>0</v>
      </c>
      <c r="FT371" s="91"/>
      <c r="FU371" s="91"/>
      <c r="FV371" s="67">
        <f>SUM(Tableau1[[#This Row],[Droits d''auteurs SACEM + cotisations SACEM]:[Autres ou non préciés]])</f>
        <v>0</v>
      </c>
      <c r="FW371" s="75">
        <f t="shared" si="231"/>
        <v>0</v>
      </c>
      <c r="FX371" s="74">
        <v>0</v>
      </c>
      <c r="FY371" s="74"/>
      <c r="FZ371" s="74"/>
      <c r="GA371" s="74"/>
      <c r="GB371" s="71">
        <f t="shared" si="232"/>
        <v>0</v>
      </c>
      <c r="GC371" s="92"/>
      <c r="GD371" s="92"/>
      <c r="GE371" s="67">
        <f t="shared" si="233"/>
        <v>0</v>
      </c>
      <c r="GF371" s="66"/>
      <c r="GG371" s="66"/>
      <c r="GH371" s="66"/>
      <c r="GI371" s="66"/>
      <c r="GJ371" s="77"/>
    </row>
    <row r="372" spans="1:192" ht="18.600000000000001" customHeight="1" x14ac:dyDescent="0.25">
      <c r="A372" s="89"/>
      <c r="B372" s="17"/>
      <c r="C372" s="50"/>
      <c r="D372" s="140"/>
      <c r="E372" s="51"/>
      <c r="F372" s="139">
        <f t="shared" si="237"/>
        <v>1</v>
      </c>
      <c r="G372" s="49"/>
      <c r="H372" s="50"/>
      <c r="I372" s="122"/>
      <c r="J372" s="49"/>
      <c r="K372" s="50"/>
      <c r="L372" s="50"/>
      <c r="M372" s="90"/>
      <c r="N372" s="50"/>
      <c r="O372" s="50"/>
      <c r="P372" s="90"/>
      <c r="Q372" s="52">
        <f t="shared" si="203"/>
        <v>0</v>
      </c>
      <c r="R372" s="52">
        <f t="shared" si="204"/>
        <v>0</v>
      </c>
      <c r="S372" s="53">
        <f t="shared" si="205"/>
        <v>0</v>
      </c>
      <c r="T372" s="54">
        <f t="shared" si="206"/>
        <v>0</v>
      </c>
      <c r="U372" s="115">
        <f>SUM(Tableau1[[#This Row],[Vente confiserie]:[Vente boisson]])</f>
        <v>0</v>
      </c>
      <c r="V372" s="95"/>
      <c r="W372" s="95"/>
      <c r="X372" s="136">
        <f>SUM(Tableau1[[#This Row],[Vente lunette]:[Location lunette]])</f>
        <v>0</v>
      </c>
      <c r="Y372" s="95"/>
      <c r="Z372" s="95"/>
      <c r="AA372" s="95"/>
      <c r="AB372" s="95"/>
      <c r="AC372" s="56">
        <f t="shared" si="235"/>
        <v>0</v>
      </c>
      <c r="AD372" s="57"/>
      <c r="AE372" s="57"/>
      <c r="AF372" s="57"/>
      <c r="AG372" s="57"/>
      <c r="AH372" s="57"/>
      <c r="AI372" s="57"/>
      <c r="AJ372" s="118">
        <f>(Tableau1[[#This Row],[Recette guichet ]]*1.1275177)-Tableau1[[#This Row],[Recette guichet ]]</f>
        <v>0</v>
      </c>
      <c r="AK372" s="57"/>
      <c r="AL372" s="56">
        <f t="shared" si="236"/>
        <v>0</v>
      </c>
      <c r="AM372" s="58"/>
      <c r="AN372" s="58"/>
      <c r="AO372" s="58"/>
      <c r="AP372" s="115">
        <f t="shared" si="207"/>
        <v>0</v>
      </c>
      <c r="AQ372" s="69"/>
      <c r="AR372" s="69"/>
      <c r="AS372" s="69"/>
      <c r="AT372" s="69"/>
      <c r="AU372" s="59">
        <f t="shared" si="208"/>
        <v>0</v>
      </c>
      <c r="AV372" s="60">
        <f t="shared" si="209"/>
        <v>0</v>
      </c>
      <c r="AW372" s="58"/>
      <c r="AX372" s="58"/>
      <c r="AY372" s="58"/>
      <c r="AZ372" s="60">
        <f t="shared" si="199"/>
        <v>0</v>
      </c>
      <c r="BA372" s="58"/>
      <c r="BB372" s="58"/>
      <c r="BC372" s="58"/>
      <c r="BD372" s="60">
        <f>SUM(Tableau1[[#This Row],[ticket/carte/abonnement périmé]:[Autres ou non précisé 5]])</f>
        <v>0</v>
      </c>
      <c r="BE372" s="58"/>
      <c r="BF372" s="58"/>
      <c r="BG372" s="58"/>
      <c r="BH372" s="61">
        <f t="shared" si="210"/>
        <v>0</v>
      </c>
      <c r="BI372" s="120"/>
      <c r="BJ372" s="120"/>
      <c r="BK372" s="62">
        <f t="shared" si="211"/>
        <v>0</v>
      </c>
      <c r="BL372" s="120"/>
      <c r="BM372" s="120"/>
      <c r="BN372" s="120"/>
      <c r="BO372" s="120"/>
      <c r="BP372" s="120"/>
      <c r="BQ372" s="63"/>
      <c r="BR372" s="52">
        <f t="shared" si="212"/>
        <v>0</v>
      </c>
      <c r="BS372" s="52">
        <f t="shared" si="213"/>
        <v>0</v>
      </c>
      <c r="BT372" s="61">
        <f t="shared" si="214"/>
        <v>0</v>
      </c>
      <c r="BU372" s="64">
        <f t="shared" si="215"/>
        <v>0</v>
      </c>
      <c r="BV372" s="119">
        <f>SUM(Tableau1[[#This Row],[Achats confiserie]:[Achats boisson]])</f>
        <v>0</v>
      </c>
      <c r="BW372" s="58"/>
      <c r="BX372" s="69"/>
      <c r="BY372" s="58"/>
      <c r="BZ372" s="56">
        <f t="shared" si="216"/>
        <v>0</v>
      </c>
      <c r="CA372" s="66"/>
      <c r="CB372" s="66"/>
      <c r="CC372" s="56">
        <f t="shared" si="217"/>
        <v>0</v>
      </c>
      <c r="CD372" s="55"/>
      <c r="CE372" s="65"/>
      <c r="CF372" s="55"/>
      <c r="CG372" s="55"/>
      <c r="CH372" s="67">
        <f t="shared" si="218"/>
        <v>0</v>
      </c>
      <c r="CI372" s="68">
        <f t="shared" si="234"/>
        <v>0</v>
      </c>
      <c r="CJ372" s="55"/>
      <c r="CK372" s="55"/>
      <c r="CL372" s="55"/>
      <c r="CM372" s="55"/>
      <c r="CN372" s="55"/>
      <c r="CO372" s="68">
        <f t="shared" si="219"/>
        <v>0</v>
      </c>
      <c r="CP372" s="75">
        <f>SUM(Tableau1[[#This Row],[Fourniture eau]:[Energie (non précisé)]])</f>
        <v>0</v>
      </c>
      <c r="CQ372" s="55"/>
      <c r="CR372" s="55"/>
      <c r="CS372" s="55"/>
      <c r="CT372" s="55"/>
      <c r="CU372" s="55"/>
      <c r="CV372" s="55">
        <v>0</v>
      </c>
      <c r="CW372" s="55"/>
      <c r="CX372" s="68">
        <f>SUM(Tableau1[[#This Row],[Sous-traitance]:[Autres ou non précisé 12]])</f>
        <v>0</v>
      </c>
      <c r="CY372" s="65"/>
      <c r="CZ372" s="65"/>
      <c r="DA372" s="65"/>
      <c r="DB372" s="65"/>
      <c r="DC372" s="55"/>
      <c r="DD372" s="68">
        <f t="shared" si="200"/>
        <v>0</v>
      </c>
      <c r="DE372" s="55"/>
      <c r="DF372" s="65"/>
      <c r="DG372" s="65"/>
      <c r="DH372" s="65"/>
      <c r="DI372" s="68">
        <f>SUM(Tableau1[[#This Row],[Entretien et réparation matériel de projection]:[Autres ou non précisé 14]])</f>
        <v>0</v>
      </c>
      <c r="DJ372" s="58"/>
      <c r="DK372" s="58"/>
      <c r="DL372" s="69"/>
      <c r="DM372" s="68">
        <f t="shared" si="220"/>
        <v>0</v>
      </c>
      <c r="DN372" s="58"/>
      <c r="DO372" s="58"/>
      <c r="DP372" s="68">
        <f t="shared" si="221"/>
        <v>0</v>
      </c>
      <c r="DQ372" s="65"/>
      <c r="DR372" s="65"/>
      <c r="DS372" s="68">
        <f t="shared" si="222"/>
        <v>0</v>
      </c>
      <c r="DT372" s="65"/>
      <c r="DU372" s="65"/>
      <c r="DV372" s="65"/>
      <c r="DW372" s="68">
        <f>SUM(Tableau1[[#This Row],[Comission et courtage sur achats]:[Autres ou honoraires
 non précisé ]])</f>
        <v>0</v>
      </c>
      <c r="DX372" s="57"/>
      <c r="DY372" s="57"/>
      <c r="DZ372" s="65"/>
      <c r="EA372" s="65"/>
      <c r="EB372" s="65"/>
      <c r="EC372" s="68">
        <f t="shared" si="223"/>
        <v>0</v>
      </c>
      <c r="ED372" s="69"/>
      <c r="EE372" s="69"/>
      <c r="EF372" s="69"/>
      <c r="EG372" s="69"/>
      <c r="EH372" s="69"/>
      <c r="EI372" s="84">
        <f>SUM(Tableau1[[#This Row],[Transports sur films]:[autres ]])</f>
        <v>0</v>
      </c>
      <c r="EJ372" s="132">
        <v>0</v>
      </c>
      <c r="EK372" s="132"/>
      <c r="EL372" s="68">
        <f t="shared" si="224"/>
        <v>0</v>
      </c>
      <c r="EM372" s="65"/>
      <c r="EN372" s="65">
        <v>0</v>
      </c>
      <c r="EO372" s="65"/>
      <c r="EP372" s="65"/>
      <c r="EQ372" s="65"/>
      <c r="ER372" s="65"/>
      <c r="ES372" s="65"/>
      <c r="ET372" s="68">
        <f t="shared" si="225"/>
        <v>0</v>
      </c>
      <c r="EU372" s="65"/>
      <c r="EV372" s="65"/>
      <c r="EW372" s="65"/>
      <c r="EX372" s="65"/>
      <c r="EY372" s="65"/>
      <c r="EZ372" s="68">
        <f t="shared" si="202"/>
        <v>0</v>
      </c>
      <c r="FA372" s="65"/>
      <c r="FB372" s="65"/>
      <c r="FC372" s="70">
        <f t="shared" si="201"/>
        <v>0</v>
      </c>
      <c r="FD372" s="65"/>
      <c r="FE372" s="71">
        <f t="shared" si="226"/>
        <v>0</v>
      </c>
      <c r="FF372" s="72">
        <f t="shared" si="227"/>
        <v>0</v>
      </c>
      <c r="FG372" s="65"/>
      <c r="FH372" s="65"/>
      <c r="FI372" s="65"/>
      <c r="FJ372" s="56">
        <f t="shared" si="228"/>
        <v>0</v>
      </c>
      <c r="FK372" s="65"/>
      <c r="FL372" s="65"/>
      <c r="FM372" s="65"/>
      <c r="FN372" s="65"/>
      <c r="FO372" s="67">
        <f t="shared" si="229"/>
        <v>0</v>
      </c>
      <c r="FP372" s="57"/>
      <c r="FQ372" s="73"/>
      <c r="FR372" s="73"/>
      <c r="FS372" s="71">
        <f t="shared" si="230"/>
        <v>0</v>
      </c>
      <c r="FT372" s="91"/>
      <c r="FU372" s="91"/>
      <c r="FV372" s="67">
        <f>SUM(Tableau1[[#This Row],[Droits d''auteurs SACEM + cotisations SACEM]:[Autres ou non préciés]])</f>
        <v>0</v>
      </c>
      <c r="FW372" s="75">
        <f t="shared" si="231"/>
        <v>0</v>
      </c>
      <c r="FX372" s="74">
        <v>0</v>
      </c>
      <c r="FY372" s="74"/>
      <c r="FZ372" s="74"/>
      <c r="GA372" s="74"/>
      <c r="GB372" s="71">
        <f t="shared" si="232"/>
        <v>0</v>
      </c>
      <c r="GC372" s="92"/>
      <c r="GD372" s="92"/>
      <c r="GE372" s="67">
        <f t="shared" si="233"/>
        <v>0</v>
      </c>
      <c r="GF372" s="66"/>
      <c r="GG372" s="66"/>
      <c r="GH372" s="66"/>
      <c r="GI372" s="66"/>
      <c r="GJ372" s="77"/>
    </row>
    <row r="373" spans="1:192" ht="18.600000000000001" customHeight="1" x14ac:dyDescent="0.25">
      <c r="A373" s="89"/>
      <c r="B373" s="17"/>
      <c r="C373" s="50"/>
      <c r="D373" s="140"/>
      <c r="E373" s="51"/>
      <c r="F373" s="139">
        <f t="shared" si="237"/>
        <v>1</v>
      </c>
      <c r="G373" s="49"/>
      <c r="H373" s="50"/>
      <c r="I373" s="122"/>
      <c r="J373" s="49"/>
      <c r="K373" s="50"/>
      <c r="L373" s="50"/>
      <c r="M373" s="90"/>
      <c r="N373" s="50"/>
      <c r="O373" s="50"/>
      <c r="P373" s="90"/>
      <c r="Q373" s="52">
        <f t="shared" si="203"/>
        <v>0</v>
      </c>
      <c r="R373" s="52">
        <f t="shared" si="204"/>
        <v>0</v>
      </c>
      <c r="S373" s="53">
        <f t="shared" si="205"/>
        <v>0</v>
      </c>
      <c r="T373" s="54">
        <f t="shared" si="206"/>
        <v>0</v>
      </c>
      <c r="U373" s="115">
        <f>SUM(Tableau1[[#This Row],[Vente confiserie]:[Vente boisson]])</f>
        <v>0</v>
      </c>
      <c r="V373" s="95"/>
      <c r="W373" s="95"/>
      <c r="X373" s="136">
        <f>SUM(Tableau1[[#This Row],[Vente lunette]:[Location lunette]])</f>
        <v>0</v>
      </c>
      <c r="Y373" s="95"/>
      <c r="Z373" s="95"/>
      <c r="AA373" s="95"/>
      <c r="AB373" s="95"/>
      <c r="AC373" s="56">
        <f t="shared" si="235"/>
        <v>0</v>
      </c>
      <c r="AD373" s="57"/>
      <c r="AE373" s="57"/>
      <c r="AF373" s="57"/>
      <c r="AG373" s="57"/>
      <c r="AH373" s="57"/>
      <c r="AI373" s="57"/>
      <c r="AJ373" s="118">
        <f>(Tableau1[[#This Row],[Recette guichet ]]*1.1275177)-Tableau1[[#This Row],[Recette guichet ]]</f>
        <v>0</v>
      </c>
      <c r="AK373" s="57"/>
      <c r="AL373" s="56">
        <f t="shared" si="236"/>
        <v>0</v>
      </c>
      <c r="AM373" s="58"/>
      <c r="AN373" s="58"/>
      <c r="AO373" s="58"/>
      <c r="AP373" s="115">
        <f t="shared" si="207"/>
        <v>0</v>
      </c>
      <c r="AQ373" s="69"/>
      <c r="AR373" s="69"/>
      <c r="AS373" s="69"/>
      <c r="AT373" s="69"/>
      <c r="AU373" s="59">
        <f t="shared" si="208"/>
        <v>0</v>
      </c>
      <c r="AV373" s="60">
        <f t="shared" si="209"/>
        <v>0</v>
      </c>
      <c r="AW373" s="58"/>
      <c r="AX373" s="58"/>
      <c r="AY373" s="58"/>
      <c r="AZ373" s="60">
        <f t="shared" si="199"/>
        <v>0</v>
      </c>
      <c r="BA373" s="58"/>
      <c r="BB373" s="58"/>
      <c r="BC373" s="58"/>
      <c r="BD373" s="60">
        <f>SUM(Tableau1[[#This Row],[ticket/carte/abonnement périmé]:[Autres ou non précisé 5]])</f>
        <v>0</v>
      </c>
      <c r="BE373" s="58"/>
      <c r="BF373" s="58"/>
      <c r="BG373" s="58"/>
      <c r="BH373" s="61">
        <f t="shared" si="210"/>
        <v>0</v>
      </c>
      <c r="BI373" s="120"/>
      <c r="BJ373" s="120"/>
      <c r="BK373" s="62">
        <f t="shared" si="211"/>
        <v>0</v>
      </c>
      <c r="BL373" s="120"/>
      <c r="BM373" s="120"/>
      <c r="BN373" s="120"/>
      <c r="BO373" s="120"/>
      <c r="BP373" s="120"/>
      <c r="BQ373" s="63"/>
      <c r="BR373" s="52">
        <f t="shared" si="212"/>
        <v>0</v>
      </c>
      <c r="BS373" s="52">
        <f t="shared" si="213"/>
        <v>0</v>
      </c>
      <c r="BT373" s="61">
        <f t="shared" si="214"/>
        <v>0</v>
      </c>
      <c r="BU373" s="64">
        <f t="shared" si="215"/>
        <v>0</v>
      </c>
      <c r="BV373" s="119">
        <f>SUM(Tableau1[[#This Row],[Achats confiserie]:[Achats boisson]])</f>
        <v>0</v>
      </c>
      <c r="BW373" s="58"/>
      <c r="BX373" s="69"/>
      <c r="BY373" s="58"/>
      <c r="BZ373" s="56">
        <f t="shared" si="216"/>
        <v>0</v>
      </c>
      <c r="CA373" s="66"/>
      <c r="CB373" s="66"/>
      <c r="CC373" s="56">
        <f t="shared" si="217"/>
        <v>0</v>
      </c>
      <c r="CD373" s="55"/>
      <c r="CE373" s="65"/>
      <c r="CF373" s="55"/>
      <c r="CG373" s="55"/>
      <c r="CH373" s="67">
        <f t="shared" si="218"/>
        <v>0</v>
      </c>
      <c r="CI373" s="68">
        <f t="shared" si="234"/>
        <v>0</v>
      </c>
      <c r="CJ373" s="55"/>
      <c r="CK373" s="55"/>
      <c r="CL373" s="55"/>
      <c r="CM373" s="55"/>
      <c r="CN373" s="55"/>
      <c r="CO373" s="68">
        <f t="shared" si="219"/>
        <v>0</v>
      </c>
      <c r="CP373" s="75">
        <f>SUM(Tableau1[[#This Row],[Fourniture eau]:[Energie (non précisé)]])</f>
        <v>0</v>
      </c>
      <c r="CQ373" s="55"/>
      <c r="CR373" s="55"/>
      <c r="CS373" s="55"/>
      <c r="CT373" s="55"/>
      <c r="CU373" s="55"/>
      <c r="CV373" s="55">
        <v>0</v>
      </c>
      <c r="CW373" s="55"/>
      <c r="CX373" s="68">
        <f>SUM(Tableau1[[#This Row],[Sous-traitance]:[Autres ou non précisé 12]])</f>
        <v>0</v>
      </c>
      <c r="CY373" s="65"/>
      <c r="CZ373" s="65"/>
      <c r="DA373" s="65"/>
      <c r="DB373" s="65"/>
      <c r="DC373" s="55"/>
      <c r="DD373" s="68">
        <f t="shared" si="200"/>
        <v>0</v>
      </c>
      <c r="DE373" s="55"/>
      <c r="DF373" s="65"/>
      <c r="DG373" s="65"/>
      <c r="DH373" s="65"/>
      <c r="DI373" s="68">
        <f>SUM(Tableau1[[#This Row],[Entretien et réparation matériel de projection]:[Autres ou non précisé 14]])</f>
        <v>0</v>
      </c>
      <c r="DJ373" s="58"/>
      <c r="DK373" s="58"/>
      <c r="DL373" s="69"/>
      <c r="DM373" s="68">
        <f t="shared" si="220"/>
        <v>0</v>
      </c>
      <c r="DN373" s="58"/>
      <c r="DO373" s="58"/>
      <c r="DP373" s="68">
        <f t="shared" si="221"/>
        <v>0</v>
      </c>
      <c r="DQ373" s="65"/>
      <c r="DR373" s="65"/>
      <c r="DS373" s="68">
        <f t="shared" si="222"/>
        <v>0</v>
      </c>
      <c r="DT373" s="65"/>
      <c r="DU373" s="65"/>
      <c r="DV373" s="65"/>
      <c r="DW373" s="68">
        <f>SUM(Tableau1[[#This Row],[Comission et courtage sur achats]:[Autres ou honoraires
 non précisé ]])</f>
        <v>0</v>
      </c>
      <c r="DX373" s="57"/>
      <c r="DY373" s="57"/>
      <c r="DZ373" s="65"/>
      <c r="EA373" s="65"/>
      <c r="EB373" s="65"/>
      <c r="EC373" s="68">
        <f t="shared" si="223"/>
        <v>0</v>
      </c>
      <c r="ED373" s="69"/>
      <c r="EE373" s="69"/>
      <c r="EF373" s="69"/>
      <c r="EG373" s="69"/>
      <c r="EH373" s="69"/>
      <c r="EI373" s="84">
        <f>SUM(Tableau1[[#This Row],[Transports sur films]:[autres ]])</f>
        <v>0</v>
      </c>
      <c r="EJ373" s="132">
        <v>0</v>
      </c>
      <c r="EK373" s="132"/>
      <c r="EL373" s="68">
        <f t="shared" si="224"/>
        <v>0</v>
      </c>
      <c r="EM373" s="65"/>
      <c r="EN373" s="65">
        <v>0</v>
      </c>
      <c r="EO373" s="65"/>
      <c r="EP373" s="65"/>
      <c r="EQ373" s="65"/>
      <c r="ER373" s="65"/>
      <c r="ES373" s="65"/>
      <c r="ET373" s="68">
        <f t="shared" si="225"/>
        <v>0</v>
      </c>
      <c r="EU373" s="65"/>
      <c r="EV373" s="65"/>
      <c r="EW373" s="65"/>
      <c r="EX373" s="65"/>
      <c r="EY373" s="65"/>
      <c r="EZ373" s="68">
        <f t="shared" si="202"/>
        <v>0</v>
      </c>
      <c r="FA373" s="65"/>
      <c r="FB373" s="65"/>
      <c r="FC373" s="70">
        <f t="shared" si="201"/>
        <v>0</v>
      </c>
      <c r="FD373" s="65"/>
      <c r="FE373" s="71">
        <f t="shared" si="226"/>
        <v>0</v>
      </c>
      <c r="FF373" s="72">
        <f t="shared" si="227"/>
        <v>0</v>
      </c>
      <c r="FG373" s="65"/>
      <c r="FH373" s="65"/>
      <c r="FI373" s="65"/>
      <c r="FJ373" s="56">
        <f t="shared" si="228"/>
        <v>0</v>
      </c>
      <c r="FK373" s="65"/>
      <c r="FL373" s="65"/>
      <c r="FM373" s="65"/>
      <c r="FN373" s="65"/>
      <c r="FO373" s="67">
        <f t="shared" si="229"/>
        <v>0</v>
      </c>
      <c r="FP373" s="57"/>
      <c r="FQ373" s="73"/>
      <c r="FR373" s="73"/>
      <c r="FS373" s="71">
        <f t="shared" si="230"/>
        <v>0</v>
      </c>
      <c r="FT373" s="91"/>
      <c r="FU373" s="91"/>
      <c r="FV373" s="67">
        <f>SUM(Tableau1[[#This Row],[Droits d''auteurs SACEM + cotisations SACEM]:[Autres ou non préciés]])</f>
        <v>0</v>
      </c>
      <c r="FW373" s="75">
        <f t="shared" si="231"/>
        <v>0</v>
      </c>
      <c r="FX373" s="74">
        <v>0</v>
      </c>
      <c r="FY373" s="74"/>
      <c r="FZ373" s="74"/>
      <c r="GA373" s="74"/>
      <c r="GB373" s="71">
        <f t="shared" si="232"/>
        <v>0</v>
      </c>
      <c r="GC373" s="92"/>
      <c r="GD373" s="92"/>
      <c r="GE373" s="67">
        <f t="shared" si="233"/>
        <v>0</v>
      </c>
      <c r="GF373" s="66"/>
      <c r="GG373" s="66"/>
      <c r="GH373" s="66"/>
      <c r="GI373" s="66"/>
      <c r="GJ373" s="77"/>
    </row>
    <row r="374" spans="1:192" ht="18.600000000000001" customHeight="1" x14ac:dyDescent="0.25">
      <c r="A374" s="89"/>
      <c r="B374" s="17"/>
      <c r="C374" s="50"/>
      <c r="D374" s="140"/>
      <c r="E374" s="51"/>
      <c r="F374" s="139">
        <f t="shared" si="237"/>
        <v>1</v>
      </c>
      <c r="G374" s="49"/>
      <c r="H374" s="50"/>
      <c r="I374" s="122"/>
      <c r="J374" s="49"/>
      <c r="K374" s="50"/>
      <c r="L374" s="50"/>
      <c r="M374" s="90"/>
      <c r="N374" s="50"/>
      <c r="O374" s="50"/>
      <c r="P374" s="90"/>
      <c r="Q374" s="52">
        <f t="shared" si="203"/>
        <v>0</v>
      </c>
      <c r="R374" s="52">
        <f t="shared" si="204"/>
        <v>0</v>
      </c>
      <c r="S374" s="53">
        <f t="shared" si="205"/>
        <v>0</v>
      </c>
      <c r="T374" s="54">
        <f t="shared" si="206"/>
        <v>0</v>
      </c>
      <c r="U374" s="115">
        <f>SUM(Tableau1[[#This Row],[Vente confiserie]:[Vente boisson]])</f>
        <v>0</v>
      </c>
      <c r="V374" s="95"/>
      <c r="W374" s="95"/>
      <c r="X374" s="136">
        <f>SUM(Tableau1[[#This Row],[Vente lunette]:[Location lunette]])</f>
        <v>0</v>
      </c>
      <c r="Y374" s="95"/>
      <c r="Z374" s="95"/>
      <c r="AA374" s="95"/>
      <c r="AB374" s="95"/>
      <c r="AC374" s="56">
        <f t="shared" si="235"/>
        <v>0</v>
      </c>
      <c r="AD374" s="57"/>
      <c r="AE374" s="57"/>
      <c r="AF374" s="57"/>
      <c r="AG374" s="57"/>
      <c r="AH374" s="57"/>
      <c r="AI374" s="57"/>
      <c r="AJ374" s="118">
        <f>(Tableau1[[#This Row],[Recette guichet ]]*1.1275177)-Tableau1[[#This Row],[Recette guichet ]]</f>
        <v>0</v>
      </c>
      <c r="AK374" s="57"/>
      <c r="AL374" s="56">
        <f t="shared" si="236"/>
        <v>0</v>
      </c>
      <c r="AM374" s="58"/>
      <c r="AN374" s="58"/>
      <c r="AO374" s="58"/>
      <c r="AP374" s="115">
        <f t="shared" si="207"/>
        <v>0</v>
      </c>
      <c r="AQ374" s="69"/>
      <c r="AR374" s="69"/>
      <c r="AS374" s="69"/>
      <c r="AT374" s="69"/>
      <c r="AU374" s="59">
        <f t="shared" si="208"/>
        <v>0</v>
      </c>
      <c r="AV374" s="60">
        <f t="shared" si="209"/>
        <v>0</v>
      </c>
      <c r="AW374" s="58"/>
      <c r="AX374" s="58"/>
      <c r="AY374" s="58"/>
      <c r="AZ374" s="60">
        <f t="shared" si="199"/>
        <v>0</v>
      </c>
      <c r="BA374" s="58"/>
      <c r="BB374" s="58"/>
      <c r="BC374" s="58"/>
      <c r="BD374" s="60">
        <f>SUM(Tableau1[[#This Row],[ticket/carte/abonnement périmé]:[Autres ou non précisé 5]])</f>
        <v>0</v>
      </c>
      <c r="BE374" s="58"/>
      <c r="BF374" s="58"/>
      <c r="BG374" s="58"/>
      <c r="BH374" s="61">
        <f t="shared" si="210"/>
        <v>0</v>
      </c>
      <c r="BI374" s="120"/>
      <c r="BJ374" s="120"/>
      <c r="BK374" s="62">
        <f t="shared" si="211"/>
        <v>0</v>
      </c>
      <c r="BL374" s="120"/>
      <c r="BM374" s="120"/>
      <c r="BN374" s="120"/>
      <c r="BO374" s="120"/>
      <c r="BP374" s="120"/>
      <c r="BQ374" s="63"/>
      <c r="BR374" s="52">
        <f t="shared" si="212"/>
        <v>0</v>
      </c>
      <c r="BS374" s="52">
        <f t="shared" si="213"/>
        <v>0</v>
      </c>
      <c r="BT374" s="61">
        <f t="shared" si="214"/>
        <v>0</v>
      </c>
      <c r="BU374" s="64">
        <f t="shared" si="215"/>
        <v>0</v>
      </c>
      <c r="BV374" s="119">
        <f>SUM(Tableau1[[#This Row],[Achats confiserie]:[Achats boisson]])</f>
        <v>0</v>
      </c>
      <c r="BW374" s="58"/>
      <c r="BX374" s="69"/>
      <c r="BY374" s="58"/>
      <c r="BZ374" s="56">
        <f t="shared" si="216"/>
        <v>0</v>
      </c>
      <c r="CA374" s="66"/>
      <c r="CB374" s="66"/>
      <c r="CC374" s="56">
        <f t="shared" si="217"/>
        <v>0</v>
      </c>
      <c r="CD374" s="55"/>
      <c r="CE374" s="65"/>
      <c r="CF374" s="55"/>
      <c r="CG374" s="55"/>
      <c r="CH374" s="67">
        <f t="shared" si="218"/>
        <v>0</v>
      </c>
      <c r="CI374" s="68">
        <f t="shared" si="234"/>
        <v>0</v>
      </c>
      <c r="CJ374" s="55"/>
      <c r="CK374" s="55"/>
      <c r="CL374" s="55"/>
      <c r="CM374" s="55"/>
      <c r="CN374" s="55"/>
      <c r="CO374" s="68">
        <f t="shared" si="219"/>
        <v>0</v>
      </c>
      <c r="CP374" s="75">
        <f>SUM(Tableau1[[#This Row],[Fourniture eau]:[Energie (non précisé)]])</f>
        <v>0</v>
      </c>
      <c r="CQ374" s="55"/>
      <c r="CR374" s="55"/>
      <c r="CS374" s="55"/>
      <c r="CT374" s="55"/>
      <c r="CU374" s="55"/>
      <c r="CV374" s="55">
        <v>0</v>
      </c>
      <c r="CW374" s="55"/>
      <c r="CX374" s="68">
        <f>SUM(Tableau1[[#This Row],[Sous-traitance]:[Autres ou non précisé 12]])</f>
        <v>0</v>
      </c>
      <c r="CY374" s="65"/>
      <c r="CZ374" s="65"/>
      <c r="DA374" s="65"/>
      <c r="DB374" s="65"/>
      <c r="DC374" s="55"/>
      <c r="DD374" s="68">
        <f t="shared" si="200"/>
        <v>0</v>
      </c>
      <c r="DE374" s="55"/>
      <c r="DF374" s="65"/>
      <c r="DG374" s="65"/>
      <c r="DH374" s="65"/>
      <c r="DI374" s="68">
        <f>SUM(Tableau1[[#This Row],[Entretien et réparation matériel de projection]:[Autres ou non précisé 14]])</f>
        <v>0</v>
      </c>
      <c r="DJ374" s="58"/>
      <c r="DK374" s="58"/>
      <c r="DL374" s="69"/>
      <c r="DM374" s="68">
        <f t="shared" si="220"/>
        <v>0</v>
      </c>
      <c r="DN374" s="58"/>
      <c r="DO374" s="58"/>
      <c r="DP374" s="68">
        <f t="shared" si="221"/>
        <v>0</v>
      </c>
      <c r="DQ374" s="65"/>
      <c r="DR374" s="65"/>
      <c r="DS374" s="68">
        <f t="shared" si="222"/>
        <v>0</v>
      </c>
      <c r="DT374" s="65"/>
      <c r="DU374" s="65"/>
      <c r="DV374" s="65"/>
      <c r="DW374" s="68">
        <f>SUM(Tableau1[[#This Row],[Comission et courtage sur achats]:[Autres ou honoraires
 non précisé ]])</f>
        <v>0</v>
      </c>
      <c r="DX374" s="57"/>
      <c r="DY374" s="57"/>
      <c r="DZ374" s="65"/>
      <c r="EA374" s="65"/>
      <c r="EB374" s="65"/>
      <c r="EC374" s="68">
        <f t="shared" si="223"/>
        <v>0</v>
      </c>
      <c r="ED374" s="69"/>
      <c r="EE374" s="69"/>
      <c r="EF374" s="69"/>
      <c r="EG374" s="69"/>
      <c r="EH374" s="69"/>
      <c r="EI374" s="84">
        <f>SUM(Tableau1[[#This Row],[Transports sur films]:[autres ]])</f>
        <v>0</v>
      </c>
      <c r="EJ374" s="132">
        <v>0</v>
      </c>
      <c r="EK374" s="132"/>
      <c r="EL374" s="68">
        <f t="shared" si="224"/>
        <v>0</v>
      </c>
      <c r="EM374" s="65"/>
      <c r="EN374" s="65">
        <v>0</v>
      </c>
      <c r="EO374" s="65"/>
      <c r="EP374" s="65"/>
      <c r="EQ374" s="65"/>
      <c r="ER374" s="65"/>
      <c r="ES374" s="65"/>
      <c r="ET374" s="68">
        <f t="shared" si="225"/>
        <v>0</v>
      </c>
      <c r="EU374" s="65"/>
      <c r="EV374" s="65"/>
      <c r="EW374" s="65"/>
      <c r="EX374" s="65"/>
      <c r="EY374" s="65"/>
      <c r="EZ374" s="68">
        <f t="shared" si="202"/>
        <v>0</v>
      </c>
      <c r="FA374" s="65"/>
      <c r="FB374" s="65"/>
      <c r="FC374" s="70">
        <f t="shared" si="201"/>
        <v>0</v>
      </c>
      <c r="FD374" s="65"/>
      <c r="FE374" s="71">
        <f t="shared" si="226"/>
        <v>0</v>
      </c>
      <c r="FF374" s="72">
        <f t="shared" si="227"/>
        <v>0</v>
      </c>
      <c r="FG374" s="65"/>
      <c r="FH374" s="65"/>
      <c r="FI374" s="65"/>
      <c r="FJ374" s="56">
        <f t="shared" si="228"/>
        <v>0</v>
      </c>
      <c r="FK374" s="65"/>
      <c r="FL374" s="65"/>
      <c r="FM374" s="65"/>
      <c r="FN374" s="65"/>
      <c r="FO374" s="67">
        <f t="shared" si="229"/>
        <v>0</v>
      </c>
      <c r="FP374" s="57"/>
      <c r="FQ374" s="73"/>
      <c r="FR374" s="73"/>
      <c r="FS374" s="71">
        <f t="shared" si="230"/>
        <v>0</v>
      </c>
      <c r="FT374" s="91"/>
      <c r="FU374" s="91"/>
      <c r="FV374" s="67">
        <f>SUM(Tableau1[[#This Row],[Droits d''auteurs SACEM + cotisations SACEM]:[Autres ou non préciés]])</f>
        <v>0</v>
      </c>
      <c r="FW374" s="75">
        <f t="shared" si="231"/>
        <v>0</v>
      </c>
      <c r="FX374" s="74">
        <v>0</v>
      </c>
      <c r="FY374" s="74"/>
      <c r="FZ374" s="74"/>
      <c r="GA374" s="74"/>
      <c r="GB374" s="71">
        <f t="shared" si="232"/>
        <v>0</v>
      </c>
      <c r="GC374" s="92"/>
      <c r="GD374" s="92"/>
      <c r="GE374" s="67">
        <f t="shared" si="233"/>
        <v>0</v>
      </c>
      <c r="GF374" s="66"/>
      <c r="GG374" s="66"/>
      <c r="GH374" s="66"/>
      <c r="GI374" s="66"/>
      <c r="GJ374" s="77"/>
    </row>
    <row r="375" spans="1:192" ht="18.600000000000001" customHeight="1" x14ac:dyDescent="0.25">
      <c r="A375" s="89"/>
      <c r="B375" s="17"/>
      <c r="C375" s="50"/>
      <c r="D375" s="140"/>
      <c r="E375" s="51"/>
      <c r="F375" s="139">
        <f t="shared" si="237"/>
        <v>1</v>
      </c>
      <c r="G375" s="49"/>
      <c r="H375" s="50"/>
      <c r="I375" s="122"/>
      <c r="J375" s="49"/>
      <c r="K375" s="50"/>
      <c r="L375" s="50"/>
      <c r="M375" s="90"/>
      <c r="N375" s="50"/>
      <c r="O375" s="50"/>
      <c r="P375" s="90"/>
      <c r="Q375" s="52">
        <f t="shared" si="203"/>
        <v>0</v>
      </c>
      <c r="R375" s="52">
        <f t="shared" si="204"/>
        <v>0</v>
      </c>
      <c r="S375" s="53">
        <f t="shared" si="205"/>
        <v>0</v>
      </c>
      <c r="T375" s="54">
        <f t="shared" si="206"/>
        <v>0</v>
      </c>
      <c r="U375" s="115">
        <f>SUM(Tableau1[[#This Row],[Vente confiserie]:[Vente boisson]])</f>
        <v>0</v>
      </c>
      <c r="V375" s="95"/>
      <c r="W375" s="95"/>
      <c r="X375" s="136">
        <f>SUM(Tableau1[[#This Row],[Vente lunette]:[Location lunette]])</f>
        <v>0</v>
      </c>
      <c r="Y375" s="95"/>
      <c r="Z375" s="95"/>
      <c r="AA375" s="95"/>
      <c r="AB375" s="95"/>
      <c r="AC375" s="56">
        <f t="shared" si="235"/>
        <v>0</v>
      </c>
      <c r="AD375" s="57"/>
      <c r="AE375" s="57"/>
      <c r="AF375" s="57"/>
      <c r="AG375" s="57"/>
      <c r="AH375" s="57"/>
      <c r="AI375" s="57"/>
      <c r="AJ375" s="118">
        <f>(Tableau1[[#This Row],[Recette guichet ]]*1.1275177)-Tableau1[[#This Row],[Recette guichet ]]</f>
        <v>0</v>
      </c>
      <c r="AK375" s="57"/>
      <c r="AL375" s="56">
        <f t="shared" si="236"/>
        <v>0</v>
      </c>
      <c r="AM375" s="58"/>
      <c r="AN375" s="58"/>
      <c r="AO375" s="58"/>
      <c r="AP375" s="115">
        <f t="shared" si="207"/>
        <v>0</v>
      </c>
      <c r="AQ375" s="69"/>
      <c r="AR375" s="69"/>
      <c r="AS375" s="69"/>
      <c r="AT375" s="69"/>
      <c r="AU375" s="59">
        <f t="shared" si="208"/>
        <v>0</v>
      </c>
      <c r="AV375" s="60">
        <f t="shared" si="209"/>
        <v>0</v>
      </c>
      <c r="AW375" s="58"/>
      <c r="AX375" s="58"/>
      <c r="AY375" s="58"/>
      <c r="AZ375" s="60">
        <f t="shared" si="199"/>
        <v>0</v>
      </c>
      <c r="BA375" s="58"/>
      <c r="BB375" s="58"/>
      <c r="BC375" s="58"/>
      <c r="BD375" s="60">
        <f>SUM(Tableau1[[#This Row],[ticket/carte/abonnement périmé]:[Autres ou non précisé 5]])</f>
        <v>0</v>
      </c>
      <c r="BE375" s="58"/>
      <c r="BF375" s="58"/>
      <c r="BG375" s="58"/>
      <c r="BH375" s="61">
        <f t="shared" si="210"/>
        <v>0</v>
      </c>
      <c r="BI375" s="120"/>
      <c r="BJ375" s="120"/>
      <c r="BK375" s="62">
        <f t="shared" si="211"/>
        <v>0</v>
      </c>
      <c r="BL375" s="120"/>
      <c r="BM375" s="120"/>
      <c r="BN375" s="120"/>
      <c r="BO375" s="120"/>
      <c r="BP375" s="120"/>
      <c r="BQ375" s="63"/>
      <c r="BR375" s="52">
        <f t="shared" si="212"/>
        <v>0</v>
      </c>
      <c r="BS375" s="52">
        <f t="shared" si="213"/>
        <v>0</v>
      </c>
      <c r="BT375" s="61">
        <f t="shared" si="214"/>
        <v>0</v>
      </c>
      <c r="BU375" s="64">
        <f t="shared" si="215"/>
        <v>0</v>
      </c>
      <c r="BV375" s="119">
        <f>SUM(Tableau1[[#This Row],[Achats confiserie]:[Achats boisson]])</f>
        <v>0</v>
      </c>
      <c r="BW375" s="58"/>
      <c r="BX375" s="69"/>
      <c r="BY375" s="58"/>
      <c r="BZ375" s="56">
        <f t="shared" si="216"/>
        <v>0</v>
      </c>
      <c r="CA375" s="66"/>
      <c r="CB375" s="66"/>
      <c r="CC375" s="56">
        <f t="shared" si="217"/>
        <v>0</v>
      </c>
      <c r="CD375" s="55"/>
      <c r="CE375" s="65"/>
      <c r="CF375" s="55"/>
      <c r="CG375" s="55"/>
      <c r="CH375" s="67">
        <f t="shared" si="218"/>
        <v>0</v>
      </c>
      <c r="CI375" s="68">
        <f t="shared" si="234"/>
        <v>0</v>
      </c>
      <c r="CJ375" s="55"/>
      <c r="CK375" s="55"/>
      <c r="CL375" s="55"/>
      <c r="CM375" s="55"/>
      <c r="CN375" s="55"/>
      <c r="CO375" s="68">
        <f t="shared" si="219"/>
        <v>0</v>
      </c>
      <c r="CP375" s="75">
        <f>SUM(Tableau1[[#This Row],[Fourniture eau]:[Energie (non précisé)]])</f>
        <v>0</v>
      </c>
      <c r="CQ375" s="55"/>
      <c r="CR375" s="55"/>
      <c r="CS375" s="55"/>
      <c r="CT375" s="55"/>
      <c r="CU375" s="55"/>
      <c r="CV375" s="55">
        <v>0</v>
      </c>
      <c r="CW375" s="55"/>
      <c r="CX375" s="68">
        <f>SUM(Tableau1[[#This Row],[Sous-traitance]:[Autres ou non précisé 12]])</f>
        <v>0</v>
      </c>
      <c r="CY375" s="65"/>
      <c r="CZ375" s="65"/>
      <c r="DA375" s="65"/>
      <c r="DB375" s="65"/>
      <c r="DC375" s="55"/>
      <c r="DD375" s="68">
        <f t="shared" si="200"/>
        <v>0</v>
      </c>
      <c r="DE375" s="55"/>
      <c r="DF375" s="65"/>
      <c r="DG375" s="65"/>
      <c r="DH375" s="65"/>
      <c r="DI375" s="68">
        <f>SUM(Tableau1[[#This Row],[Entretien et réparation matériel de projection]:[Autres ou non précisé 14]])</f>
        <v>0</v>
      </c>
      <c r="DJ375" s="58"/>
      <c r="DK375" s="58"/>
      <c r="DL375" s="69"/>
      <c r="DM375" s="68">
        <f t="shared" si="220"/>
        <v>0</v>
      </c>
      <c r="DN375" s="58"/>
      <c r="DO375" s="58"/>
      <c r="DP375" s="68">
        <f t="shared" si="221"/>
        <v>0</v>
      </c>
      <c r="DQ375" s="65"/>
      <c r="DR375" s="65"/>
      <c r="DS375" s="68">
        <f t="shared" si="222"/>
        <v>0</v>
      </c>
      <c r="DT375" s="65"/>
      <c r="DU375" s="65"/>
      <c r="DV375" s="65"/>
      <c r="DW375" s="68">
        <f>SUM(Tableau1[[#This Row],[Comission et courtage sur achats]:[Autres ou honoraires
 non précisé ]])</f>
        <v>0</v>
      </c>
      <c r="DX375" s="57"/>
      <c r="DY375" s="57"/>
      <c r="DZ375" s="65"/>
      <c r="EA375" s="65"/>
      <c r="EB375" s="65"/>
      <c r="EC375" s="68">
        <f t="shared" si="223"/>
        <v>0</v>
      </c>
      <c r="ED375" s="69"/>
      <c r="EE375" s="69"/>
      <c r="EF375" s="69"/>
      <c r="EG375" s="69"/>
      <c r="EH375" s="69"/>
      <c r="EI375" s="84">
        <f>SUM(Tableau1[[#This Row],[Transports sur films]:[autres ]])</f>
        <v>0</v>
      </c>
      <c r="EJ375" s="132">
        <v>0</v>
      </c>
      <c r="EK375" s="132"/>
      <c r="EL375" s="68">
        <f t="shared" si="224"/>
        <v>0</v>
      </c>
      <c r="EM375" s="65"/>
      <c r="EN375" s="65">
        <v>0</v>
      </c>
      <c r="EO375" s="65"/>
      <c r="EP375" s="65"/>
      <c r="EQ375" s="65"/>
      <c r="ER375" s="65"/>
      <c r="ES375" s="65"/>
      <c r="ET375" s="68">
        <f t="shared" si="225"/>
        <v>0</v>
      </c>
      <c r="EU375" s="65"/>
      <c r="EV375" s="65"/>
      <c r="EW375" s="65"/>
      <c r="EX375" s="65"/>
      <c r="EY375" s="65"/>
      <c r="EZ375" s="68">
        <f t="shared" si="202"/>
        <v>0</v>
      </c>
      <c r="FA375" s="65"/>
      <c r="FB375" s="65"/>
      <c r="FC375" s="70">
        <f t="shared" si="201"/>
        <v>0</v>
      </c>
      <c r="FD375" s="65"/>
      <c r="FE375" s="71">
        <f t="shared" si="226"/>
        <v>0</v>
      </c>
      <c r="FF375" s="72">
        <f t="shared" si="227"/>
        <v>0</v>
      </c>
      <c r="FG375" s="65"/>
      <c r="FH375" s="65"/>
      <c r="FI375" s="65"/>
      <c r="FJ375" s="56">
        <f t="shared" si="228"/>
        <v>0</v>
      </c>
      <c r="FK375" s="65"/>
      <c r="FL375" s="65"/>
      <c r="FM375" s="65"/>
      <c r="FN375" s="65"/>
      <c r="FO375" s="67">
        <f t="shared" si="229"/>
        <v>0</v>
      </c>
      <c r="FP375" s="57"/>
      <c r="FQ375" s="73"/>
      <c r="FR375" s="73"/>
      <c r="FS375" s="71">
        <f t="shared" si="230"/>
        <v>0</v>
      </c>
      <c r="FT375" s="91"/>
      <c r="FU375" s="91"/>
      <c r="FV375" s="67">
        <f>SUM(Tableau1[[#This Row],[Droits d''auteurs SACEM + cotisations SACEM]:[Autres ou non préciés]])</f>
        <v>0</v>
      </c>
      <c r="FW375" s="75">
        <f t="shared" si="231"/>
        <v>0</v>
      </c>
      <c r="FX375" s="74">
        <v>0</v>
      </c>
      <c r="FY375" s="74"/>
      <c r="FZ375" s="74"/>
      <c r="GA375" s="74"/>
      <c r="GB375" s="71">
        <f t="shared" si="232"/>
        <v>0</v>
      </c>
      <c r="GC375" s="92"/>
      <c r="GD375" s="92"/>
      <c r="GE375" s="67">
        <f t="shared" si="233"/>
        <v>0</v>
      </c>
      <c r="GF375" s="66"/>
      <c r="GG375" s="66"/>
      <c r="GH375" s="66"/>
      <c r="GI375" s="66"/>
      <c r="GJ375" s="77"/>
    </row>
    <row r="376" spans="1:192" ht="18.600000000000001" customHeight="1" x14ac:dyDescent="0.25">
      <c r="A376" s="89"/>
      <c r="B376" s="17"/>
      <c r="C376" s="50"/>
      <c r="D376" s="140"/>
      <c r="E376" s="51"/>
      <c r="F376" s="139">
        <f t="shared" si="237"/>
        <v>1</v>
      </c>
      <c r="G376" s="49"/>
      <c r="H376" s="50"/>
      <c r="I376" s="122"/>
      <c r="J376" s="49"/>
      <c r="K376" s="50"/>
      <c r="L376" s="50"/>
      <c r="M376" s="90"/>
      <c r="N376" s="50"/>
      <c r="O376" s="50"/>
      <c r="P376" s="90"/>
      <c r="Q376" s="52">
        <f t="shared" si="203"/>
        <v>0</v>
      </c>
      <c r="R376" s="52">
        <f t="shared" si="204"/>
        <v>0</v>
      </c>
      <c r="S376" s="53">
        <f t="shared" si="205"/>
        <v>0</v>
      </c>
      <c r="T376" s="54">
        <f t="shared" si="206"/>
        <v>0</v>
      </c>
      <c r="U376" s="115">
        <f>SUM(Tableau1[[#This Row],[Vente confiserie]:[Vente boisson]])</f>
        <v>0</v>
      </c>
      <c r="V376" s="95"/>
      <c r="W376" s="95"/>
      <c r="X376" s="136">
        <f>SUM(Tableau1[[#This Row],[Vente lunette]:[Location lunette]])</f>
        <v>0</v>
      </c>
      <c r="Y376" s="95"/>
      <c r="Z376" s="95"/>
      <c r="AA376" s="95"/>
      <c r="AB376" s="95"/>
      <c r="AC376" s="56">
        <f t="shared" si="235"/>
        <v>0</v>
      </c>
      <c r="AD376" s="57"/>
      <c r="AE376" s="57"/>
      <c r="AF376" s="57"/>
      <c r="AG376" s="57"/>
      <c r="AH376" s="57"/>
      <c r="AI376" s="57"/>
      <c r="AJ376" s="118">
        <f>(Tableau1[[#This Row],[Recette guichet ]]*1.1275177)-Tableau1[[#This Row],[Recette guichet ]]</f>
        <v>0</v>
      </c>
      <c r="AK376" s="57"/>
      <c r="AL376" s="56">
        <f t="shared" si="236"/>
        <v>0</v>
      </c>
      <c r="AM376" s="58"/>
      <c r="AN376" s="58"/>
      <c r="AO376" s="58"/>
      <c r="AP376" s="115">
        <f t="shared" si="207"/>
        <v>0</v>
      </c>
      <c r="AQ376" s="69"/>
      <c r="AR376" s="69"/>
      <c r="AS376" s="69"/>
      <c r="AT376" s="69"/>
      <c r="AU376" s="59">
        <f t="shared" si="208"/>
        <v>0</v>
      </c>
      <c r="AV376" s="60">
        <f t="shared" si="209"/>
        <v>0</v>
      </c>
      <c r="AW376" s="58"/>
      <c r="AX376" s="58"/>
      <c r="AY376" s="58"/>
      <c r="AZ376" s="60">
        <f t="shared" ref="AZ376:AZ439" si="238">SUM(BA376:BC376)</f>
        <v>0</v>
      </c>
      <c r="BA376" s="58"/>
      <c r="BB376" s="58"/>
      <c r="BC376" s="58"/>
      <c r="BD376" s="60">
        <f>SUM(Tableau1[[#This Row],[ticket/carte/abonnement périmé]:[Autres ou non précisé 5]])</f>
        <v>0</v>
      </c>
      <c r="BE376" s="58"/>
      <c r="BF376" s="58"/>
      <c r="BG376" s="58"/>
      <c r="BH376" s="61">
        <f t="shared" si="210"/>
        <v>0</v>
      </c>
      <c r="BI376" s="120"/>
      <c r="BJ376" s="120"/>
      <c r="BK376" s="62">
        <f t="shared" si="211"/>
        <v>0</v>
      </c>
      <c r="BL376" s="120"/>
      <c r="BM376" s="120"/>
      <c r="BN376" s="120"/>
      <c r="BO376" s="120"/>
      <c r="BP376" s="120"/>
      <c r="BQ376" s="63"/>
      <c r="BR376" s="52">
        <f t="shared" si="212"/>
        <v>0</v>
      </c>
      <c r="BS376" s="52">
        <f t="shared" si="213"/>
        <v>0</v>
      </c>
      <c r="BT376" s="61">
        <f t="shared" si="214"/>
        <v>0</v>
      </c>
      <c r="BU376" s="64">
        <f t="shared" si="215"/>
        <v>0</v>
      </c>
      <c r="BV376" s="119">
        <f>SUM(Tableau1[[#This Row],[Achats confiserie]:[Achats boisson]])</f>
        <v>0</v>
      </c>
      <c r="BW376" s="58"/>
      <c r="BX376" s="69"/>
      <c r="BY376" s="58"/>
      <c r="BZ376" s="56">
        <f t="shared" si="216"/>
        <v>0</v>
      </c>
      <c r="CA376" s="66"/>
      <c r="CB376" s="66"/>
      <c r="CC376" s="56">
        <f t="shared" si="217"/>
        <v>0</v>
      </c>
      <c r="CD376" s="55"/>
      <c r="CE376" s="65"/>
      <c r="CF376" s="55"/>
      <c r="CG376" s="55"/>
      <c r="CH376" s="67">
        <f t="shared" si="218"/>
        <v>0</v>
      </c>
      <c r="CI376" s="68">
        <f t="shared" si="234"/>
        <v>0</v>
      </c>
      <c r="CJ376" s="55"/>
      <c r="CK376" s="55"/>
      <c r="CL376" s="55"/>
      <c r="CM376" s="55"/>
      <c r="CN376" s="55"/>
      <c r="CO376" s="68">
        <f t="shared" si="219"/>
        <v>0</v>
      </c>
      <c r="CP376" s="75">
        <f>SUM(Tableau1[[#This Row],[Fourniture eau]:[Energie (non précisé)]])</f>
        <v>0</v>
      </c>
      <c r="CQ376" s="55"/>
      <c r="CR376" s="55"/>
      <c r="CS376" s="55"/>
      <c r="CT376" s="55"/>
      <c r="CU376" s="55"/>
      <c r="CV376" s="55">
        <v>0</v>
      </c>
      <c r="CW376" s="55"/>
      <c r="CX376" s="68">
        <f>SUM(Tableau1[[#This Row],[Sous-traitance]:[Autres ou non précisé 12]])</f>
        <v>0</v>
      </c>
      <c r="CY376" s="65"/>
      <c r="CZ376" s="65"/>
      <c r="DA376" s="65"/>
      <c r="DB376" s="65"/>
      <c r="DC376" s="55"/>
      <c r="DD376" s="68">
        <f t="shared" ref="DD376:DD439" si="239">SUM(DE376:DH376)</f>
        <v>0</v>
      </c>
      <c r="DE376" s="55"/>
      <c r="DF376" s="65"/>
      <c r="DG376" s="65"/>
      <c r="DH376" s="65"/>
      <c r="DI376" s="68">
        <f>SUM(Tableau1[[#This Row],[Entretien et réparation matériel de projection]:[Autres ou non précisé 14]])</f>
        <v>0</v>
      </c>
      <c r="DJ376" s="58"/>
      <c r="DK376" s="58"/>
      <c r="DL376" s="69"/>
      <c r="DM376" s="68">
        <f t="shared" si="220"/>
        <v>0</v>
      </c>
      <c r="DN376" s="58"/>
      <c r="DO376" s="58"/>
      <c r="DP376" s="68">
        <f t="shared" si="221"/>
        <v>0</v>
      </c>
      <c r="DQ376" s="65"/>
      <c r="DR376" s="65"/>
      <c r="DS376" s="68">
        <f t="shared" si="222"/>
        <v>0</v>
      </c>
      <c r="DT376" s="65"/>
      <c r="DU376" s="65"/>
      <c r="DV376" s="65"/>
      <c r="DW376" s="68">
        <f>SUM(Tableau1[[#This Row],[Comission et courtage sur achats]:[Autres ou honoraires
 non précisé ]])</f>
        <v>0</v>
      </c>
      <c r="DX376" s="57"/>
      <c r="DY376" s="57"/>
      <c r="DZ376" s="65"/>
      <c r="EA376" s="65"/>
      <c r="EB376" s="65"/>
      <c r="EC376" s="68">
        <f t="shared" si="223"/>
        <v>0</v>
      </c>
      <c r="ED376" s="69"/>
      <c r="EE376" s="69"/>
      <c r="EF376" s="69"/>
      <c r="EG376" s="69"/>
      <c r="EH376" s="69"/>
      <c r="EI376" s="84">
        <f>SUM(Tableau1[[#This Row],[Transports sur films]:[autres ]])</f>
        <v>0</v>
      </c>
      <c r="EJ376" s="132">
        <v>0</v>
      </c>
      <c r="EK376" s="132"/>
      <c r="EL376" s="68">
        <f t="shared" si="224"/>
        <v>0</v>
      </c>
      <c r="EM376" s="65"/>
      <c r="EN376" s="65">
        <v>0</v>
      </c>
      <c r="EO376" s="65"/>
      <c r="EP376" s="65"/>
      <c r="EQ376" s="65"/>
      <c r="ER376" s="65"/>
      <c r="ES376" s="65"/>
      <c r="ET376" s="68">
        <f t="shared" si="225"/>
        <v>0</v>
      </c>
      <c r="EU376" s="65"/>
      <c r="EV376" s="65"/>
      <c r="EW376" s="65"/>
      <c r="EX376" s="65"/>
      <c r="EY376" s="65"/>
      <c r="EZ376" s="68">
        <f t="shared" si="202"/>
        <v>0</v>
      </c>
      <c r="FA376" s="65"/>
      <c r="FB376" s="65"/>
      <c r="FC376" s="70">
        <f t="shared" ref="FC376:FC439" si="240">SUM(FD376:FD376)</f>
        <v>0</v>
      </c>
      <c r="FD376" s="65"/>
      <c r="FE376" s="71">
        <f t="shared" si="226"/>
        <v>0</v>
      </c>
      <c r="FF376" s="72">
        <f t="shared" si="227"/>
        <v>0</v>
      </c>
      <c r="FG376" s="65"/>
      <c r="FH376" s="65"/>
      <c r="FI376" s="65"/>
      <c r="FJ376" s="56">
        <f t="shared" si="228"/>
        <v>0</v>
      </c>
      <c r="FK376" s="65"/>
      <c r="FL376" s="65"/>
      <c r="FM376" s="65"/>
      <c r="FN376" s="65"/>
      <c r="FO376" s="67">
        <f t="shared" si="229"/>
        <v>0</v>
      </c>
      <c r="FP376" s="57"/>
      <c r="FQ376" s="73"/>
      <c r="FR376" s="73"/>
      <c r="FS376" s="71">
        <f t="shared" si="230"/>
        <v>0</v>
      </c>
      <c r="FT376" s="91"/>
      <c r="FU376" s="91"/>
      <c r="FV376" s="67">
        <f>SUM(Tableau1[[#This Row],[Droits d''auteurs SACEM + cotisations SACEM]:[Autres ou non préciés]])</f>
        <v>0</v>
      </c>
      <c r="FW376" s="75">
        <f t="shared" si="231"/>
        <v>0</v>
      </c>
      <c r="FX376" s="74">
        <v>0</v>
      </c>
      <c r="FY376" s="74"/>
      <c r="FZ376" s="74"/>
      <c r="GA376" s="74"/>
      <c r="GB376" s="71">
        <f t="shared" si="232"/>
        <v>0</v>
      </c>
      <c r="GC376" s="92"/>
      <c r="GD376" s="92"/>
      <c r="GE376" s="67">
        <f t="shared" si="233"/>
        <v>0</v>
      </c>
      <c r="GF376" s="66"/>
      <c r="GG376" s="66"/>
      <c r="GH376" s="66"/>
      <c r="GI376" s="66"/>
      <c r="GJ376" s="77"/>
    </row>
    <row r="377" spans="1:192" ht="18.600000000000001" customHeight="1" x14ac:dyDescent="0.25">
      <c r="A377" s="89"/>
      <c r="B377" s="17"/>
      <c r="C377" s="50"/>
      <c r="D377" s="140"/>
      <c r="E377" s="51"/>
      <c r="F377" s="139">
        <f t="shared" si="237"/>
        <v>1</v>
      </c>
      <c r="G377" s="49"/>
      <c r="H377" s="50"/>
      <c r="I377" s="122"/>
      <c r="J377" s="49"/>
      <c r="K377" s="50"/>
      <c r="L377" s="50"/>
      <c r="M377" s="90"/>
      <c r="N377" s="50"/>
      <c r="O377" s="50"/>
      <c r="P377" s="90"/>
      <c r="Q377" s="52">
        <f t="shared" si="203"/>
        <v>0</v>
      </c>
      <c r="R377" s="52">
        <f t="shared" si="204"/>
        <v>0</v>
      </c>
      <c r="S377" s="53">
        <f t="shared" si="205"/>
        <v>0</v>
      </c>
      <c r="T377" s="54">
        <f t="shared" si="206"/>
        <v>0</v>
      </c>
      <c r="U377" s="115">
        <f>SUM(Tableau1[[#This Row],[Vente confiserie]:[Vente boisson]])</f>
        <v>0</v>
      </c>
      <c r="V377" s="95"/>
      <c r="W377" s="95"/>
      <c r="X377" s="136">
        <f>SUM(Tableau1[[#This Row],[Vente lunette]:[Location lunette]])</f>
        <v>0</v>
      </c>
      <c r="Y377" s="95"/>
      <c r="Z377" s="95"/>
      <c r="AA377" s="95"/>
      <c r="AB377" s="95"/>
      <c r="AC377" s="56">
        <f t="shared" si="235"/>
        <v>0</v>
      </c>
      <c r="AD377" s="57"/>
      <c r="AE377" s="57"/>
      <c r="AF377" s="57"/>
      <c r="AG377" s="57"/>
      <c r="AH377" s="57"/>
      <c r="AI377" s="57"/>
      <c r="AJ377" s="118">
        <f>(Tableau1[[#This Row],[Recette guichet ]]*1.1275177)-Tableau1[[#This Row],[Recette guichet ]]</f>
        <v>0</v>
      </c>
      <c r="AK377" s="57"/>
      <c r="AL377" s="56">
        <f t="shared" si="236"/>
        <v>0</v>
      </c>
      <c r="AM377" s="58"/>
      <c r="AN377" s="58"/>
      <c r="AO377" s="58"/>
      <c r="AP377" s="115">
        <f t="shared" si="207"/>
        <v>0</v>
      </c>
      <c r="AQ377" s="69"/>
      <c r="AR377" s="69"/>
      <c r="AS377" s="69"/>
      <c r="AT377" s="69"/>
      <c r="AU377" s="59">
        <f t="shared" si="208"/>
        <v>0</v>
      </c>
      <c r="AV377" s="60">
        <f t="shared" si="209"/>
        <v>0</v>
      </c>
      <c r="AW377" s="58"/>
      <c r="AX377" s="58"/>
      <c r="AY377" s="58"/>
      <c r="AZ377" s="60">
        <f t="shared" si="238"/>
        <v>0</v>
      </c>
      <c r="BA377" s="58"/>
      <c r="BB377" s="58"/>
      <c r="BC377" s="58"/>
      <c r="BD377" s="60">
        <f>SUM(Tableau1[[#This Row],[ticket/carte/abonnement périmé]:[Autres ou non précisé 5]])</f>
        <v>0</v>
      </c>
      <c r="BE377" s="58"/>
      <c r="BF377" s="58"/>
      <c r="BG377" s="58"/>
      <c r="BH377" s="61">
        <f t="shared" si="210"/>
        <v>0</v>
      </c>
      <c r="BI377" s="120"/>
      <c r="BJ377" s="120"/>
      <c r="BK377" s="62">
        <f t="shared" si="211"/>
        <v>0</v>
      </c>
      <c r="BL377" s="120"/>
      <c r="BM377" s="120"/>
      <c r="BN377" s="120"/>
      <c r="BO377" s="120"/>
      <c r="BP377" s="120"/>
      <c r="BQ377" s="63"/>
      <c r="BR377" s="52">
        <f t="shared" si="212"/>
        <v>0</v>
      </c>
      <c r="BS377" s="52">
        <f t="shared" si="213"/>
        <v>0</v>
      </c>
      <c r="BT377" s="61">
        <f t="shared" si="214"/>
        <v>0</v>
      </c>
      <c r="BU377" s="64">
        <f t="shared" si="215"/>
        <v>0</v>
      </c>
      <c r="BV377" s="119">
        <f>SUM(Tableau1[[#This Row],[Achats confiserie]:[Achats boisson]])</f>
        <v>0</v>
      </c>
      <c r="BW377" s="58"/>
      <c r="BX377" s="69"/>
      <c r="BY377" s="58"/>
      <c r="BZ377" s="56">
        <f t="shared" si="216"/>
        <v>0</v>
      </c>
      <c r="CA377" s="66"/>
      <c r="CB377" s="66"/>
      <c r="CC377" s="56">
        <f t="shared" si="217"/>
        <v>0</v>
      </c>
      <c r="CD377" s="55"/>
      <c r="CE377" s="65"/>
      <c r="CF377" s="55"/>
      <c r="CG377" s="55"/>
      <c r="CH377" s="67">
        <f t="shared" si="218"/>
        <v>0</v>
      </c>
      <c r="CI377" s="68">
        <f t="shared" si="234"/>
        <v>0</v>
      </c>
      <c r="CJ377" s="55"/>
      <c r="CK377" s="55"/>
      <c r="CL377" s="55"/>
      <c r="CM377" s="55"/>
      <c r="CN377" s="55"/>
      <c r="CO377" s="68">
        <f t="shared" si="219"/>
        <v>0</v>
      </c>
      <c r="CP377" s="75">
        <f>SUM(Tableau1[[#This Row],[Fourniture eau]:[Energie (non précisé)]])</f>
        <v>0</v>
      </c>
      <c r="CQ377" s="55"/>
      <c r="CR377" s="55"/>
      <c r="CS377" s="55"/>
      <c r="CT377" s="55"/>
      <c r="CU377" s="55"/>
      <c r="CV377" s="55">
        <v>0</v>
      </c>
      <c r="CW377" s="55"/>
      <c r="CX377" s="68">
        <f>SUM(Tableau1[[#This Row],[Sous-traitance]:[Autres ou non précisé 12]])</f>
        <v>0</v>
      </c>
      <c r="CY377" s="65"/>
      <c r="CZ377" s="65"/>
      <c r="DA377" s="65"/>
      <c r="DB377" s="65"/>
      <c r="DC377" s="55"/>
      <c r="DD377" s="68">
        <f t="shared" si="239"/>
        <v>0</v>
      </c>
      <c r="DE377" s="55"/>
      <c r="DF377" s="65"/>
      <c r="DG377" s="65"/>
      <c r="DH377" s="65"/>
      <c r="DI377" s="68">
        <f>SUM(Tableau1[[#This Row],[Entretien et réparation matériel de projection]:[Autres ou non précisé 14]])</f>
        <v>0</v>
      </c>
      <c r="DJ377" s="58"/>
      <c r="DK377" s="58"/>
      <c r="DL377" s="69"/>
      <c r="DM377" s="68">
        <f t="shared" si="220"/>
        <v>0</v>
      </c>
      <c r="DN377" s="58"/>
      <c r="DO377" s="58"/>
      <c r="DP377" s="68">
        <f t="shared" si="221"/>
        <v>0</v>
      </c>
      <c r="DQ377" s="65"/>
      <c r="DR377" s="65"/>
      <c r="DS377" s="68">
        <f t="shared" si="222"/>
        <v>0</v>
      </c>
      <c r="DT377" s="65"/>
      <c r="DU377" s="65"/>
      <c r="DV377" s="65"/>
      <c r="DW377" s="68">
        <f>SUM(Tableau1[[#This Row],[Comission et courtage sur achats]:[Autres ou honoraires
 non précisé ]])</f>
        <v>0</v>
      </c>
      <c r="DX377" s="57"/>
      <c r="DY377" s="57"/>
      <c r="DZ377" s="65"/>
      <c r="EA377" s="65"/>
      <c r="EB377" s="65"/>
      <c r="EC377" s="68">
        <f t="shared" si="223"/>
        <v>0</v>
      </c>
      <c r="ED377" s="69"/>
      <c r="EE377" s="69"/>
      <c r="EF377" s="69"/>
      <c r="EG377" s="69"/>
      <c r="EH377" s="69"/>
      <c r="EI377" s="84">
        <f>SUM(Tableau1[[#This Row],[Transports sur films]:[autres ]])</f>
        <v>0</v>
      </c>
      <c r="EJ377" s="132">
        <v>0</v>
      </c>
      <c r="EK377" s="132"/>
      <c r="EL377" s="68">
        <f t="shared" si="224"/>
        <v>0</v>
      </c>
      <c r="EM377" s="65"/>
      <c r="EN377" s="65">
        <v>0</v>
      </c>
      <c r="EO377" s="65"/>
      <c r="EP377" s="65"/>
      <c r="EQ377" s="65"/>
      <c r="ER377" s="65"/>
      <c r="ES377" s="65"/>
      <c r="ET377" s="68">
        <f t="shared" si="225"/>
        <v>0</v>
      </c>
      <c r="EU377" s="65"/>
      <c r="EV377" s="65"/>
      <c r="EW377" s="65"/>
      <c r="EX377" s="65"/>
      <c r="EY377" s="65"/>
      <c r="EZ377" s="68">
        <f t="shared" si="202"/>
        <v>0</v>
      </c>
      <c r="FA377" s="65"/>
      <c r="FB377" s="65"/>
      <c r="FC377" s="70">
        <f t="shared" si="240"/>
        <v>0</v>
      </c>
      <c r="FD377" s="65"/>
      <c r="FE377" s="71">
        <f t="shared" si="226"/>
        <v>0</v>
      </c>
      <c r="FF377" s="72">
        <f t="shared" si="227"/>
        <v>0</v>
      </c>
      <c r="FG377" s="65"/>
      <c r="FH377" s="65"/>
      <c r="FI377" s="65"/>
      <c r="FJ377" s="56">
        <f t="shared" si="228"/>
        <v>0</v>
      </c>
      <c r="FK377" s="65"/>
      <c r="FL377" s="65"/>
      <c r="FM377" s="65"/>
      <c r="FN377" s="65"/>
      <c r="FO377" s="67">
        <f t="shared" si="229"/>
        <v>0</v>
      </c>
      <c r="FP377" s="57"/>
      <c r="FQ377" s="73"/>
      <c r="FR377" s="73"/>
      <c r="FS377" s="71">
        <f t="shared" si="230"/>
        <v>0</v>
      </c>
      <c r="FT377" s="91"/>
      <c r="FU377" s="91"/>
      <c r="FV377" s="67">
        <f>SUM(Tableau1[[#This Row],[Droits d''auteurs SACEM + cotisations SACEM]:[Autres ou non préciés]])</f>
        <v>0</v>
      </c>
      <c r="FW377" s="75">
        <f t="shared" si="231"/>
        <v>0</v>
      </c>
      <c r="FX377" s="74">
        <v>0</v>
      </c>
      <c r="FY377" s="74"/>
      <c r="FZ377" s="74"/>
      <c r="GA377" s="74"/>
      <c r="GB377" s="71">
        <f t="shared" si="232"/>
        <v>0</v>
      </c>
      <c r="GC377" s="92"/>
      <c r="GD377" s="92"/>
      <c r="GE377" s="67">
        <f t="shared" si="233"/>
        <v>0</v>
      </c>
      <c r="GF377" s="66"/>
      <c r="GG377" s="66"/>
      <c r="GH377" s="66"/>
      <c r="GI377" s="66"/>
      <c r="GJ377" s="77"/>
    </row>
    <row r="378" spans="1:192" ht="18.600000000000001" customHeight="1" x14ac:dyDescent="0.25">
      <c r="A378" s="89"/>
      <c r="B378" s="17"/>
      <c r="C378" s="50"/>
      <c r="D378" s="140"/>
      <c r="E378" s="51"/>
      <c r="F378" s="139">
        <f t="shared" si="237"/>
        <v>1</v>
      </c>
      <c r="G378" s="49"/>
      <c r="H378" s="50"/>
      <c r="I378" s="122"/>
      <c r="J378" s="49"/>
      <c r="K378" s="50"/>
      <c r="L378" s="50"/>
      <c r="M378" s="90"/>
      <c r="N378" s="50"/>
      <c r="O378" s="50"/>
      <c r="P378" s="90"/>
      <c r="Q378" s="52">
        <f t="shared" si="203"/>
        <v>0</v>
      </c>
      <c r="R378" s="52">
        <f t="shared" si="204"/>
        <v>0</v>
      </c>
      <c r="S378" s="53">
        <f t="shared" si="205"/>
        <v>0</v>
      </c>
      <c r="T378" s="54">
        <f t="shared" si="206"/>
        <v>0</v>
      </c>
      <c r="U378" s="115">
        <f>SUM(Tableau1[[#This Row],[Vente confiserie]:[Vente boisson]])</f>
        <v>0</v>
      </c>
      <c r="V378" s="95"/>
      <c r="W378" s="95"/>
      <c r="X378" s="136">
        <f>SUM(Tableau1[[#This Row],[Vente lunette]:[Location lunette]])</f>
        <v>0</v>
      </c>
      <c r="Y378" s="95"/>
      <c r="Z378" s="95"/>
      <c r="AA378" s="95"/>
      <c r="AB378" s="95"/>
      <c r="AC378" s="56">
        <f t="shared" si="235"/>
        <v>0</v>
      </c>
      <c r="AD378" s="57"/>
      <c r="AE378" s="57"/>
      <c r="AF378" s="57"/>
      <c r="AG378" s="57"/>
      <c r="AH378" s="57"/>
      <c r="AI378" s="57"/>
      <c r="AJ378" s="118">
        <f>(Tableau1[[#This Row],[Recette guichet ]]*1.1275177)-Tableau1[[#This Row],[Recette guichet ]]</f>
        <v>0</v>
      </c>
      <c r="AK378" s="57"/>
      <c r="AL378" s="56">
        <f t="shared" si="236"/>
        <v>0</v>
      </c>
      <c r="AM378" s="58"/>
      <c r="AN378" s="58"/>
      <c r="AO378" s="58"/>
      <c r="AP378" s="115">
        <f t="shared" si="207"/>
        <v>0</v>
      </c>
      <c r="AQ378" s="69"/>
      <c r="AR378" s="69"/>
      <c r="AS378" s="69"/>
      <c r="AT378" s="69"/>
      <c r="AU378" s="59">
        <f t="shared" si="208"/>
        <v>0</v>
      </c>
      <c r="AV378" s="60">
        <f t="shared" si="209"/>
        <v>0</v>
      </c>
      <c r="AW378" s="58"/>
      <c r="AX378" s="58"/>
      <c r="AY378" s="58"/>
      <c r="AZ378" s="60">
        <f t="shared" si="238"/>
        <v>0</v>
      </c>
      <c r="BA378" s="58"/>
      <c r="BB378" s="58"/>
      <c r="BC378" s="58"/>
      <c r="BD378" s="60">
        <f>SUM(Tableau1[[#This Row],[ticket/carte/abonnement périmé]:[Autres ou non précisé 5]])</f>
        <v>0</v>
      </c>
      <c r="BE378" s="58"/>
      <c r="BF378" s="58"/>
      <c r="BG378" s="58"/>
      <c r="BH378" s="61">
        <f t="shared" si="210"/>
        <v>0</v>
      </c>
      <c r="BI378" s="120"/>
      <c r="BJ378" s="120"/>
      <c r="BK378" s="62">
        <f t="shared" si="211"/>
        <v>0</v>
      </c>
      <c r="BL378" s="120"/>
      <c r="BM378" s="120"/>
      <c r="BN378" s="120"/>
      <c r="BO378" s="120"/>
      <c r="BP378" s="120"/>
      <c r="BQ378" s="63"/>
      <c r="BR378" s="52">
        <f t="shared" si="212"/>
        <v>0</v>
      </c>
      <c r="BS378" s="52">
        <f t="shared" si="213"/>
        <v>0</v>
      </c>
      <c r="BT378" s="61">
        <f t="shared" si="214"/>
        <v>0</v>
      </c>
      <c r="BU378" s="64">
        <f t="shared" si="215"/>
        <v>0</v>
      </c>
      <c r="BV378" s="119">
        <f>SUM(Tableau1[[#This Row],[Achats confiserie]:[Achats boisson]])</f>
        <v>0</v>
      </c>
      <c r="BW378" s="58"/>
      <c r="BX378" s="69"/>
      <c r="BY378" s="58"/>
      <c r="BZ378" s="56">
        <f t="shared" si="216"/>
        <v>0</v>
      </c>
      <c r="CA378" s="66"/>
      <c r="CB378" s="66"/>
      <c r="CC378" s="56">
        <f t="shared" si="217"/>
        <v>0</v>
      </c>
      <c r="CD378" s="55"/>
      <c r="CE378" s="65"/>
      <c r="CF378" s="55"/>
      <c r="CG378" s="55"/>
      <c r="CH378" s="67">
        <f t="shared" si="218"/>
        <v>0</v>
      </c>
      <c r="CI378" s="68">
        <f t="shared" si="234"/>
        <v>0</v>
      </c>
      <c r="CJ378" s="55"/>
      <c r="CK378" s="55"/>
      <c r="CL378" s="55"/>
      <c r="CM378" s="55"/>
      <c r="CN378" s="55"/>
      <c r="CO378" s="68">
        <f t="shared" si="219"/>
        <v>0</v>
      </c>
      <c r="CP378" s="75">
        <f>SUM(Tableau1[[#This Row],[Fourniture eau]:[Energie (non précisé)]])</f>
        <v>0</v>
      </c>
      <c r="CQ378" s="55"/>
      <c r="CR378" s="55"/>
      <c r="CS378" s="55"/>
      <c r="CT378" s="55"/>
      <c r="CU378" s="55"/>
      <c r="CV378" s="55">
        <v>0</v>
      </c>
      <c r="CW378" s="55"/>
      <c r="CX378" s="68">
        <f>SUM(Tableau1[[#This Row],[Sous-traitance]:[Autres ou non précisé 12]])</f>
        <v>0</v>
      </c>
      <c r="CY378" s="65"/>
      <c r="CZ378" s="65"/>
      <c r="DA378" s="65"/>
      <c r="DB378" s="65"/>
      <c r="DC378" s="55"/>
      <c r="DD378" s="68">
        <f t="shared" si="239"/>
        <v>0</v>
      </c>
      <c r="DE378" s="55"/>
      <c r="DF378" s="65"/>
      <c r="DG378" s="65"/>
      <c r="DH378" s="65"/>
      <c r="DI378" s="68">
        <f>SUM(Tableau1[[#This Row],[Entretien et réparation matériel de projection]:[Autres ou non précisé 14]])</f>
        <v>0</v>
      </c>
      <c r="DJ378" s="58"/>
      <c r="DK378" s="58"/>
      <c r="DL378" s="69"/>
      <c r="DM378" s="68">
        <f t="shared" si="220"/>
        <v>0</v>
      </c>
      <c r="DN378" s="58"/>
      <c r="DO378" s="58"/>
      <c r="DP378" s="68">
        <f t="shared" si="221"/>
        <v>0</v>
      </c>
      <c r="DQ378" s="65"/>
      <c r="DR378" s="65"/>
      <c r="DS378" s="68">
        <f t="shared" si="222"/>
        <v>0</v>
      </c>
      <c r="DT378" s="65"/>
      <c r="DU378" s="65"/>
      <c r="DV378" s="65"/>
      <c r="DW378" s="68">
        <f>SUM(Tableau1[[#This Row],[Comission et courtage sur achats]:[Autres ou honoraires
 non précisé ]])</f>
        <v>0</v>
      </c>
      <c r="DX378" s="57"/>
      <c r="DY378" s="57"/>
      <c r="DZ378" s="65"/>
      <c r="EA378" s="65"/>
      <c r="EB378" s="65"/>
      <c r="EC378" s="68">
        <f t="shared" si="223"/>
        <v>0</v>
      </c>
      <c r="ED378" s="69"/>
      <c r="EE378" s="69"/>
      <c r="EF378" s="69"/>
      <c r="EG378" s="69"/>
      <c r="EH378" s="69"/>
      <c r="EI378" s="84">
        <f>SUM(Tableau1[[#This Row],[Transports sur films]:[autres ]])</f>
        <v>0</v>
      </c>
      <c r="EJ378" s="132">
        <v>0</v>
      </c>
      <c r="EK378" s="132"/>
      <c r="EL378" s="68">
        <f t="shared" si="224"/>
        <v>0</v>
      </c>
      <c r="EM378" s="65"/>
      <c r="EN378" s="65">
        <v>0</v>
      </c>
      <c r="EO378" s="65"/>
      <c r="EP378" s="65"/>
      <c r="EQ378" s="65"/>
      <c r="ER378" s="65"/>
      <c r="ES378" s="65"/>
      <c r="ET378" s="68">
        <f t="shared" si="225"/>
        <v>0</v>
      </c>
      <c r="EU378" s="65"/>
      <c r="EV378" s="65"/>
      <c r="EW378" s="65"/>
      <c r="EX378" s="65"/>
      <c r="EY378" s="65"/>
      <c r="EZ378" s="68">
        <f t="shared" si="202"/>
        <v>0</v>
      </c>
      <c r="FA378" s="65"/>
      <c r="FB378" s="65"/>
      <c r="FC378" s="70">
        <f t="shared" si="240"/>
        <v>0</v>
      </c>
      <c r="FD378" s="65"/>
      <c r="FE378" s="71">
        <f t="shared" si="226"/>
        <v>0</v>
      </c>
      <c r="FF378" s="72">
        <f t="shared" si="227"/>
        <v>0</v>
      </c>
      <c r="FG378" s="65"/>
      <c r="FH378" s="65"/>
      <c r="FI378" s="65"/>
      <c r="FJ378" s="56">
        <f t="shared" si="228"/>
        <v>0</v>
      </c>
      <c r="FK378" s="65"/>
      <c r="FL378" s="65"/>
      <c r="FM378" s="65"/>
      <c r="FN378" s="65"/>
      <c r="FO378" s="67">
        <f t="shared" si="229"/>
        <v>0</v>
      </c>
      <c r="FP378" s="57"/>
      <c r="FQ378" s="73"/>
      <c r="FR378" s="73"/>
      <c r="FS378" s="71">
        <f t="shared" si="230"/>
        <v>0</v>
      </c>
      <c r="FT378" s="91"/>
      <c r="FU378" s="91"/>
      <c r="FV378" s="67">
        <f>SUM(Tableau1[[#This Row],[Droits d''auteurs SACEM + cotisations SACEM]:[Autres ou non préciés]])</f>
        <v>0</v>
      </c>
      <c r="FW378" s="75">
        <f t="shared" si="231"/>
        <v>0</v>
      </c>
      <c r="FX378" s="74">
        <v>0</v>
      </c>
      <c r="FY378" s="74"/>
      <c r="FZ378" s="74"/>
      <c r="GA378" s="74"/>
      <c r="GB378" s="71">
        <f t="shared" si="232"/>
        <v>0</v>
      </c>
      <c r="GC378" s="92"/>
      <c r="GD378" s="92"/>
      <c r="GE378" s="67">
        <f t="shared" si="233"/>
        <v>0</v>
      </c>
      <c r="GF378" s="66"/>
      <c r="GG378" s="66"/>
      <c r="GH378" s="66"/>
      <c r="GI378" s="66"/>
      <c r="GJ378" s="77"/>
    </row>
    <row r="379" spans="1:192" ht="18.600000000000001" customHeight="1" x14ac:dyDescent="0.25">
      <c r="A379" s="89"/>
      <c r="B379" s="17"/>
      <c r="C379" s="50"/>
      <c r="D379" s="140"/>
      <c r="E379" s="51"/>
      <c r="F379" s="139">
        <f t="shared" si="237"/>
        <v>1</v>
      </c>
      <c r="G379" s="49"/>
      <c r="H379" s="50"/>
      <c r="I379" s="122"/>
      <c r="J379" s="49"/>
      <c r="K379" s="50"/>
      <c r="L379" s="50"/>
      <c r="M379" s="90"/>
      <c r="N379" s="50"/>
      <c r="O379" s="50"/>
      <c r="P379" s="90"/>
      <c r="Q379" s="52">
        <f t="shared" si="203"/>
        <v>0</v>
      </c>
      <c r="R379" s="52">
        <f t="shared" si="204"/>
        <v>0</v>
      </c>
      <c r="S379" s="53">
        <f t="shared" si="205"/>
        <v>0</v>
      </c>
      <c r="T379" s="54">
        <f t="shared" si="206"/>
        <v>0</v>
      </c>
      <c r="U379" s="115">
        <f>SUM(Tableau1[[#This Row],[Vente confiserie]:[Vente boisson]])</f>
        <v>0</v>
      </c>
      <c r="V379" s="95"/>
      <c r="W379" s="95"/>
      <c r="X379" s="136">
        <f>SUM(Tableau1[[#This Row],[Vente lunette]:[Location lunette]])</f>
        <v>0</v>
      </c>
      <c r="Y379" s="95"/>
      <c r="Z379" s="95"/>
      <c r="AA379" s="95"/>
      <c r="AB379" s="95"/>
      <c r="AC379" s="56">
        <f t="shared" si="235"/>
        <v>0</v>
      </c>
      <c r="AD379" s="57"/>
      <c r="AE379" s="57"/>
      <c r="AF379" s="57"/>
      <c r="AG379" s="57"/>
      <c r="AH379" s="57"/>
      <c r="AI379" s="57"/>
      <c r="AJ379" s="118">
        <f>(Tableau1[[#This Row],[Recette guichet ]]*1.1275177)-Tableau1[[#This Row],[Recette guichet ]]</f>
        <v>0</v>
      </c>
      <c r="AK379" s="57"/>
      <c r="AL379" s="56">
        <f t="shared" si="236"/>
        <v>0</v>
      </c>
      <c r="AM379" s="58"/>
      <c r="AN379" s="58"/>
      <c r="AO379" s="58"/>
      <c r="AP379" s="115">
        <f t="shared" si="207"/>
        <v>0</v>
      </c>
      <c r="AQ379" s="69"/>
      <c r="AR379" s="69"/>
      <c r="AS379" s="69"/>
      <c r="AT379" s="69"/>
      <c r="AU379" s="59">
        <f t="shared" si="208"/>
        <v>0</v>
      </c>
      <c r="AV379" s="60">
        <f t="shared" si="209"/>
        <v>0</v>
      </c>
      <c r="AW379" s="58"/>
      <c r="AX379" s="58"/>
      <c r="AY379" s="58"/>
      <c r="AZ379" s="60">
        <f t="shared" si="238"/>
        <v>0</v>
      </c>
      <c r="BA379" s="58"/>
      <c r="BB379" s="58"/>
      <c r="BC379" s="58"/>
      <c r="BD379" s="60">
        <f>SUM(Tableau1[[#This Row],[ticket/carte/abonnement périmé]:[Autres ou non précisé 5]])</f>
        <v>0</v>
      </c>
      <c r="BE379" s="58"/>
      <c r="BF379" s="58"/>
      <c r="BG379" s="58"/>
      <c r="BH379" s="61">
        <f t="shared" si="210"/>
        <v>0</v>
      </c>
      <c r="BI379" s="120"/>
      <c r="BJ379" s="120"/>
      <c r="BK379" s="62">
        <f t="shared" si="211"/>
        <v>0</v>
      </c>
      <c r="BL379" s="120"/>
      <c r="BM379" s="120"/>
      <c r="BN379" s="120"/>
      <c r="BO379" s="120"/>
      <c r="BP379" s="120"/>
      <c r="BQ379" s="63"/>
      <c r="BR379" s="52">
        <f t="shared" si="212"/>
        <v>0</v>
      </c>
      <c r="BS379" s="52">
        <f t="shared" si="213"/>
        <v>0</v>
      </c>
      <c r="BT379" s="61">
        <f t="shared" si="214"/>
        <v>0</v>
      </c>
      <c r="BU379" s="64">
        <f t="shared" si="215"/>
        <v>0</v>
      </c>
      <c r="BV379" s="119">
        <f>SUM(Tableau1[[#This Row],[Achats confiserie]:[Achats boisson]])</f>
        <v>0</v>
      </c>
      <c r="BW379" s="58"/>
      <c r="BX379" s="69"/>
      <c r="BY379" s="58"/>
      <c r="BZ379" s="56">
        <f t="shared" si="216"/>
        <v>0</v>
      </c>
      <c r="CA379" s="66"/>
      <c r="CB379" s="66"/>
      <c r="CC379" s="56">
        <f t="shared" si="217"/>
        <v>0</v>
      </c>
      <c r="CD379" s="55"/>
      <c r="CE379" s="65"/>
      <c r="CF379" s="55"/>
      <c r="CG379" s="55"/>
      <c r="CH379" s="67">
        <f t="shared" si="218"/>
        <v>0</v>
      </c>
      <c r="CI379" s="68">
        <f t="shared" si="234"/>
        <v>0</v>
      </c>
      <c r="CJ379" s="55"/>
      <c r="CK379" s="55"/>
      <c r="CL379" s="55"/>
      <c r="CM379" s="55"/>
      <c r="CN379" s="55"/>
      <c r="CO379" s="68">
        <f t="shared" si="219"/>
        <v>0</v>
      </c>
      <c r="CP379" s="75">
        <f>SUM(Tableau1[[#This Row],[Fourniture eau]:[Energie (non précisé)]])</f>
        <v>0</v>
      </c>
      <c r="CQ379" s="55"/>
      <c r="CR379" s="55"/>
      <c r="CS379" s="55"/>
      <c r="CT379" s="55"/>
      <c r="CU379" s="55"/>
      <c r="CV379" s="55">
        <v>0</v>
      </c>
      <c r="CW379" s="55"/>
      <c r="CX379" s="68">
        <f>SUM(Tableau1[[#This Row],[Sous-traitance]:[Autres ou non précisé 12]])</f>
        <v>0</v>
      </c>
      <c r="CY379" s="65"/>
      <c r="CZ379" s="65"/>
      <c r="DA379" s="65"/>
      <c r="DB379" s="65"/>
      <c r="DC379" s="55"/>
      <c r="DD379" s="68">
        <f t="shared" si="239"/>
        <v>0</v>
      </c>
      <c r="DE379" s="55"/>
      <c r="DF379" s="65"/>
      <c r="DG379" s="65"/>
      <c r="DH379" s="65"/>
      <c r="DI379" s="68">
        <f>SUM(Tableau1[[#This Row],[Entretien et réparation matériel de projection]:[Autres ou non précisé 14]])</f>
        <v>0</v>
      </c>
      <c r="DJ379" s="58"/>
      <c r="DK379" s="58"/>
      <c r="DL379" s="69"/>
      <c r="DM379" s="68">
        <f t="shared" si="220"/>
        <v>0</v>
      </c>
      <c r="DN379" s="58"/>
      <c r="DO379" s="58"/>
      <c r="DP379" s="68">
        <f t="shared" si="221"/>
        <v>0</v>
      </c>
      <c r="DQ379" s="65"/>
      <c r="DR379" s="65"/>
      <c r="DS379" s="68">
        <f t="shared" si="222"/>
        <v>0</v>
      </c>
      <c r="DT379" s="65"/>
      <c r="DU379" s="65"/>
      <c r="DV379" s="65"/>
      <c r="DW379" s="68">
        <f>SUM(Tableau1[[#This Row],[Comission et courtage sur achats]:[Autres ou honoraires
 non précisé ]])</f>
        <v>0</v>
      </c>
      <c r="DX379" s="57"/>
      <c r="DY379" s="57"/>
      <c r="DZ379" s="65"/>
      <c r="EA379" s="65"/>
      <c r="EB379" s="65"/>
      <c r="EC379" s="68">
        <f t="shared" si="223"/>
        <v>0</v>
      </c>
      <c r="ED379" s="69"/>
      <c r="EE379" s="69"/>
      <c r="EF379" s="69"/>
      <c r="EG379" s="69"/>
      <c r="EH379" s="69"/>
      <c r="EI379" s="84">
        <f>SUM(Tableau1[[#This Row],[Transports sur films]:[autres ]])</f>
        <v>0</v>
      </c>
      <c r="EJ379" s="132">
        <v>0</v>
      </c>
      <c r="EK379" s="132"/>
      <c r="EL379" s="68">
        <f t="shared" si="224"/>
        <v>0</v>
      </c>
      <c r="EM379" s="65"/>
      <c r="EN379" s="65">
        <v>0</v>
      </c>
      <c r="EO379" s="65"/>
      <c r="EP379" s="65"/>
      <c r="EQ379" s="65"/>
      <c r="ER379" s="65"/>
      <c r="ES379" s="65"/>
      <c r="ET379" s="68">
        <f t="shared" si="225"/>
        <v>0</v>
      </c>
      <c r="EU379" s="65"/>
      <c r="EV379" s="65"/>
      <c r="EW379" s="65"/>
      <c r="EX379" s="65"/>
      <c r="EY379" s="65"/>
      <c r="EZ379" s="68">
        <f t="shared" ref="EZ379:EZ442" si="241">SUM(FA379:FB379)</f>
        <v>0</v>
      </c>
      <c r="FA379" s="65"/>
      <c r="FB379" s="65"/>
      <c r="FC379" s="70">
        <f t="shared" si="240"/>
        <v>0</v>
      </c>
      <c r="FD379" s="65"/>
      <c r="FE379" s="71">
        <f t="shared" si="226"/>
        <v>0</v>
      </c>
      <c r="FF379" s="72">
        <f t="shared" si="227"/>
        <v>0</v>
      </c>
      <c r="FG379" s="65"/>
      <c r="FH379" s="65"/>
      <c r="FI379" s="65"/>
      <c r="FJ379" s="56">
        <f t="shared" si="228"/>
        <v>0</v>
      </c>
      <c r="FK379" s="65"/>
      <c r="FL379" s="65"/>
      <c r="FM379" s="65"/>
      <c r="FN379" s="65"/>
      <c r="FO379" s="67">
        <f t="shared" si="229"/>
        <v>0</v>
      </c>
      <c r="FP379" s="57"/>
      <c r="FQ379" s="73"/>
      <c r="FR379" s="73"/>
      <c r="FS379" s="71">
        <f t="shared" si="230"/>
        <v>0</v>
      </c>
      <c r="FT379" s="91"/>
      <c r="FU379" s="91"/>
      <c r="FV379" s="67">
        <f>SUM(Tableau1[[#This Row],[Droits d''auteurs SACEM + cotisations SACEM]:[Autres ou non préciés]])</f>
        <v>0</v>
      </c>
      <c r="FW379" s="75">
        <f t="shared" si="231"/>
        <v>0</v>
      </c>
      <c r="FX379" s="74">
        <v>0</v>
      </c>
      <c r="FY379" s="74"/>
      <c r="FZ379" s="74"/>
      <c r="GA379" s="74"/>
      <c r="GB379" s="71">
        <f t="shared" si="232"/>
        <v>0</v>
      </c>
      <c r="GC379" s="92"/>
      <c r="GD379" s="92"/>
      <c r="GE379" s="67">
        <f t="shared" si="233"/>
        <v>0</v>
      </c>
      <c r="GF379" s="66"/>
      <c r="GG379" s="66"/>
      <c r="GH379" s="66"/>
      <c r="GI379" s="66"/>
      <c r="GJ379" s="77"/>
    </row>
    <row r="380" spans="1:192" ht="18.600000000000001" customHeight="1" x14ac:dyDescent="0.25">
      <c r="A380" s="89"/>
      <c r="B380" s="17"/>
      <c r="C380" s="50"/>
      <c r="D380" s="140"/>
      <c r="E380" s="51"/>
      <c r="F380" s="139">
        <f t="shared" si="237"/>
        <v>1</v>
      </c>
      <c r="G380" s="49"/>
      <c r="H380" s="50"/>
      <c r="I380" s="122"/>
      <c r="J380" s="49"/>
      <c r="K380" s="50"/>
      <c r="L380" s="50"/>
      <c r="M380" s="90"/>
      <c r="N380" s="50"/>
      <c r="O380" s="50"/>
      <c r="P380" s="90"/>
      <c r="Q380" s="52">
        <f t="shared" si="203"/>
        <v>0</v>
      </c>
      <c r="R380" s="52">
        <f t="shared" si="204"/>
        <v>0</v>
      </c>
      <c r="S380" s="53">
        <f t="shared" si="205"/>
        <v>0</v>
      </c>
      <c r="T380" s="54">
        <f t="shared" si="206"/>
        <v>0</v>
      </c>
      <c r="U380" s="115">
        <f>SUM(Tableau1[[#This Row],[Vente confiserie]:[Vente boisson]])</f>
        <v>0</v>
      </c>
      <c r="V380" s="95"/>
      <c r="W380" s="95"/>
      <c r="X380" s="136">
        <f>SUM(Tableau1[[#This Row],[Vente lunette]:[Location lunette]])</f>
        <v>0</v>
      </c>
      <c r="Y380" s="95"/>
      <c r="Z380" s="95"/>
      <c r="AA380" s="95"/>
      <c r="AB380" s="95"/>
      <c r="AC380" s="56">
        <f t="shared" si="235"/>
        <v>0</v>
      </c>
      <c r="AD380" s="57"/>
      <c r="AE380" s="57"/>
      <c r="AF380" s="57"/>
      <c r="AG380" s="57"/>
      <c r="AH380" s="57"/>
      <c r="AI380" s="57"/>
      <c r="AJ380" s="118">
        <f>(Tableau1[[#This Row],[Recette guichet ]]*1.1275177)-Tableau1[[#This Row],[Recette guichet ]]</f>
        <v>0</v>
      </c>
      <c r="AK380" s="57"/>
      <c r="AL380" s="56">
        <f t="shared" si="236"/>
        <v>0</v>
      </c>
      <c r="AM380" s="58"/>
      <c r="AN380" s="58"/>
      <c r="AO380" s="58"/>
      <c r="AP380" s="115">
        <f t="shared" si="207"/>
        <v>0</v>
      </c>
      <c r="AQ380" s="69"/>
      <c r="AR380" s="69"/>
      <c r="AS380" s="69"/>
      <c r="AT380" s="69"/>
      <c r="AU380" s="59">
        <f t="shared" si="208"/>
        <v>0</v>
      </c>
      <c r="AV380" s="60">
        <f t="shared" si="209"/>
        <v>0</v>
      </c>
      <c r="AW380" s="58"/>
      <c r="AX380" s="58"/>
      <c r="AY380" s="58"/>
      <c r="AZ380" s="60">
        <f t="shared" si="238"/>
        <v>0</v>
      </c>
      <c r="BA380" s="58"/>
      <c r="BB380" s="58"/>
      <c r="BC380" s="58"/>
      <c r="BD380" s="60">
        <f>SUM(Tableau1[[#This Row],[ticket/carte/abonnement périmé]:[Autres ou non précisé 5]])</f>
        <v>0</v>
      </c>
      <c r="BE380" s="58"/>
      <c r="BF380" s="58"/>
      <c r="BG380" s="58"/>
      <c r="BH380" s="61">
        <f t="shared" si="210"/>
        <v>0</v>
      </c>
      <c r="BI380" s="120"/>
      <c r="BJ380" s="120"/>
      <c r="BK380" s="62">
        <f t="shared" si="211"/>
        <v>0</v>
      </c>
      <c r="BL380" s="120"/>
      <c r="BM380" s="120"/>
      <c r="BN380" s="120"/>
      <c r="BO380" s="120"/>
      <c r="BP380" s="120"/>
      <c r="BQ380" s="63"/>
      <c r="BR380" s="52">
        <f t="shared" si="212"/>
        <v>0</v>
      </c>
      <c r="BS380" s="52">
        <f t="shared" si="213"/>
        <v>0</v>
      </c>
      <c r="BT380" s="61">
        <f t="shared" si="214"/>
        <v>0</v>
      </c>
      <c r="BU380" s="64">
        <f t="shared" si="215"/>
        <v>0</v>
      </c>
      <c r="BV380" s="119">
        <f>SUM(Tableau1[[#This Row],[Achats confiserie]:[Achats boisson]])</f>
        <v>0</v>
      </c>
      <c r="BW380" s="58"/>
      <c r="BX380" s="69"/>
      <c r="BY380" s="58"/>
      <c r="BZ380" s="56">
        <f t="shared" si="216"/>
        <v>0</v>
      </c>
      <c r="CA380" s="66"/>
      <c r="CB380" s="66"/>
      <c r="CC380" s="56">
        <f t="shared" si="217"/>
        <v>0</v>
      </c>
      <c r="CD380" s="55"/>
      <c r="CE380" s="65"/>
      <c r="CF380" s="55"/>
      <c r="CG380" s="55"/>
      <c r="CH380" s="67">
        <f t="shared" si="218"/>
        <v>0</v>
      </c>
      <c r="CI380" s="68">
        <f t="shared" si="234"/>
        <v>0</v>
      </c>
      <c r="CJ380" s="55"/>
      <c r="CK380" s="55"/>
      <c r="CL380" s="55"/>
      <c r="CM380" s="55"/>
      <c r="CN380" s="55"/>
      <c r="CO380" s="68">
        <f t="shared" si="219"/>
        <v>0</v>
      </c>
      <c r="CP380" s="75">
        <f>SUM(Tableau1[[#This Row],[Fourniture eau]:[Energie (non précisé)]])</f>
        <v>0</v>
      </c>
      <c r="CQ380" s="55"/>
      <c r="CR380" s="55"/>
      <c r="CS380" s="55"/>
      <c r="CT380" s="55"/>
      <c r="CU380" s="55"/>
      <c r="CV380" s="55">
        <v>0</v>
      </c>
      <c r="CW380" s="55"/>
      <c r="CX380" s="68">
        <f>SUM(Tableau1[[#This Row],[Sous-traitance]:[Autres ou non précisé 12]])</f>
        <v>0</v>
      </c>
      <c r="CY380" s="65"/>
      <c r="CZ380" s="65"/>
      <c r="DA380" s="65"/>
      <c r="DB380" s="65"/>
      <c r="DC380" s="55"/>
      <c r="DD380" s="68">
        <f t="shared" si="239"/>
        <v>0</v>
      </c>
      <c r="DE380" s="55"/>
      <c r="DF380" s="65"/>
      <c r="DG380" s="65"/>
      <c r="DH380" s="65"/>
      <c r="DI380" s="68">
        <f>SUM(Tableau1[[#This Row],[Entretien et réparation matériel de projection]:[Autres ou non précisé 14]])</f>
        <v>0</v>
      </c>
      <c r="DJ380" s="58"/>
      <c r="DK380" s="58"/>
      <c r="DL380" s="69"/>
      <c r="DM380" s="68">
        <f t="shared" si="220"/>
        <v>0</v>
      </c>
      <c r="DN380" s="58"/>
      <c r="DO380" s="58"/>
      <c r="DP380" s="68">
        <f t="shared" si="221"/>
        <v>0</v>
      </c>
      <c r="DQ380" s="65"/>
      <c r="DR380" s="65"/>
      <c r="DS380" s="68">
        <f t="shared" si="222"/>
        <v>0</v>
      </c>
      <c r="DT380" s="65"/>
      <c r="DU380" s="65"/>
      <c r="DV380" s="65"/>
      <c r="DW380" s="68">
        <f>SUM(Tableau1[[#This Row],[Comission et courtage sur achats]:[Autres ou honoraires
 non précisé ]])</f>
        <v>0</v>
      </c>
      <c r="DX380" s="57"/>
      <c r="DY380" s="57"/>
      <c r="DZ380" s="65"/>
      <c r="EA380" s="65"/>
      <c r="EB380" s="65"/>
      <c r="EC380" s="68">
        <f t="shared" si="223"/>
        <v>0</v>
      </c>
      <c r="ED380" s="69"/>
      <c r="EE380" s="69"/>
      <c r="EF380" s="69"/>
      <c r="EG380" s="69"/>
      <c r="EH380" s="69"/>
      <c r="EI380" s="84">
        <f>SUM(Tableau1[[#This Row],[Transports sur films]:[autres ]])</f>
        <v>0</v>
      </c>
      <c r="EJ380" s="132">
        <v>0</v>
      </c>
      <c r="EK380" s="132"/>
      <c r="EL380" s="68">
        <f t="shared" si="224"/>
        <v>0</v>
      </c>
      <c r="EM380" s="65"/>
      <c r="EN380" s="65">
        <v>0</v>
      </c>
      <c r="EO380" s="65"/>
      <c r="EP380" s="65"/>
      <c r="EQ380" s="65"/>
      <c r="ER380" s="65"/>
      <c r="ES380" s="65"/>
      <c r="ET380" s="68">
        <f t="shared" si="225"/>
        <v>0</v>
      </c>
      <c r="EU380" s="65"/>
      <c r="EV380" s="65"/>
      <c r="EW380" s="65"/>
      <c r="EX380" s="65"/>
      <c r="EY380" s="65"/>
      <c r="EZ380" s="68">
        <f t="shared" si="241"/>
        <v>0</v>
      </c>
      <c r="FA380" s="65"/>
      <c r="FB380" s="65"/>
      <c r="FC380" s="70">
        <f t="shared" si="240"/>
        <v>0</v>
      </c>
      <c r="FD380" s="65"/>
      <c r="FE380" s="71">
        <f t="shared" si="226"/>
        <v>0</v>
      </c>
      <c r="FF380" s="72">
        <f t="shared" si="227"/>
        <v>0</v>
      </c>
      <c r="FG380" s="65"/>
      <c r="FH380" s="65"/>
      <c r="FI380" s="65"/>
      <c r="FJ380" s="56">
        <f t="shared" si="228"/>
        <v>0</v>
      </c>
      <c r="FK380" s="65"/>
      <c r="FL380" s="65"/>
      <c r="FM380" s="65"/>
      <c r="FN380" s="65"/>
      <c r="FO380" s="67">
        <f t="shared" si="229"/>
        <v>0</v>
      </c>
      <c r="FP380" s="57"/>
      <c r="FQ380" s="73"/>
      <c r="FR380" s="73"/>
      <c r="FS380" s="71">
        <f t="shared" si="230"/>
        <v>0</v>
      </c>
      <c r="FT380" s="91"/>
      <c r="FU380" s="91"/>
      <c r="FV380" s="67">
        <f>SUM(Tableau1[[#This Row],[Droits d''auteurs SACEM + cotisations SACEM]:[Autres ou non préciés]])</f>
        <v>0</v>
      </c>
      <c r="FW380" s="75">
        <f t="shared" si="231"/>
        <v>0</v>
      </c>
      <c r="FX380" s="74">
        <v>0</v>
      </c>
      <c r="FY380" s="74"/>
      <c r="FZ380" s="74"/>
      <c r="GA380" s="74"/>
      <c r="GB380" s="71">
        <f t="shared" si="232"/>
        <v>0</v>
      </c>
      <c r="GC380" s="92"/>
      <c r="GD380" s="92"/>
      <c r="GE380" s="67">
        <f t="shared" si="233"/>
        <v>0</v>
      </c>
      <c r="GF380" s="66"/>
      <c r="GG380" s="66"/>
      <c r="GH380" s="66"/>
      <c r="GI380" s="66"/>
      <c r="GJ380" s="77"/>
    </row>
    <row r="381" spans="1:192" ht="18.600000000000001" customHeight="1" x14ac:dyDescent="0.25">
      <c r="A381" s="89"/>
      <c r="B381" s="17"/>
      <c r="C381" s="50"/>
      <c r="D381" s="140"/>
      <c r="E381" s="51"/>
      <c r="F381" s="139">
        <f t="shared" si="237"/>
        <v>1</v>
      </c>
      <c r="G381" s="49"/>
      <c r="H381" s="50"/>
      <c r="I381" s="122"/>
      <c r="J381" s="49"/>
      <c r="K381" s="50"/>
      <c r="L381" s="50"/>
      <c r="M381" s="90"/>
      <c r="N381" s="50"/>
      <c r="O381" s="50"/>
      <c r="P381" s="90"/>
      <c r="Q381" s="52">
        <f t="shared" si="203"/>
        <v>0</v>
      </c>
      <c r="R381" s="52">
        <f t="shared" si="204"/>
        <v>0</v>
      </c>
      <c r="S381" s="53">
        <f t="shared" si="205"/>
        <v>0</v>
      </c>
      <c r="T381" s="54">
        <f t="shared" si="206"/>
        <v>0</v>
      </c>
      <c r="U381" s="115">
        <f>SUM(Tableau1[[#This Row],[Vente confiserie]:[Vente boisson]])</f>
        <v>0</v>
      </c>
      <c r="V381" s="95"/>
      <c r="W381" s="95"/>
      <c r="X381" s="136">
        <f>SUM(Tableau1[[#This Row],[Vente lunette]:[Location lunette]])</f>
        <v>0</v>
      </c>
      <c r="Y381" s="95"/>
      <c r="Z381" s="95"/>
      <c r="AA381" s="95"/>
      <c r="AB381" s="95"/>
      <c r="AC381" s="56">
        <f t="shared" si="235"/>
        <v>0</v>
      </c>
      <c r="AD381" s="57"/>
      <c r="AE381" s="57"/>
      <c r="AF381" s="57"/>
      <c r="AG381" s="57"/>
      <c r="AH381" s="57"/>
      <c r="AI381" s="57"/>
      <c r="AJ381" s="118">
        <f>(Tableau1[[#This Row],[Recette guichet ]]*1.1275177)-Tableau1[[#This Row],[Recette guichet ]]</f>
        <v>0</v>
      </c>
      <c r="AK381" s="57"/>
      <c r="AL381" s="56">
        <f t="shared" si="236"/>
        <v>0</v>
      </c>
      <c r="AM381" s="58"/>
      <c r="AN381" s="58"/>
      <c r="AO381" s="58"/>
      <c r="AP381" s="115">
        <f t="shared" si="207"/>
        <v>0</v>
      </c>
      <c r="AQ381" s="69"/>
      <c r="AR381" s="69"/>
      <c r="AS381" s="69"/>
      <c r="AT381" s="69"/>
      <c r="AU381" s="59">
        <f t="shared" si="208"/>
        <v>0</v>
      </c>
      <c r="AV381" s="60">
        <f t="shared" si="209"/>
        <v>0</v>
      </c>
      <c r="AW381" s="58"/>
      <c r="AX381" s="58"/>
      <c r="AY381" s="58"/>
      <c r="AZ381" s="60">
        <f t="shared" si="238"/>
        <v>0</v>
      </c>
      <c r="BA381" s="58"/>
      <c r="BB381" s="58"/>
      <c r="BC381" s="58"/>
      <c r="BD381" s="60">
        <f>SUM(Tableau1[[#This Row],[ticket/carte/abonnement périmé]:[Autres ou non précisé 5]])</f>
        <v>0</v>
      </c>
      <c r="BE381" s="58"/>
      <c r="BF381" s="58"/>
      <c r="BG381" s="58"/>
      <c r="BH381" s="61">
        <f t="shared" si="210"/>
        <v>0</v>
      </c>
      <c r="BI381" s="120"/>
      <c r="BJ381" s="120"/>
      <c r="BK381" s="62">
        <f t="shared" si="211"/>
        <v>0</v>
      </c>
      <c r="BL381" s="120"/>
      <c r="BM381" s="120"/>
      <c r="BN381" s="120"/>
      <c r="BO381" s="120"/>
      <c r="BP381" s="120"/>
      <c r="BQ381" s="63"/>
      <c r="BR381" s="52">
        <f t="shared" si="212"/>
        <v>0</v>
      </c>
      <c r="BS381" s="52">
        <f t="shared" si="213"/>
        <v>0</v>
      </c>
      <c r="BT381" s="61">
        <f t="shared" si="214"/>
        <v>0</v>
      </c>
      <c r="BU381" s="64">
        <f t="shared" si="215"/>
        <v>0</v>
      </c>
      <c r="BV381" s="119">
        <f>SUM(Tableau1[[#This Row],[Achats confiserie]:[Achats boisson]])</f>
        <v>0</v>
      </c>
      <c r="BW381" s="58"/>
      <c r="BX381" s="69"/>
      <c r="BY381" s="58"/>
      <c r="BZ381" s="56">
        <f t="shared" si="216"/>
        <v>0</v>
      </c>
      <c r="CA381" s="66"/>
      <c r="CB381" s="66"/>
      <c r="CC381" s="56">
        <f t="shared" si="217"/>
        <v>0</v>
      </c>
      <c r="CD381" s="55"/>
      <c r="CE381" s="65"/>
      <c r="CF381" s="55"/>
      <c r="CG381" s="55"/>
      <c r="CH381" s="67">
        <f t="shared" si="218"/>
        <v>0</v>
      </c>
      <c r="CI381" s="68">
        <f t="shared" si="234"/>
        <v>0</v>
      </c>
      <c r="CJ381" s="55"/>
      <c r="CK381" s="55"/>
      <c r="CL381" s="55"/>
      <c r="CM381" s="55"/>
      <c r="CN381" s="55"/>
      <c r="CO381" s="68">
        <f t="shared" si="219"/>
        <v>0</v>
      </c>
      <c r="CP381" s="75">
        <f>SUM(Tableau1[[#This Row],[Fourniture eau]:[Energie (non précisé)]])</f>
        <v>0</v>
      </c>
      <c r="CQ381" s="55"/>
      <c r="CR381" s="55"/>
      <c r="CS381" s="55"/>
      <c r="CT381" s="55"/>
      <c r="CU381" s="55"/>
      <c r="CV381" s="55">
        <v>0</v>
      </c>
      <c r="CW381" s="55"/>
      <c r="CX381" s="68">
        <f>SUM(Tableau1[[#This Row],[Sous-traitance]:[Autres ou non précisé 12]])</f>
        <v>0</v>
      </c>
      <c r="CY381" s="65"/>
      <c r="CZ381" s="65"/>
      <c r="DA381" s="65"/>
      <c r="DB381" s="65"/>
      <c r="DC381" s="55"/>
      <c r="DD381" s="68">
        <f t="shared" si="239"/>
        <v>0</v>
      </c>
      <c r="DE381" s="55"/>
      <c r="DF381" s="65"/>
      <c r="DG381" s="65"/>
      <c r="DH381" s="65"/>
      <c r="DI381" s="68">
        <f>SUM(Tableau1[[#This Row],[Entretien et réparation matériel de projection]:[Autres ou non précisé 14]])</f>
        <v>0</v>
      </c>
      <c r="DJ381" s="58"/>
      <c r="DK381" s="58"/>
      <c r="DL381" s="69"/>
      <c r="DM381" s="68">
        <f t="shared" si="220"/>
        <v>0</v>
      </c>
      <c r="DN381" s="58"/>
      <c r="DO381" s="58"/>
      <c r="DP381" s="68">
        <f t="shared" si="221"/>
        <v>0</v>
      </c>
      <c r="DQ381" s="65"/>
      <c r="DR381" s="65"/>
      <c r="DS381" s="68">
        <f t="shared" si="222"/>
        <v>0</v>
      </c>
      <c r="DT381" s="65"/>
      <c r="DU381" s="65"/>
      <c r="DV381" s="65"/>
      <c r="DW381" s="68">
        <f>SUM(Tableau1[[#This Row],[Comission et courtage sur achats]:[Autres ou honoraires
 non précisé ]])</f>
        <v>0</v>
      </c>
      <c r="DX381" s="57"/>
      <c r="DY381" s="57"/>
      <c r="DZ381" s="65"/>
      <c r="EA381" s="65"/>
      <c r="EB381" s="65"/>
      <c r="EC381" s="68">
        <f t="shared" si="223"/>
        <v>0</v>
      </c>
      <c r="ED381" s="69"/>
      <c r="EE381" s="69"/>
      <c r="EF381" s="69"/>
      <c r="EG381" s="69"/>
      <c r="EH381" s="69"/>
      <c r="EI381" s="84">
        <f>SUM(Tableau1[[#This Row],[Transports sur films]:[autres ]])</f>
        <v>0</v>
      </c>
      <c r="EJ381" s="132">
        <v>0</v>
      </c>
      <c r="EK381" s="132"/>
      <c r="EL381" s="68">
        <f t="shared" si="224"/>
        <v>0</v>
      </c>
      <c r="EM381" s="65"/>
      <c r="EN381" s="65">
        <v>0</v>
      </c>
      <c r="EO381" s="65"/>
      <c r="EP381" s="65"/>
      <c r="EQ381" s="65"/>
      <c r="ER381" s="65"/>
      <c r="ES381" s="65"/>
      <c r="ET381" s="68">
        <f t="shared" si="225"/>
        <v>0</v>
      </c>
      <c r="EU381" s="65"/>
      <c r="EV381" s="65"/>
      <c r="EW381" s="65"/>
      <c r="EX381" s="65"/>
      <c r="EY381" s="65"/>
      <c r="EZ381" s="68">
        <f t="shared" si="241"/>
        <v>0</v>
      </c>
      <c r="FA381" s="65"/>
      <c r="FB381" s="65"/>
      <c r="FC381" s="70">
        <f t="shared" si="240"/>
        <v>0</v>
      </c>
      <c r="FD381" s="65"/>
      <c r="FE381" s="71">
        <f t="shared" si="226"/>
        <v>0</v>
      </c>
      <c r="FF381" s="72">
        <f t="shared" si="227"/>
        <v>0</v>
      </c>
      <c r="FG381" s="65"/>
      <c r="FH381" s="65"/>
      <c r="FI381" s="65"/>
      <c r="FJ381" s="56">
        <f t="shared" si="228"/>
        <v>0</v>
      </c>
      <c r="FK381" s="65"/>
      <c r="FL381" s="65"/>
      <c r="FM381" s="65"/>
      <c r="FN381" s="65"/>
      <c r="FO381" s="67">
        <f t="shared" si="229"/>
        <v>0</v>
      </c>
      <c r="FP381" s="57"/>
      <c r="FQ381" s="73"/>
      <c r="FR381" s="73"/>
      <c r="FS381" s="71">
        <f t="shared" si="230"/>
        <v>0</v>
      </c>
      <c r="FT381" s="91"/>
      <c r="FU381" s="91"/>
      <c r="FV381" s="67">
        <f>SUM(Tableau1[[#This Row],[Droits d''auteurs SACEM + cotisations SACEM]:[Autres ou non préciés]])</f>
        <v>0</v>
      </c>
      <c r="FW381" s="75">
        <f t="shared" si="231"/>
        <v>0</v>
      </c>
      <c r="FX381" s="74">
        <v>0</v>
      </c>
      <c r="FY381" s="74"/>
      <c r="FZ381" s="74"/>
      <c r="GA381" s="74"/>
      <c r="GB381" s="71">
        <f t="shared" si="232"/>
        <v>0</v>
      </c>
      <c r="GC381" s="92"/>
      <c r="GD381" s="92"/>
      <c r="GE381" s="67">
        <f t="shared" si="233"/>
        <v>0</v>
      </c>
      <c r="GF381" s="66"/>
      <c r="GG381" s="66"/>
      <c r="GH381" s="66"/>
      <c r="GI381" s="66"/>
      <c r="GJ381" s="77"/>
    </row>
    <row r="382" spans="1:192" ht="18.600000000000001" customHeight="1" x14ac:dyDescent="0.25">
      <c r="A382" s="89"/>
      <c r="B382" s="17"/>
      <c r="C382" s="50"/>
      <c r="D382" s="140"/>
      <c r="E382" s="51"/>
      <c r="F382" s="139">
        <f t="shared" si="237"/>
        <v>1</v>
      </c>
      <c r="G382" s="49"/>
      <c r="H382" s="50"/>
      <c r="I382" s="122"/>
      <c r="J382" s="49"/>
      <c r="K382" s="50"/>
      <c r="L382" s="50"/>
      <c r="M382" s="90"/>
      <c r="N382" s="50"/>
      <c r="O382" s="50"/>
      <c r="P382" s="90"/>
      <c r="Q382" s="52">
        <f t="shared" si="203"/>
        <v>0</v>
      </c>
      <c r="R382" s="52">
        <f t="shared" si="204"/>
        <v>0</v>
      </c>
      <c r="S382" s="53">
        <f t="shared" si="205"/>
        <v>0</v>
      </c>
      <c r="T382" s="54">
        <f t="shared" si="206"/>
        <v>0</v>
      </c>
      <c r="U382" s="115">
        <f>SUM(Tableau1[[#This Row],[Vente confiserie]:[Vente boisson]])</f>
        <v>0</v>
      </c>
      <c r="V382" s="95"/>
      <c r="W382" s="95"/>
      <c r="X382" s="136">
        <f>SUM(Tableau1[[#This Row],[Vente lunette]:[Location lunette]])</f>
        <v>0</v>
      </c>
      <c r="Y382" s="95"/>
      <c r="Z382" s="95"/>
      <c r="AA382" s="95"/>
      <c r="AB382" s="95"/>
      <c r="AC382" s="56">
        <f t="shared" si="235"/>
        <v>0</v>
      </c>
      <c r="AD382" s="57"/>
      <c r="AE382" s="57"/>
      <c r="AF382" s="57"/>
      <c r="AG382" s="57"/>
      <c r="AH382" s="57"/>
      <c r="AI382" s="57"/>
      <c r="AJ382" s="118">
        <f>(Tableau1[[#This Row],[Recette guichet ]]*1.1275177)-Tableau1[[#This Row],[Recette guichet ]]</f>
        <v>0</v>
      </c>
      <c r="AK382" s="57"/>
      <c r="AL382" s="56">
        <f t="shared" si="236"/>
        <v>0</v>
      </c>
      <c r="AM382" s="58"/>
      <c r="AN382" s="58"/>
      <c r="AO382" s="58"/>
      <c r="AP382" s="115">
        <f t="shared" si="207"/>
        <v>0</v>
      </c>
      <c r="AQ382" s="69"/>
      <c r="AR382" s="69"/>
      <c r="AS382" s="69"/>
      <c r="AT382" s="69"/>
      <c r="AU382" s="59">
        <f t="shared" si="208"/>
        <v>0</v>
      </c>
      <c r="AV382" s="60">
        <f t="shared" si="209"/>
        <v>0</v>
      </c>
      <c r="AW382" s="58"/>
      <c r="AX382" s="58"/>
      <c r="AY382" s="58"/>
      <c r="AZ382" s="60">
        <f t="shared" si="238"/>
        <v>0</v>
      </c>
      <c r="BA382" s="58"/>
      <c r="BB382" s="58"/>
      <c r="BC382" s="58"/>
      <c r="BD382" s="60">
        <f>SUM(Tableau1[[#This Row],[ticket/carte/abonnement périmé]:[Autres ou non précisé 5]])</f>
        <v>0</v>
      </c>
      <c r="BE382" s="58"/>
      <c r="BF382" s="58"/>
      <c r="BG382" s="58"/>
      <c r="BH382" s="61">
        <f t="shared" si="210"/>
        <v>0</v>
      </c>
      <c r="BI382" s="120"/>
      <c r="BJ382" s="120"/>
      <c r="BK382" s="62">
        <f t="shared" si="211"/>
        <v>0</v>
      </c>
      <c r="BL382" s="120"/>
      <c r="BM382" s="120"/>
      <c r="BN382" s="120"/>
      <c r="BO382" s="120"/>
      <c r="BP382" s="120"/>
      <c r="BQ382" s="63"/>
      <c r="BR382" s="52">
        <f t="shared" si="212"/>
        <v>0</v>
      </c>
      <c r="BS382" s="52">
        <f t="shared" si="213"/>
        <v>0</v>
      </c>
      <c r="BT382" s="61">
        <f t="shared" si="214"/>
        <v>0</v>
      </c>
      <c r="BU382" s="64">
        <f t="shared" si="215"/>
        <v>0</v>
      </c>
      <c r="BV382" s="119">
        <f>SUM(Tableau1[[#This Row],[Achats confiserie]:[Achats boisson]])</f>
        <v>0</v>
      </c>
      <c r="BW382" s="58"/>
      <c r="BX382" s="69"/>
      <c r="BY382" s="58"/>
      <c r="BZ382" s="56">
        <f t="shared" si="216"/>
        <v>0</v>
      </c>
      <c r="CA382" s="66"/>
      <c r="CB382" s="66"/>
      <c r="CC382" s="56">
        <f t="shared" si="217"/>
        <v>0</v>
      </c>
      <c r="CD382" s="55"/>
      <c r="CE382" s="65"/>
      <c r="CF382" s="55"/>
      <c r="CG382" s="55"/>
      <c r="CH382" s="67">
        <f t="shared" si="218"/>
        <v>0</v>
      </c>
      <c r="CI382" s="68">
        <f t="shared" si="234"/>
        <v>0</v>
      </c>
      <c r="CJ382" s="55"/>
      <c r="CK382" s="55"/>
      <c r="CL382" s="55"/>
      <c r="CM382" s="55"/>
      <c r="CN382" s="55"/>
      <c r="CO382" s="68">
        <f t="shared" si="219"/>
        <v>0</v>
      </c>
      <c r="CP382" s="75">
        <f>SUM(Tableau1[[#This Row],[Fourniture eau]:[Energie (non précisé)]])</f>
        <v>0</v>
      </c>
      <c r="CQ382" s="55"/>
      <c r="CR382" s="55"/>
      <c r="CS382" s="55"/>
      <c r="CT382" s="55"/>
      <c r="CU382" s="55"/>
      <c r="CV382" s="55">
        <v>0</v>
      </c>
      <c r="CW382" s="55"/>
      <c r="CX382" s="68">
        <f>SUM(Tableau1[[#This Row],[Sous-traitance]:[Autres ou non précisé 12]])</f>
        <v>0</v>
      </c>
      <c r="CY382" s="65"/>
      <c r="CZ382" s="65"/>
      <c r="DA382" s="65"/>
      <c r="DB382" s="65"/>
      <c r="DC382" s="55"/>
      <c r="DD382" s="68">
        <f t="shared" si="239"/>
        <v>0</v>
      </c>
      <c r="DE382" s="55"/>
      <c r="DF382" s="65"/>
      <c r="DG382" s="65"/>
      <c r="DH382" s="65"/>
      <c r="DI382" s="68">
        <f>SUM(Tableau1[[#This Row],[Entretien et réparation matériel de projection]:[Autres ou non précisé 14]])</f>
        <v>0</v>
      </c>
      <c r="DJ382" s="58"/>
      <c r="DK382" s="58"/>
      <c r="DL382" s="69"/>
      <c r="DM382" s="68">
        <f t="shared" si="220"/>
        <v>0</v>
      </c>
      <c r="DN382" s="58"/>
      <c r="DO382" s="58"/>
      <c r="DP382" s="68">
        <f t="shared" si="221"/>
        <v>0</v>
      </c>
      <c r="DQ382" s="65"/>
      <c r="DR382" s="65"/>
      <c r="DS382" s="68">
        <f t="shared" si="222"/>
        <v>0</v>
      </c>
      <c r="DT382" s="65"/>
      <c r="DU382" s="65"/>
      <c r="DV382" s="65"/>
      <c r="DW382" s="68">
        <f>SUM(Tableau1[[#This Row],[Comission et courtage sur achats]:[Autres ou honoraires
 non précisé ]])</f>
        <v>0</v>
      </c>
      <c r="DX382" s="57"/>
      <c r="DY382" s="57"/>
      <c r="DZ382" s="65"/>
      <c r="EA382" s="65"/>
      <c r="EB382" s="65"/>
      <c r="EC382" s="68">
        <f t="shared" si="223"/>
        <v>0</v>
      </c>
      <c r="ED382" s="69"/>
      <c r="EE382" s="69"/>
      <c r="EF382" s="69"/>
      <c r="EG382" s="69"/>
      <c r="EH382" s="69"/>
      <c r="EI382" s="84">
        <f>SUM(Tableau1[[#This Row],[Transports sur films]:[autres ]])</f>
        <v>0</v>
      </c>
      <c r="EJ382" s="132">
        <v>0</v>
      </c>
      <c r="EK382" s="132"/>
      <c r="EL382" s="68">
        <f t="shared" si="224"/>
        <v>0</v>
      </c>
      <c r="EM382" s="65"/>
      <c r="EN382" s="65">
        <v>0</v>
      </c>
      <c r="EO382" s="65"/>
      <c r="EP382" s="65"/>
      <c r="EQ382" s="65"/>
      <c r="ER382" s="65"/>
      <c r="ES382" s="65"/>
      <c r="ET382" s="68">
        <f t="shared" si="225"/>
        <v>0</v>
      </c>
      <c r="EU382" s="65"/>
      <c r="EV382" s="65"/>
      <c r="EW382" s="65"/>
      <c r="EX382" s="65"/>
      <c r="EY382" s="65"/>
      <c r="EZ382" s="68">
        <f t="shared" si="241"/>
        <v>0</v>
      </c>
      <c r="FA382" s="65"/>
      <c r="FB382" s="65"/>
      <c r="FC382" s="70">
        <f t="shared" si="240"/>
        <v>0</v>
      </c>
      <c r="FD382" s="65"/>
      <c r="FE382" s="71">
        <f t="shared" si="226"/>
        <v>0</v>
      </c>
      <c r="FF382" s="72">
        <f t="shared" si="227"/>
        <v>0</v>
      </c>
      <c r="FG382" s="65"/>
      <c r="FH382" s="65"/>
      <c r="FI382" s="65"/>
      <c r="FJ382" s="56">
        <f t="shared" si="228"/>
        <v>0</v>
      </c>
      <c r="FK382" s="65"/>
      <c r="FL382" s="65"/>
      <c r="FM382" s="65"/>
      <c r="FN382" s="65"/>
      <c r="FO382" s="67">
        <f t="shared" si="229"/>
        <v>0</v>
      </c>
      <c r="FP382" s="57"/>
      <c r="FQ382" s="73"/>
      <c r="FR382" s="73"/>
      <c r="FS382" s="71">
        <f t="shared" si="230"/>
        <v>0</v>
      </c>
      <c r="FT382" s="91"/>
      <c r="FU382" s="91"/>
      <c r="FV382" s="67">
        <f>SUM(Tableau1[[#This Row],[Droits d''auteurs SACEM + cotisations SACEM]:[Autres ou non préciés]])</f>
        <v>0</v>
      </c>
      <c r="FW382" s="75">
        <f t="shared" si="231"/>
        <v>0</v>
      </c>
      <c r="FX382" s="74">
        <v>0</v>
      </c>
      <c r="FY382" s="74"/>
      <c r="FZ382" s="74"/>
      <c r="GA382" s="74"/>
      <c r="GB382" s="71">
        <f t="shared" si="232"/>
        <v>0</v>
      </c>
      <c r="GC382" s="92"/>
      <c r="GD382" s="92"/>
      <c r="GE382" s="67">
        <f t="shared" si="233"/>
        <v>0</v>
      </c>
      <c r="GF382" s="66"/>
      <c r="GG382" s="66"/>
      <c r="GH382" s="66"/>
      <c r="GI382" s="66"/>
      <c r="GJ382" s="77"/>
    </row>
    <row r="383" spans="1:192" ht="18.600000000000001" customHeight="1" x14ac:dyDescent="0.25">
      <c r="A383" s="89"/>
      <c r="B383" s="17"/>
      <c r="C383" s="50"/>
      <c r="D383" s="140"/>
      <c r="E383" s="51"/>
      <c r="F383" s="139">
        <f t="shared" si="237"/>
        <v>1</v>
      </c>
      <c r="G383" s="49"/>
      <c r="H383" s="50"/>
      <c r="I383" s="122"/>
      <c r="J383" s="49"/>
      <c r="K383" s="50"/>
      <c r="L383" s="50"/>
      <c r="M383" s="90"/>
      <c r="N383" s="50"/>
      <c r="O383" s="50"/>
      <c r="P383" s="90"/>
      <c r="Q383" s="52">
        <f t="shared" si="203"/>
        <v>0</v>
      </c>
      <c r="R383" s="52">
        <f t="shared" si="204"/>
        <v>0</v>
      </c>
      <c r="S383" s="53">
        <f t="shared" si="205"/>
        <v>0</v>
      </c>
      <c r="T383" s="54">
        <f t="shared" si="206"/>
        <v>0</v>
      </c>
      <c r="U383" s="115">
        <f>SUM(Tableau1[[#This Row],[Vente confiserie]:[Vente boisson]])</f>
        <v>0</v>
      </c>
      <c r="V383" s="95"/>
      <c r="W383" s="95"/>
      <c r="X383" s="136">
        <f>SUM(Tableau1[[#This Row],[Vente lunette]:[Location lunette]])</f>
        <v>0</v>
      </c>
      <c r="Y383" s="95"/>
      <c r="Z383" s="95"/>
      <c r="AA383" s="95"/>
      <c r="AB383" s="95"/>
      <c r="AC383" s="56">
        <f t="shared" si="235"/>
        <v>0</v>
      </c>
      <c r="AD383" s="57"/>
      <c r="AE383" s="57"/>
      <c r="AF383" s="57"/>
      <c r="AG383" s="57"/>
      <c r="AH383" s="57"/>
      <c r="AI383" s="57"/>
      <c r="AJ383" s="118">
        <f>(Tableau1[[#This Row],[Recette guichet ]]*1.1275177)-Tableau1[[#This Row],[Recette guichet ]]</f>
        <v>0</v>
      </c>
      <c r="AK383" s="57"/>
      <c r="AL383" s="56">
        <f t="shared" si="236"/>
        <v>0</v>
      </c>
      <c r="AM383" s="58"/>
      <c r="AN383" s="58"/>
      <c r="AO383" s="58"/>
      <c r="AP383" s="115">
        <f t="shared" si="207"/>
        <v>0</v>
      </c>
      <c r="AQ383" s="69"/>
      <c r="AR383" s="69"/>
      <c r="AS383" s="69"/>
      <c r="AT383" s="69"/>
      <c r="AU383" s="59">
        <f t="shared" si="208"/>
        <v>0</v>
      </c>
      <c r="AV383" s="60">
        <f t="shared" si="209"/>
        <v>0</v>
      </c>
      <c r="AW383" s="58"/>
      <c r="AX383" s="58"/>
      <c r="AY383" s="58"/>
      <c r="AZ383" s="60">
        <f t="shared" si="238"/>
        <v>0</v>
      </c>
      <c r="BA383" s="58"/>
      <c r="BB383" s="58"/>
      <c r="BC383" s="58"/>
      <c r="BD383" s="60">
        <f>SUM(Tableau1[[#This Row],[ticket/carte/abonnement périmé]:[Autres ou non précisé 5]])</f>
        <v>0</v>
      </c>
      <c r="BE383" s="58"/>
      <c r="BF383" s="58"/>
      <c r="BG383" s="58"/>
      <c r="BH383" s="61">
        <f t="shared" si="210"/>
        <v>0</v>
      </c>
      <c r="BI383" s="120"/>
      <c r="BJ383" s="120"/>
      <c r="BK383" s="62">
        <f t="shared" si="211"/>
        <v>0</v>
      </c>
      <c r="BL383" s="120"/>
      <c r="BM383" s="120"/>
      <c r="BN383" s="120"/>
      <c r="BO383" s="120"/>
      <c r="BP383" s="120"/>
      <c r="BQ383" s="63"/>
      <c r="BR383" s="52">
        <f t="shared" si="212"/>
        <v>0</v>
      </c>
      <c r="BS383" s="52">
        <f t="shared" si="213"/>
        <v>0</v>
      </c>
      <c r="BT383" s="61">
        <f t="shared" si="214"/>
        <v>0</v>
      </c>
      <c r="BU383" s="64">
        <f t="shared" si="215"/>
        <v>0</v>
      </c>
      <c r="BV383" s="119">
        <f>SUM(Tableau1[[#This Row],[Achats confiserie]:[Achats boisson]])</f>
        <v>0</v>
      </c>
      <c r="BW383" s="58"/>
      <c r="BX383" s="69"/>
      <c r="BY383" s="58"/>
      <c r="BZ383" s="56">
        <f t="shared" si="216"/>
        <v>0</v>
      </c>
      <c r="CA383" s="66"/>
      <c r="CB383" s="66"/>
      <c r="CC383" s="56">
        <f t="shared" si="217"/>
        <v>0</v>
      </c>
      <c r="CD383" s="55"/>
      <c r="CE383" s="65"/>
      <c r="CF383" s="55"/>
      <c r="CG383" s="55"/>
      <c r="CH383" s="67">
        <f t="shared" si="218"/>
        <v>0</v>
      </c>
      <c r="CI383" s="68">
        <f t="shared" si="234"/>
        <v>0</v>
      </c>
      <c r="CJ383" s="55"/>
      <c r="CK383" s="55"/>
      <c r="CL383" s="55"/>
      <c r="CM383" s="55"/>
      <c r="CN383" s="55"/>
      <c r="CO383" s="68">
        <f t="shared" si="219"/>
        <v>0</v>
      </c>
      <c r="CP383" s="75">
        <f>SUM(Tableau1[[#This Row],[Fourniture eau]:[Energie (non précisé)]])</f>
        <v>0</v>
      </c>
      <c r="CQ383" s="55"/>
      <c r="CR383" s="55"/>
      <c r="CS383" s="55"/>
      <c r="CT383" s="55"/>
      <c r="CU383" s="55"/>
      <c r="CV383" s="55">
        <v>0</v>
      </c>
      <c r="CW383" s="55"/>
      <c r="CX383" s="68">
        <f>SUM(Tableau1[[#This Row],[Sous-traitance]:[Autres ou non précisé 12]])</f>
        <v>0</v>
      </c>
      <c r="CY383" s="65"/>
      <c r="CZ383" s="65"/>
      <c r="DA383" s="65"/>
      <c r="DB383" s="65"/>
      <c r="DC383" s="55"/>
      <c r="DD383" s="68">
        <f t="shared" si="239"/>
        <v>0</v>
      </c>
      <c r="DE383" s="55"/>
      <c r="DF383" s="65"/>
      <c r="DG383" s="65"/>
      <c r="DH383" s="65"/>
      <c r="DI383" s="68">
        <f>SUM(Tableau1[[#This Row],[Entretien et réparation matériel de projection]:[Autres ou non précisé 14]])</f>
        <v>0</v>
      </c>
      <c r="DJ383" s="58"/>
      <c r="DK383" s="58"/>
      <c r="DL383" s="69"/>
      <c r="DM383" s="68">
        <f t="shared" si="220"/>
        <v>0</v>
      </c>
      <c r="DN383" s="58"/>
      <c r="DO383" s="58"/>
      <c r="DP383" s="68">
        <f t="shared" si="221"/>
        <v>0</v>
      </c>
      <c r="DQ383" s="65"/>
      <c r="DR383" s="65"/>
      <c r="DS383" s="68">
        <f t="shared" si="222"/>
        <v>0</v>
      </c>
      <c r="DT383" s="65"/>
      <c r="DU383" s="65"/>
      <c r="DV383" s="65"/>
      <c r="DW383" s="68">
        <f>SUM(Tableau1[[#This Row],[Comission et courtage sur achats]:[Autres ou honoraires
 non précisé ]])</f>
        <v>0</v>
      </c>
      <c r="DX383" s="57"/>
      <c r="DY383" s="57"/>
      <c r="DZ383" s="65"/>
      <c r="EA383" s="65"/>
      <c r="EB383" s="65"/>
      <c r="EC383" s="68">
        <f t="shared" si="223"/>
        <v>0</v>
      </c>
      <c r="ED383" s="69"/>
      <c r="EE383" s="69"/>
      <c r="EF383" s="69"/>
      <c r="EG383" s="69"/>
      <c r="EH383" s="69"/>
      <c r="EI383" s="84">
        <f>SUM(Tableau1[[#This Row],[Transports sur films]:[autres ]])</f>
        <v>0</v>
      </c>
      <c r="EJ383" s="132">
        <v>0</v>
      </c>
      <c r="EK383" s="132"/>
      <c r="EL383" s="68">
        <f t="shared" si="224"/>
        <v>0</v>
      </c>
      <c r="EM383" s="65"/>
      <c r="EN383" s="65">
        <v>0</v>
      </c>
      <c r="EO383" s="65"/>
      <c r="EP383" s="65"/>
      <c r="EQ383" s="65"/>
      <c r="ER383" s="65"/>
      <c r="ES383" s="65"/>
      <c r="ET383" s="68">
        <f t="shared" si="225"/>
        <v>0</v>
      </c>
      <c r="EU383" s="65"/>
      <c r="EV383" s="65"/>
      <c r="EW383" s="65"/>
      <c r="EX383" s="65"/>
      <c r="EY383" s="65"/>
      <c r="EZ383" s="68">
        <f t="shared" si="241"/>
        <v>0</v>
      </c>
      <c r="FA383" s="65"/>
      <c r="FB383" s="65"/>
      <c r="FC383" s="70">
        <f t="shared" si="240"/>
        <v>0</v>
      </c>
      <c r="FD383" s="65"/>
      <c r="FE383" s="71">
        <f t="shared" si="226"/>
        <v>0</v>
      </c>
      <c r="FF383" s="72">
        <f t="shared" si="227"/>
        <v>0</v>
      </c>
      <c r="FG383" s="65"/>
      <c r="FH383" s="65"/>
      <c r="FI383" s="65"/>
      <c r="FJ383" s="56">
        <f t="shared" si="228"/>
        <v>0</v>
      </c>
      <c r="FK383" s="65"/>
      <c r="FL383" s="65"/>
      <c r="FM383" s="65"/>
      <c r="FN383" s="65"/>
      <c r="FO383" s="67">
        <f t="shared" si="229"/>
        <v>0</v>
      </c>
      <c r="FP383" s="57"/>
      <c r="FQ383" s="73"/>
      <c r="FR383" s="73"/>
      <c r="FS383" s="71">
        <f t="shared" si="230"/>
        <v>0</v>
      </c>
      <c r="FT383" s="91"/>
      <c r="FU383" s="91"/>
      <c r="FV383" s="67">
        <f>SUM(Tableau1[[#This Row],[Droits d''auteurs SACEM + cotisations SACEM]:[Autres ou non préciés]])</f>
        <v>0</v>
      </c>
      <c r="FW383" s="75">
        <f t="shared" si="231"/>
        <v>0</v>
      </c>
      <c r="FX383" s="74">
        <v>0</v>
      </c>
      <c r="FY383" s="74"/>
      <c r="FZ383" s="74"/>
      <c r="GA383" s="74"/>
      <c r="GB383" s="71">
        <f t="shared" si="232"/>
        <v>0</v>
      </c>
      <c r="GC383" s="92"/>
      <c r="GD383" s="92"/>
      <c r="GE383" s="67">
        <f t="shared" si="233"/>
        <v>0</v>
      </c>
      <c r="GF383" s="66"/>
      <c r="GG383" s="66"/>
      <c r="GH383" s="66"/>
      <c r="GI383" s="66"/>
      <c r="GJ383" s="77"/>
    </row>
    <row r="384" spans="1:192" ht="18.600000000000001" customHeight="1" x14ac:dyDescent="0.25">
      <c r="A384" s="89"/>
      <c r="B384" s="17"/>
      <c r="C384" s="50"/>
      <c r="D384" s="140"/>
      <c r="E384" s="51"/>
      <c r="F384" s="139">
        <f t="shared" si="237"/>
        <v>1</v>
      </c>
      <c r="G384" s="49"/>
      <c r="H384" s="50"/>
      <c r="I384" s="122"/>
      <c r="J384" s="49"/>
      <c r="K384" s="50"/>
      <c r="L384" s="50"/>
      <c r="M384" s="90"/>
      <c r="N384" s="50"/>
      <c r="O384" s="50"/>
      <c r="P384" s="90"/>
      <c r="Q384" s="52">
        <f t="shared" si="203"/>
        <v>0</v>
      </c>
      <c r="R384" s="52">
        <f t="shared" si="204"/>
        <v>0</v>
      </c>
      <c r="S384" s="53">
        <f t="shared" si="205"/>
        <v>0</v>
      </c>
      <c r="T384" s="54">
        <f t="shared" si="206"/>
        <v>0</v>
      </c>
      <c r="U384" s="115">
        <f>SUM(Tableau1[[#This Row],[Vente confiserie]:[Vente boisson]])</f>
        <v>0</v>
      </c>
      <c r="V384" s="95"/>
      <c r="W384" s="95"/>
      <c r="X384" s="136">
        <f>SUM(Tableau1[[#This Row],[Vente lunette]:[Location lunette]])</f>
        <v>0</v>
      </c>
      <c r="Y384" s="95"/>
      <c r="Z384" s="95"/>
      <c r="AA384" s="95"/>
      <c r="AB384" s="95"/>
      <c r="AC384" s="56">
        <f t="shared" si="235"/>
        <v>0</v>
      </c>
      <c r="AD384" s="57"/>
      <c r="AE384" s="57"/>
      <c r="AF384" s="57"/>
      <c r="AG384" s="57"/>
      <c r="AH384" s="57"/>
      <c r="AI384" s="57"/>
      <c r="AJ384" s="118">
        <f>(Tableau1[[#This Row],[Recette guichet ]]*1.1275177)-Tableau1[[#This Row],[Recette guichet ]]</f>
        <v>0</v>
      </c>
      <c r="AK384" s="57"/>
      <c r="AL384" s="56">
        <f t="shared" si="236"/>
        <v>0</v>
      </c>
      <c r="AM384" s="58"/>
      <c r="AN384" s="58"/>
      <c r="AO384" s="58"/>
      <c r="AP384" s="115">
        <f t="shared" si="207"/>
        <v>0</v>
      </c>
      <c r="AQ384" s="69"/>
      <c r="AR384" s="69"/>
      <c r="AS384" s="69"/>
      <c r="AT384" s="69"/>
      <c r="AU384" s="59">
        <f t="shared" si="208"/>
        <v>0</v>
      </c>
      <c r="AV384" s="60">
        <f t="shared" si="209"/>
        <v>0</v>
      </c>
      <c r="AW384" s="58"/>
      <c r="AX384" s="58"/>
      <c r="AY384" s="58"/>
      <c r="AZ384" s="60">
        <f t="shared" si="238"/>
        <v>0</v>
      </c>
      <c r="BA384" s="58"/>
      <c r="BB384" s="58"/>
      <c r="BC384" s="58"/>
      <c r="BD384" s="60">
        <f>SUM(Tableau1[[#This Row],[ticket/carte/abonnement périmé]:[Autres ou non précisé 5]])</f>
        <v>0</v>
      </c>
      <c r="BE384" s="58"/>
      <c r="BF384" s="58"/>
      <c r="BG384" s="58"/>
      <c r="BH384" s="61">
        <f t="shared" si="210"/>
        <v>0</v>
      </c>
      <c r="BI384" s="120"/>
      <c r="BJ384" s="120"/>
      <c r="BK384" s="62">
        <f t="shared" si="211"/>
        <v>0</v>
      </c>
      <c r="BL384" s="120"/>
      <c r="BM384" s="120"/>
      <c r="BN384" s="120"/>
      <c r="BO384" s="120"/>
      <c r="BP384" s="120"/>
      <c r="BQ384" s="63"/>
      <c r="BR384" s="52">
        <f t="shared" si="212"/>
        <v>0</v>
      </c>
      <c r="BS384" s="52">
        <f t="shared" si="213"/>
        <v>0</v>
      </c>
      <c r="BT384" s="61">
        <f t="shared" si="214"/>
        <v>0</v>
      </c>
      <c r="BU384" s="64">
        <f t="shared" si="215"/>
        <v>0</v>
      </c>
      <c r="BV384" s="119">
        <f>SUM(Tableau1[[#This Row],[Achats confiserie]:[Achats boisson]])</f>
        <v>0</v>
      </c>
      <c r="BW384" s="58"/>
      <c r="BX384" s="69"/>
      <c r="BY384" s="58"/>
      <c r="BZ384" s="56">
        <f t="shared" si="216"/>
        <v>0</v>
      </c>
      <c r="CA384" s="66"/>
      <c r="CB384" s="66"/>
      <c r="CC384" s="56">
        <f t="shared" si="217"/>
        <v>0</v>
      </c>
      <c r="CD384" s="55"/>
      <c r="CE384" s="65"/>
      <c r="CF384" s="55"/>
      <c r="CG384" s="55"/>
      <c r="CH384" s="67">
        <f t="shared" si="218"/>
        <v>0</v>
      </c>
      <c r="CI384" s="68">
        <f t="shared" si="234"/>
        <v>0</v>
      </c>
      <c r="CJ384" s="55"/>
      <c r="CK384" s="55"/>
      <c r="CL384" s="55"/>
      <c r="CM384" s="55"/>
      <c r="CN384" s="55"/>
      <c r="CO384" s="68">
        <f t="shared" si="219"/>
        <v>0</v>
      </c>
      <c r="CP384" s="75">
        <f>SUM(Tableau1[[#This Row],[Fourniture eau]:[Energie (non précisé)]])</f>
        <v>0</v>
      </c>
      <c r="CQ384" s="55"/>
      <c r="CR384" s="55"/>
      <c r="CS384" s="55"/>
      <c r="CT384" s="55"/>
      <c r="CU384" s="55"/>
      <c r="CV384" s="55">
        <v>0</v>
      </c>
      <c r="CW384" s="55"/>
      <c r="CX384" s="68">
        <f>SUM(Tableau1[[#This Row],[Sous-traitance]:[Autres ou non précisé 12]])</f>
        <v>0</v>
      </c>
      <c r="CY384" s="65"/>
      <c r="CZ384" s="65"/>
      <c r="DA384" s="65"/>
      <c r="DB384" s="65"/>
      <c r="DC384" s="55"/>
      <c r="DD384" s="68">
        <f t="shared" si="239"/>
        <v>0</v>
      </c>
      <c r="DE384" s="55"/>
      <c r="DF384" s="65"/>
      <c r="DG384" s="65"/>
      <c r="DH384" s="65"/>
      <c r="DI384" s="68">
        <f>SUM(Tableau1[[#This Row],[Entretien et réparation matériel de projection]:[Autres ou non précisé 14]])</f>
        <v>0</v>
      </c>
      <c r="DJ384" s="58"/>
      <c r="DK384" s="58"/>
      <c r="DL384" s="69"/>
      <c r="DM384" s="68">
        <f t="shared" si="220"/>
        <v>0</v>
      </c>
      <c r="DN384" s="58"/>
      <c r="DO384" s="58"/>
      <c r="DP384" s="68">
        <f t="shared" si="221"/>
        <v>0</v>
      </c>
      <c r="DQ384" s="65"/>
      <c r="DR384" s="65"/>
      <c r="DS384" s="68">
        <f t="shared" si="222"/>
        <v>0</v>
      </c>
      <c r="DT384" s="65"/>
      <c r="DU384" s="65"/>
      <c r="DV384" s="65"/>
      <c r="DW384" s="68">
        <f>SUM(Tableau1[[#This Row],[Comission et courtage sur achats]:[Autres ou honoraires
 non précisé ]])</f>
        <v>0</v>
      </c>
      <c r="DX384" s="57"/>
      <c r="DY384" s="57"/>
      <c r="DZ384" s="65"/>
      <c r="EA384" s="65"/>
      <c r="EB384" s="65"/>
      <c r="EC384" s="68">
        <f t="shared" si="223"/>
        <v>0</v>
      </c>
      <c r="ED384" s="69"/>
      <c r="EE384" s="69"/>
      <c r="EF384" s="69"/>
      <c r="EG384" s="69"/>
      <c r="EH384" s="69"/>
      <c r="EI384" s="84">
        <f>SUM(Tableau1[[#This Row],[Transports sur films]:[autres ]])</f>
        <v>0</v>
      </c>
      <c r="EJ384" s="132">
        <v>0</v>
      </c>
      <c r="EK384" s="132"/>
      <c r="EL384" s="68">
        <f t="shared" si="224"/>
        <v>0</v>
      </c>
      <c r="EM384" s="65"/>
      <c r="EN384" s="65">
        <v>0</v>
      </c>
      <c r="EO384" s="65"/>
      <c r="EP384" s="65"/>
      <c r="EQ384" s="65"/>
      <c r="ER384" s="65"/>
      <c r="ES384" s="65"/>
      <c r="ET384" s="68">
        <f t="shared" si="225"/>
        <v>0</v>
      </c>
      <c r="EU384" s="65"/>
      <c r="EV384" s="65"/>
      <c r="EW384" s="65"/>
      <c r="EX384" s="65"/>
      <c r="EY384" s="65"/>
      <c r="EZ384" s="68">
        <f t="shared" si="241"/>
        <v>0</v>
      </c>
      <c r="FA384" s="65"/>
      <c r="FB384" s="65"/>
      <c r="FC384" s="70">
        <f t="shared" si="240"/>
        <v>0</v>
      </c>
      <c r="FD384" s="65"/>
      <c r="FE384" s="71">
        <f t="shared" si="226"/>
        <v>0</v>
      </c>
      <c r="FF384" s="72">
        <f t="shared" si="227"/>
        <v>0</v>
      </c>
      <c r="FG384" s="65"/>
      <c r="FH384" s="65"/>
      <c r="FI384" s="65"/>
      <c r="FJ384" s="56">
        <f t="shared" si="228"/>
        <v>0</v>
      </c>
      <c r="FK384" s="65"/>
      <c r="FL384" s="65"/>
      <c r="FM384" s="65"/>
      <c r="FN384" s="65"/>
      <c r="FO384" s="67">
        <f t="shared" si="229"/>
        <v>0</v>
      </c>
      <c r="FP384" s="57"/>
      <c r="FQ384" s="73"/>
      <c r="FR384" s="73"/>
      <c r="FS384" s="71">
        <f t="shared" si="230"/>
        <v>0</v>
      </c>
      <c r="FT384" s="91"/>
      <c r="FU384" s="91"/>
      <c r="FV384" s="67">
        <f>SUM(Tableau1[[#This Row],[Droits d''auteurs SACEM + cotisations SACEM]:[Autres ou non préciés]])</f>
        <v>0</v>
      </c>
      <c r="FW384" s="75">
        <f t="shared" si="231"/>
        <v>0</v>
      </c>
      <c r="FX384" s="74">
        <v>0</v>
      </c>
      <c r="FY384" s="74"/>
      <c r="FZ384" s="74"/>
      <c r="GA384" s="74"/>
      <c r="GB384" s="71">
        <f t="shared" si="232"/>
        <v>0</v>
      </c>
      <c r="GC384" s="92"/>
      <c r="GD384" s="92"/>
      <c r="GE384" s="67">
        <f t="shared" si="233"/>
        <v>0</v>
      </c>
      <c r="GF384" s="66"/>
      <c r="GG384" s="66"/>
      <c r="GH384" s="66"/>
      <c r="GI384" s="66"/>
      <c r="GJ384" s="77"/>
    </row>
    <row r="385" spans="1:192" ht="18.600000000000001" customHeight="1" x14ac:dyDescent="0.25">
      <c r="A385" s="89"/>
      <c r="B385" s="17"/>
      <c r="C385" s="50"/>
      <c r="D385" s="140"/>
      <c r="E385" s="51"/>
      <c r="F385" s="139">
        <f t="shared" si="237"/>
        <v>1</v>
      </c>
      <c r="G385" s="49"/>
      <c r="H385" s="50"/>
      <c r="I385" s="122"/>
      <c r="J385" s="49"/>
      <c r="K385" s="50"/>
      <c r="L385" s="50"/>
      <c r="M385" s="90"/>
      <c r="N385" s="50"/>
      <c r="O385" s="50"/>
      <c r="P385" s="90"/>
      <c r="Q385" s="52">
        <f t="shared" si="203"/>
        <v>0</v>
      </c>
      <c r="R385" s="52">
        <f t="shared" si="204"/>
        <v>0</v>
      </c>
      <c r="S385" s="53">
        <f t="shared" si="205"/>
        <v>0</v>
      </c>
      <c r="T385" s="54">
        <f t="shared" si="206"/>
        <v>0</v>
      </c>
      <c r="U385" s="115">
        <f>SUM(Tableau1[[#This Row],[Vente confiserie]:[Vente boisson]])</f>
        <v>0</v>
      </c>
      <c r="V385" s="95"/>
      <c r="W385" s="95"/>
      <c r="X385" s="136">
        <f>SUM(Tableau1[[#This Row],[Vente lunette]:[Location lunette]])</f>
        <v>0</v>
      </c>
      <c r="Y385" s="95"/>
      <c r="Z385" s="95"/>
      <c r="AA385" s="95"/>
      <c r="AB385" s="95"/>
      <c r="AC385" s="56">
        <f t="shared" si="235"/>
        <v>0</v>
      </c>
      <c r="AD385" s="57"/>
      <c r="AE385" s="57"/>
      <c r="AF385" s="57"/>
      <c r="AG385" s="57"/>
      <c r="AH385" s="57"/>
      <c r="AI385" s="57"/>
      <c r="AJ385" s="118">
        <f>(Tableau1[[#This Row],[Recette guichet ]]*1.1275177)-Tableau1[[#This Row],[Recette guichet ]]</f>
        <v>0</v>
      </c>
      <c r="AK385" s="57"/>
      <c r="AL385" s="56">
        <f t="shared" si="236"/>
        <v>0</v>
      </c>
      <c r="AM385" s="58"/>
      <c r="AN385" s="58"/>
      <c r="AO385" s="58"/>
      <c r="AP385" s="115">
        <f t="shared" si="207"/>
        <v>0</v>
      </c>
      <c r="AQ385" s="69"/>
      <c r="AR385" s="69"/>
      <c r="AS385" s="69"/>
      <c r="AT385" s="69"/>
      <c r="AU385" s="59">
        <f t="shared" si="208"/>
        <v>0</v>
      </c>
      <c r="AV385" s="60">
        <f t="shared" si="209"/>
        <v>0</v>
      </c>
      <c r="AW385" s="58"/>
      <c r="AX385" s="58"/>
      <c r="AY385" s="58"/>
      <c r="AZ385" s="60">
        <f t="shared" si="238"/>
        <v>0</v>
      </c>
      <c r="BA385" s="58"/>
      <c r="BB385" s="58"/>
      <c r="BC385" s="58"/>
      <c r="BD385" s="60">
        <f>SUM(Tableau1[[#This Row],[ticket/carte/abonnement périmé]:[Autres ou non précisé 5]])</f>
        <v>0</v>
      </c>
      <c r="BE385" s="58"/>
      <c r="BF385" s="58"/>
      <c r="BG385" s="58"/>
      <c r="BH385" s="61">
        <f t="shared" si="210"/>
        <v>0</v>
      </c>
      <c r="BI385" s="120"/>
      <c r="BJ385" s="120"/>
      <c r="BK385" s="62">
        <f t="shared" si="211"/>
        <v>0</v>
      </c>
      <c r="BL385" s="120"/>
      <c r="BM385" s="120"/>
      <c r="BN385" s="120"/>
      <c r="BO385" s="120"/>
      <c r="BP385" s="120"/>
      <c r="BQ385" s="63"/>
      <c r="BR385" s="52">
        <f t="shared" si="212"/>
        <v>0</v>
      </c>
      <c r="BS385" s="52">
        <f t="shared" si="213"/>
        <v>0</v>
      </c>
      <c r="BT385" s="61">
        <f t="shared" si="214"/>
        <v>0</v>
      </c>
      <c r="BU385" s="64">
        <f t="shared" si="215"/>
        <v>0</v>
      </c>
      <c r="BV385" s="119">
        <f>SUM(Tableau1[[#This Row],[Achats confiserie]:[Achats boisson]])</f>
        <v>0</v>
      </c>
      <c r="BW385" s="58"/>
      <c r="BX385" s="69"/>
      <c r="BY385" s="58"/>
      <c r="BZ385" s="56">
        <f t="shared" si="216"/>
        <v>0</v>
      </c>
      <c r="CA385" s="66"/>
      <c r="CB385" s="66"/>
      <c r="CC385" s="56">
        <f t="shared" si="217"/>
        <v>0</v>
      </c>
      <c r="CD385" s="55"/>
      <c r="CE385" s="65"/>
      <c r="CF385" s="55"/>
      <c r="CG385" s="55"/>
      <c r="CH385" s="67">
        <f t="shared" si="218"/>
        <v>0</v>
      </c>
      <c r="CI385" s="68">
        <f t="shared" si="234"/>
        <v>0</v>
      </c>
      <c r="CJ385" s="55"/>
      <c r="CK385" s="55"/>
      <c r="CL385" s="55"/>
      <c r="CM385" s="55"/>
      <c r="CN385" s="55"/>
      <c r="CO385" s="68">
        <f t="shared" si="219"/>
        <v>0</v>
      </c>
      <c r="CP385" s="75">
        <f>SUM(Tableau1[[#This Row],[Fourniture eau]:[Energie (non précisé)]])</f>
        <v>0</v>
      </c>
      <c r="CQ385" s="55"/>
      <c r="CR385" s="55"/>
      <c r="CS385" s="55"/>
      <c r="CT385" s="55"/>
      <c r="CU385" s="55"/>
      <c r="CV385" s="55">
        <v>0</v>
      </c>
      <c r="CW385" s="55"/>
      <c r="CX385" s="68">
        <f>SUM(Tableau1[[#This Row],[Sous-traitance]:[Autres ou non précisé 12]])</f>
        <v>0</v>
      </c>
      <c r="CY385" s="65"/>
      <c r="CZ385" s="65"/>
      <c r="DA385" s="65"/>
      <c r="DB385" s="65"/>
      <c r="DC385" s="55"/>
      <c r="DD385" s="68">
        <f t="shared" si="239"/>
        <v>0</v>
      </c>
      <c r="DE385" s="55"/>
      <c r="DF385" s="65"/>
      <c r="DG385" s="65"/>
      <c r="DH385" s="65"/>
      <c r="DI385" s="68">
        <f>SUM(Tableau1[[#This Row],[Entretien et réparation matériel de projection]:[Autres ou non précisé 14]])</f>
        <v>0</v>
      </c>
      <c r="DJ385" s="58"/>
      <c r="DK385" s="58"/>
      <c r="DL385" s="69"/>
      <c r="DM385" s="68">
        <f t="shared" si="220"/>
        <v>0</v>
      </c>
      <c r="DN385" s="58"/>
      <c r="DO385" s="58"/>
      <c r="DP385" s="68">
        <f t="shared" si="221"/>
        <v>0</v>
      </c>
      <c r="DQ385" s="65"/>
      <c r="DR385" s="65"/>
      <c r="DS385" s="68">
        <f t="shared" si="222"/>
        <v>0</v>
      </c>
      <c r="DT385" s="65"/>
      <c r="DU385" s="65"/>
      <c r="DV385" s="65"/>
      <c r="DW385" s="68">
        <f>SUM(Tableau1[[#This Row],[Comission et courtage sur achats]:[Autres ou honoraires
 non précisé ]])</f>
        <v>0</v>
      </c>
      <c r="DX385" s="57"/>
      <c r="DY385" s="57"/>
      <c r="DZ385" s="65"/>
      <c r="EA385" s="65"/>
      <c r="EB385" s="65"/>
      <c r="EC385" s="68">
        <f t="shared" si="223"/>
        <v>0</v>
      </c>
      <c r="ED385" s="69"/>
      <c r="EE385" s="69"/>
      <c r="EF385" s="69"/>
      <c r="EG385" s="69"/>
      <c r="EH385" s="69"/>
      <c r="EI385" s="84">
        <f>SUM(Tableau1[[#This Row],[Transports sur films]:[autres ]])</f>
        <v>0</v>
      </c>
      <c r="EJ385" s="132">
        <v>0</v>
      </c>
      <c r="EK385" s="132"/>
      <c r="EL385" s="68">
        <f t="shared" si="224"/>
        <v>0</v>
      </c>
      <c r="EM385" s="65"/>
      <c r="EN385" s="65">
        <v>0</v>
      </c>
      <c r="EO385" s="65"/>
      <c r="EP385" s="65"/>
      <c r="EQ385" s="65"/>
      <c r="ER385" s="65"/>
      <c r="ES385" s="65"/>
      <c r="ET385" s="68">
        <f t="shared" si="225"/>
        <v>0</v>
      </c>
      <c r="EU385" s="65"/>
      <c r="EV385" s="65"/>
      <c r="EW385" s="65"/>
      <c r="EX385" s="65"/>
      <c r="EY385" s="65"/>
      <c r="EZ385" s="68">
        <f t="shared" si="241"/>
        <v>0</v>
      </c>
      <c r="FA385" s="65"/>
      <c r="FB385" s="65"/>
      <c r="FC385" s="70">
        <f t="shared" si="240"/>
        <v>0</v>
      </c>
      <c r="FD385" s="65"/>
      <c r="FE385" s="71">
        <f t="shared" si="226"/>
        <v>0</v>
      </c>
      <c r="FF385" s="72">
        <f t="shared" si="227"/>
        <v>0</v>
      </c>
      <c r="FG385" s="65"/>
      <c r="FH385" s="65"/>
      <c r="FI385" s="65"/>
      <c r="FJ385" s="56">
        <f t="shared" si="228"/>
        <v>0</v>
      </c>
      <c r="FK385" s="65"/>
      <c r="FL385" s="65"/>
      <c r="FM385" s="65"/>
      <c r="FN385" s="65"/>
      <c r="FO385" s="67">
        <f t="shared" si="229"/>
        <v>0</v>
      </c>
      <c r="FP385" s="57"/>
      <c r="FQ385" s="73"/>
      <c r="FR385" s="73"/>
      <c r="FS385" s="71">
        <f t="shared" si="230"/>
        <v>0</v>
      </c>
      <c r="FT385" s="91"/>
      <c r="FU385" s="91"/>
      <c r="FV385" s="67">
        <f>SUM(Tableau1[[#This Row],[Droits d''auteurs SACEM + cotisations SACEM]:[Autres ou non préciés]])</f>
        <v>0</v>
      </c>
      <c r="FW385" s="75">
        <f t="shared" si="231"/>
        <v>0</v>
      </c>
      <c r="FX385" s="74">
        <v>0</v>
      </c>
      <c r="FY385" s="74"/>
      <c r="FZ385" s="74"/>
      <c r="GA385" s="74"/>
      <c r="GB385" s="71">
        <f t="shared" si="232"/>
        <v>0</v>
      </c>
      <c r="GC385" s="92"/>
      <c r="GD385" s="92"/>
      <c r="GE385" s="67">
        <f t="shared" si="233"/>
        <v>0</v>
      </c>
      <c r="GF385" s="66"/>
      <c r="GG385" s="66"/>
      <c r="GH385" s="66"/>
      <c r="GI385" s="66"/>
      <c r="GJ385" s="77"/>
    </row>
    <row r="386" spans="1:192" ht="18.600000000000001" customHeight="1" x14ac:dyDescent="0.25">
      <c r="A386" s="89"/>
      <c r="B386" s="17"/>
      <c r="C386" s="50"/>
      <c r="D386" s="140"/>
      <c r="E386" s="51"/>
      <c r="F386" s="139">
        <f t="shared" si="237"/>
        <v>1</v>
      </c>
      <c r="G386" s="49"/>
      <c r="H386" s="50"/>
      <c r="I386" s="122"/>
      <c r="J386" s="49"/>
      <c r="K386" s="50"/>
      <c r="L386" s="50"/>
      <c r="M386" s="90"/>
      <c r="N386" s="50"/>
      <c r="O386" s="50"/>
      <c r="P386" s="90"/>
      <c r="Q386" s="52">
        <f t="shared" si="203"/>
        <v>0</v>
      </c>
      <c r="R386" s="52">
        <f t="shared" si="204"/>
        <v>0</v>
      </c>
      <c r="S386" s="53">
        <f t="shared" si="205"/>
        <v>0</v>
      </c>
      <c r="T386" s="54">
        <f t="shared" si="206"/>
        <v>0</v>
      </c>
      <c r="U386" s="115">
        <f>SUM(Tableau1[[#This Row],[Vente confiserie]:[Vente boisson]])</f>
        <v>0</v>
      </c>
      <c r="V386" s="95"/>
      <c r="W386" s="95"/>
      <c r="X386" s="136">
        <f>SUM(Tableau1[[#This Row],[Vente lunette]:[Location lunette]])</f>
        <v>0</v>
      </c>
      <c r="Y386" s="95"/>
      <c r="Z386" s="95"/>
      <c r="AA386" s="95"/>
      <c r="AB386" s="95"/>
      <c r="AC386" s="56">
        <f t="shared" si="235"/>
        <v>0</v>
      </c>
      <c r="AD386" s="57"/>
      <c r="AE386" s="57"/>
      <c r="AF386" s="57"/>
      <c r="AG386" s="57"/>
      <c r="AH386" s="57"/>
      <c r="AI386" s="57"/>
      <c r="AJ386" s="118">
        <f>(Tableau1[[#This Row],[Recette guichet ]]*1.1275177)-Tableau1[[#This Row],[Recette guichet ]]</f>
        <v>0</v>
      </c>
      <c r="AK386" s="57"/>
      <c r="AL386" s="56">
        <f t="shared" si="236"/>
        <v>0</v>
      </c>
      <c r="AM386" s="58"/>
      <c r="AN386" s="58"/>
      <c r="AO386" s="58"/>
      <c r="AP386" s="115">
        <f t="shared" si="207"/>
        <v>0</v>
      </c>
      <c r="AQ386" s="69"/>
      <c r="AR386" s="69"/>
      <c r="AS386" s="69"/>
      <c r="AT386" s="69"/>
      <c r="AU386" s="59">
        <f t="shared" si="208"/>
        <v>0</v>
      </c>
      <c r="AV386" s="60">
        <f t="shared" si="209"/>
        <v>0</v>
      </c>
      <c r="AW386" s="58"/>
      <c r="AX386" s="58"/>
      <c r="AY386" s="58"/>
      <c r="AZ386" s="60">
        <f t="shared" si="238"/>
        <v>0</v>
      </c>
      <c r="BA386" s="58"/>
      <c r="BB386" s="58"/>
      <c r="BC386" s="58"/>
      <c r="BD386" s="60">
        <f>SUM(Tableau1[[#This Row],[ticket/carte/abonnement périmé]:[Autres ou non précisé 5]])</f>
        <v>0</v>
      </c>
      <c r="BE386" s="58"/>
      <c r="BF386" s="58"/>
      <c r="BG386" s="58"/>
      <c r="BH386" s="61">
        <f t="shared" si="210"/>
        <v>0</v>
      </c>
      <c r="BI386" s="120"/>
      <c r="BJ386" s="120"/>
      <c r="BK386" s="62">
        <f t="shared" si="211"/>
        <v>0</v>
      </c>
      <c r="BL386" s="120"/>
      <c r="BM386" s="120"/>
      <c r="BN386" s="120"/>
      <c r="BO386" s="120"/>
      <c r="BP386" s="120"/>
      <c r="BQ386" s="63"/>
      <c r="BR386" s="52">
        <f t="shared" si="212"/>
        <v>0</v>
      </c>
      <c r="BS386" s="52">
        <f t="shared" si="213"/>
        <v>0</v>
      </c>
      <c r="BT386" s="61">
        <f t="shared" si="214"/>
        <v>0</v>
      </c>
      <c r="BU386" s="64">
        <f t="shared" si="215"/>
        <v>0</v>
      </c>
      <c r="BV386" s="119">
        <f>SUM(Tableau1[[#This Row],[Achats confiserie]:[Achats boisson]])</f>
        <v>0</v>
      </c>
      <c r="BW386" s="58"/>
      <c r="BX386" s="69"/>
      <c r="BY386" s="58"/>
      <c r="BZ386" s="56">
        <f t="shared" si="216"/>
        <v>0</v>
      </c>
      <c r="CA386" s="66"/>
      <c r="CB386" s="66"/>
      <c r="CC386" s="56">
        <f t="shared" si="217"/>
        <v>0</v>
      </c>
      <c r="CD386" s="55"/>
      <c r="CE386" s="65"/>
      <c r="CF386" s="55"/>
      <c r="CG386" s="55"/>
      <c r="CH386" s="67">
        <f t="shared" si="218"/>
        <v>0</v>
      </c>
      <c r="CI386" s="68">
        <f t="shared" si="234"/>
        <v>0</v>
      </c>
      <c r="CJ386" s="55"/>
      <c r="CK386" s="55"/>
      <c r="CL386" s="55"/>
      <c r="CM386" s="55"/>
      <c r="CN386" s="55"/>
      <c r="CO386" s="68">
        <f t="shared" si="219"/>
        <v>0</v>
      </c>
      <c r="CP386" s="75">
        <f>SUM(Tableau1[[#This Row],[Fourniture eau]:[Energie (non précisé)]])</f>
        <v>0</v>
      </c>
      <c r="CQ386" s="55"/>
      <c r="CR386" s="55"/>
      <c r="CS386" s="55"/>
      <c r="CT386" s="55"/>
      <c r="CU386" s="55"/>
      <c r="CV386" s="55">
        <v>0</v>
      </c>
      <c r="CW386" s="55"/>
      <c r="CX386" s="68">
        <f>SUM(Tableau1[[#This Row],[Sous-traitance]:[Autres ou non précisé 12]])</f>
        <v>0</v>
      </c>
      <c r="CY386" s="65"/>
      <c r="CZ386" s="65"/>
      <c r="DA386" s="65"/>
      <c r="DB386" s="65"/>
      <c r="DC386" s="55"/>
      <c r="DD386" s="68">
        <f t="shared" si="239"/>
        <v>0</v>
      </c>
      <c r="DE386" s="55"/>
      <c r="DF386" s="65"/>
      <c r="DG386" s="65"/>
      <c r="DH386" s="65"/>
      <c r="DI386" s="68">
        <f>SUM(Tableau1[[#This Row],[Entretien et réparation matériel de projection]:[Autres ou non précisé 14]])</f>
        <v>0</v>
      </c>
      <c r="DJ386" s="58"/>
      <c r="DK386" s="58"/>
      <c r="DL386" s="69"/>
      <c r="DM386" s="68">
        <f t="shared" si="220"/>
        <v>0</v>
      </c>
      <c r="DN386" s="58"/>
      <c r="DO386" s="58"/>
      <c r="DP386" s="68">
        <f t="shared" si="221"/>
        <v>0</v>
      </c>
      <c r="DQ386" s="65"/>
      <c r="DR386" s="65"/>
      <c r="DS386" s="68">
        <f t="shared" si="222"/>
        <v>0</v>
      </c>
      <c r="DT386" s="65"/>
      <c r="DU386" s="65"/>
      <c r="DV386" s="65"/>
      <c r="DW386" s="68">
        <f>SUM(Tableau1[[#This Row],[Comission et courtage sur achats]:[Autres ou honoraires
 non précisé ]])</f>
        <v>0</v>
      </c>
      <c r="DX386" s="57"/>
      <c r="DY386" s="57"/>
      <c r="DZ386" s="65"/>
      <c r="EA386" s="65"/>
      <c r="EB386" s="65"/>
      <c r="EC386" s="68">
        <f t="shared" si="223"/>
        <v>0</v>
      </c>
      <c r="ED386" s="69"/>
      <c r="EE386" s="69"/>
      <c r="EF386" s="69"/>
      <c r="EG386" s="69"/>
      <c r="EH386" s="69"/>
      <c r="EI386" s="84">
        <f>SUM(Tableau1[[#This Row],[Transports sur films]:[autres ]])</f>
        <v>0</v>
      </c>
      <c r="EJ386" s="132">
        <v>0</v>
      </c>
      <c r="EK386" s="132"/>
      <c r="EL386" s="68">
        <f t="shared" si="224"/>
        <v>0</v>
      </c>
      <c r="EM386" s="65"/>
      <c r="EN386" s="65">
        <v>0</v>
      </c>
      <c r="EO386" s="65"/>
      <c r="EP386" s="65"/>
      <c r="EQ386" s="65"/>
      <c r="ER386" s="65"/>
      <c r="ES386" s="65"/>
      <c r="ET386" s="68">
        <f t="shared" si="225"/>
        <v>0</v>
      </c>
      <c r="EU386" s="65"/>
      <c r="EV386" s="65"/>
      <c r="EW386" s="65"/>
      <c r="EX386" s="65"/>
      <c r="EY386" s="65"/>
      <c r="EZ386" s="68">
        <f t="shared" si="241"/>
        <v>0</v>
      </c>
      <c r="FA386" s="65"/>
      <c r="FB386" s="65"/>
      <c r="FC386" s="70">
        <f t="shared" si="240"/>
        <v>0</v>
      </c>
      <c r="FD386" s="65"/>
      <c r="FE386" s="71">
        <f t="shared" si="226"/>
        <v>0</v>
      </c>
      <c r="FF386" s="72">
        <f t="shared" si="227"/>
        <v>0</v>
      </c>
      <c r="FG386" s="65"/>
      <c r="FH386" s="65"/>
      <c r="FI386" s="65"/>
      <c r="FJ386" s="56">
        <f t="shared" si="228"/>
        <v>0</v>
      </c>
      <c r="FK386" s="65"/>
      <c r="FL386" s="65"/>
      <c r="FM386" s="65"/>
      <c r="FN386" s="65"/>
      <c r="FO386" s="67">
        <f t="shared" si="229"/>
        <v>0</v>
      </c>
      <c r="FP386" s="57"/>
      <c r="FQ386" s="73"/>
      <c r="FR386" s="73"/>
      <c r="FS386" s="71">
        <f t="shared" si="230"/>
        <v>0</v>
      </c>
      <c r="FT386" s="91"/>
      <c r="FU386" s="91"/>
      <c r="FV386" s="67">
        <f>SUM(Tableau1[[#This Row],[Droits d''auteurs SACEM + cotisations SACEM]:[Autres ou non préciés]])</f>
        <v>0</v>
      </c>
      <c r="FW386" s="75">
        <f t="shared" si="231"/>
        <v>0</v>
      </c>
      <c r="FX386" s="74">
        <v>0</v>
      </c>
      <c r="FY386" s="74"/>
      <c r="FZ386" s="74"/>
      <c r="GA386" s="74"/>
      <c r="GB386" s="71">
        <f t="shared" si="232"/>
        <v>0</v>
      </c>
      <c r="GC386" s="92"/>
      <c r="GD386" s="92"/>
      <c r="GE386" s="67">
        <f t="shared" si="233"/>
        <v>0</v>
      </c>
      <c r="GF386" s="66"/>
      <c r="GG386" s="66"/>
      <c r="GH386" s="66"/>
      <c r="GI386" s="66"/>
      <c r="GJ386" s="77"/>
    </row>
    <row r="387" spans="1:192" ht="18.600000000000001" customHeight="1" x14ac:dyDescent="0.25">
      <c r="A387" s="89"/>
      <c r="B387" s="17"/>
      <c r="C387" s="50"/>
      <c r="D387" s="140"/>
      <c r="E387" s="51"/>
      <c r="F387" s="139">
        <f t="shared" si="237"/>
        <v>1</v>
      </c>
      <c r="G387" s="49"/>
      <c r="H387" s="50"/>
      <c r="I387" s="122"/>
      <c r="J387" s="49"/>
      <c r="K387" s="50"/>
      <c r="L387" s="50"/>
      <c r="M387" s="90"/>
      <c r="N387" s="50"/>
      <c r="O387" s="50"/>
      <c r="P387" s="90"/>
      <c r="Q387" s="52">
        <f t="shared" si="203"/>
        <v>0</v>
      </c>
      <c r="R387" s="52">
        <f t="shared" si="204"/>
        <v>0</v>
      </c>
      <c r="S387" s="53">
        <f t="shared" si="205"/>
        <v>0</v>
      </c>
      <c r="T387" s="54">
        <f t="shared" si="206"/>
        <v>0</v>
      </c>
      <c r="U387" s="115">
        <f>SUM(Tableau1[[#This Row],[Vente confiserie]:[Vente boisson]])</f>
        <v>0</v>
      </c>
      <c r="V387" s="95"/>
      <c r="W387" s="95"/>
      <c r="X387" s="136">
        <f>SUM(Tableau1[[#This Row],[Vente lunette]:[Location lunette]])</f>
        <v>0</v>
      </c>
      <c r="Y387" s="95"/>
      <c r="Z387" s="95"/>
      <c r="AA387" s="95"/>
      <c r="AB387" s="95"/>
      <c r="AC387" s="56">
        <f t="shared" si="235"/>
        <v>0</v>
      </c>
      <c r="AD387" s="57"/>
      <c r="AE387" s="57"/>
      <c r="AF387" s="57"/>
      <c r="AG387" s="57"/>
      <c r="AH387" s="57"/>
      <c r="AI387" s="57"/>
      <c r="AJ387" s="118">
        <f>(Tableau1[[#This Row],[Recette guichet ]]*1.1275177)-Tableau1[[#This Row],[Recette guichet ]]</f>
        <v>0</v>
      </c>
      <c r="AK387" s="57"/>
      <c r="AL387" s="56">
        <f t="shared" si="236"/>
        <v>0</v>
      </c>
      <c r="AM387" s="58"/>
      <c r="AN387" s="58"/>
      <c r="AO387" s="58"/>
      <c r="AP387" s="115">
        <f t="shared" si="207"/>
        <v>0</v>
      </c>
      <c r="AQ387" s="69"/>
      <c r="AR387" s="69"/>
      <c r="AS387" s="69"/>
      <c r="AT387" s="69"/>
      <c r="AU387" s="59">
        <f t="shared" si="208"/>
        <v>0</v>
      </c>
      <c r="AV387" s="60">
        <f t="shared" si="209"/>
        <v>0</v>
      </c>
      <c r="AW387" s="58"/>
      <c r="AX387" s="58"/>
      <c r="AY387" s="58"/>
      <c r="AZ387" s="60">
        <f t="shared" si="238"/>
        <v>0</v>
      </c>
      <c r="BA387" s="58"/>
      <c r="BB387" s="58"/>
      <c r="BC387" s="58"/>
      <c r="BD387" s="60">
        <f>SUM(Tableau1[[#This Row],[ticket/carte/abonnement périmé]:[Autres ou non précisé 5]])</f>
        <v>0</v>
      </c>
      <c r="BE387" s="58"/>
      <c r="BF387" s="58"/>
      <c r="BG387" s="58"/>
      <c r="BH387" s="61">
        <f t="shared" si="210"/>
        <v>0</v>
      </c>
      <c r="BI387" s="120"/>
      <c r="BJ387" s="120"/>
      <c r="BK387" s="62">
        <f t="shared" si="211"/>
        <v>0</v>
      </c>
      <c r="BL387" s="120"/>
      <c r="BM387" s="120"/>
      <c r="BN387" s="120"/>
      <c r="BO387" s="120"/>
      <c r="BP387" s="120"/>
      <c r="BQ387" s="63"/>
      <c r="BR387" s="52">
        <f t="shared" si="212"/>
        <v>0</v>
      </c>
      <c r="BS387" s="52">
        <f t="shared" si="213"/>
        <v>0</v>
      </c>
      <c r="BT387" s="61">
        <f t="shared" si="214"/>
        <v>0</v>
      </c>
      <c r="BU387" s="64">
        <f t="shared" si="215"/>
        <v>0</v>
      </c>
      <c r="BV387" s="119">
        <f>SUM(Tableau1[[#This Row],[Achats confiserie]:[Achats boisson]])</f>
        <v>0</v>
      </c>
      <c r="BW387" s="58"/>
      <c r="BX387" s="69"/>
      <c r="BY387" s="58"/>
      <c r="BZ387" s="56">
        <f t="shared" si="216"/>
        <v>0</v>
      </c>
      <c r="CA387" s="66"/>
      <c r="CB387" s="66"/>
      <c r="CC387" s="56">
        <f t="shared" si="217"/>
        <v>0</v>
      </c>
      <c r="CD387" s="55"/>
      <c r="CE387" s="65"/>
      <c r="CF387" s="55"/>
      <c r="CG387" s="55"/>
      <c r="CH387" s="67">
        <f t="shared" si="218"/>
        <v>0</v>
      </c>
      <c r="CI387" s="68">
        <f t="shared" si="234"/>
        <v>0</v>
      </c>
      <c r="CJ387" s="55"/>
      <c r="CK387" s="55"/>
      <c r="CL387" s="55"/>
      <c r="CM387" s="55"/>
      <c r="CN387" s="55"/>
      <c r="CO387" s="68">
        <f t="shared" si="219"/>
        <v>0</v>
      </c>
      <c r="CP387" s="75">
        <f>SUM(Tableau1[[#This Row],[Fourniture eau]:[Energie (non précisé)]])</f>
        <v>0</v>
      </c>
      <c r="CQ387" s="55"/>
      <c r="CR387" s="55"/>
      <c r="CS387" s="55"/>
      <c r="CT387" s="55"/>
      <c r="CU387" s="55"/>
      <c r="CV387" s="55">
        <v>0</v>
      </c>
      <c r="CW387" s="55"/>
      <c r="CX387" s="68">
        <f>SUM(Tableau1[[#This Row],[Sous-traitance]:[Autres ou non précisé 12]])</f>
        <v>0</v>
      </c>
      <c r="CY387" s="65"/>
      <c r="CZ387" s="65"/>
      <c r="DA387" s="65"/>
      <c r="DB387" s="65"/>
      <c r="DC387" s="55"/>
      <c r="DD387" s="68">
        <f t="shared" si="239"/>
        <v>0</v>
      </c>
      <c r="DE387" s="55"/>
      <c r="DF387" s="65"/>
      <c r="DG387" s="65"/>
      <c r="DH387" s="65"/>
      <c r="DI387" s="68">
        <f>SUM(Tableau1[[#This Row],[Entretien et réparation matériel de projection]:[Autres ou non précisé 14]])</f>
        <v>0</v>
      </c>
      <c r="DJ387" s="58"/>
      <c r="DK387" s="58"/>
      <c r="DL387" s="69"/>
      <c r="DM387" s="68">
        <f t="shared" si="220"/>
        <v>0</v>
      </c>
      <c r="DN387" s="58"/>
      <c r="DO387" s="58"/>
      <c r="DP387" s="68">
        <f t="shared" si="221"/>
        <v>0</v>
      </c>
      <c r="DQ387" s="65"/>
      <c r="DR387" s="65"/>
      <c r="DS387" s="68">
        <f t="shared" si="222"/>
        <v>0</v>
      </c>
      <c r="DT387" s="65"/>
      <c r="DU387" s="65"/>
      <c r="DV387" s="65"/>
      <c r="DW387" s="68">
        <f>SUM(Tableau1[[#This Row],[Comission et courtage sur achats]:[Autres ou honoraires
 non précisé ]])</f>
        <v>0</v>
      </c>
      <c r="DX387" s="57"/>
      <c r="DY387" s="57"/>
      <c r="DZ387" s="65"/>
      <c r="EA387" s="65"/>
      <c r="EB387" s="65"/>
      <c r="EC387" s="68">
        <f t="shared" si="223"/>
        <v>0</v>
      </c>
      <c r="ED387" s="69"/>
      <c r="EE387" s="69"/>
      <c r="EF387" s="69"/>
      <c r="EG387" s="69"/>
      <c r="EH387" s="69"/>
      <c r="EI387" s="84">
        <f>SUM(Tableau1[[#This Row],[Transports sur films]:[autres ]])</f>
        <v>0</v>
      </c>
      <c r="EJ387" s="132">
        <v>0</v>
      </c>
      <c r="EK387" s="132"/>
      <c r="EL387" s="68">
        <f t="shared" si="224"/>
        <v>0</v>
      </c>
      <c r="EM387" s="65"/>
      <c r="EN387" s="65">
        <v>0</v>
      </c>
      <c r="EO387" s="65"/>
      <c r="EP387" s="65"/>
      <c r="EQ387" s="65"/>
      <c r="ER387" s="65"/>
      <c r="ES387" s="65"/>
      <c r="ET387" s="68">
        <f t="shared" si="225"/>
        <v>0</v>
      </c>
      <c r="EU387" s="65"/>
      <c r="EV387" s="65"/>
      <c r="EW387" s="65"/>
      <c r="EX387" s="65"/>
      <c r="EY387" s="65"/>
      <c r="EZ387" s="68">
        <f t="shared" si="241"/>
        <v>0</v>
      </c>
      <c r="FA387" s="65"/>
      <c r="FB387" s="65"/>
      <c r="FC387" s="70">
        <f t="shared" si="240"/>
        <v>0</v>
      </c>
      <c r="FD387" s="65"/>
      <c r="FE387" s="71">
        <f t="shared" si="226"/>
        <v>0</v>
      </c>
      <c r="FF387" s="72">
        <f t="shared" si="227"/>
        <v>0</v>
      </c>
      <c r="FG387" s="65"/>
      <c r="FH387" s="65"/>
      <c r="FI387" s="65"/>
      <c r="FJ387" s="56">
        <f t="shared" si="228"/>
        <v>0</v>
      </c>
      <c r="FK387" s="65"/>
      <c r="FL387" s="65"/>
      <c r="FM387" s="65"/>
      <c r="FN387" s="65"/>
      <c r="FO387" s="67">
        <f t="shared" si="229"/>
        <v>0</v>
      </c>
      <c r="FP387" s="57"/>
      <c r="FQ387" s="73"/>
      <c r="FR387" s="73"/>
      <c r="FS387" s="71">
        <f t="shared" si="230"/>
        <v>0</v>
      </c>
      <c r="FT387" s="91"/>
      <c r="FU387" s="91"/>
      <c r="FV387" s="67">
        <f>SUM(Tableau1[[#This Row],[Droits d''auteurs SACEM + cotisations SACEM]:[Autres ou non préciés]])</f>
        <v>0</v>
      </c>
      <c r="FW387" s="75">
        <f t="shared" si="231"/>
        <v>0</v>
      </c>
      <c r="FX387" s="74">
        <v>0</v>
      </c>
      <c r="FY387" s="74"/>
      <c r="FZ387" s="74"/>
      <c r="GA387" s="74"/>
      <c r="GB387" s="71">
        <f t="shared" si="232"/>
        <v>0</v>
      </c>
      <c r="GC387" s="92"/>
      <c r="GD387" s="92"/>
      <c r="GE387" s="67">
        <f t="shared" si="233"/>
        <v>0</v>
      </c>
      <c r="GF387" s="66"/>
      <c r="GG387" s="66"/>
      <c r="GH387" s="66"/>
      <c r="GI387" s="66"/>
      <c r="GJ387" s="77"/>
    </row>
    <row r="388" spans="1:192" ht="18.600000000000001" customHeight="1" x14ac:dyDescent="0.25">
      <c r="A388" s="89"/>
      <c r="B388" s="17"/>
      <c r="C388" s="50"/>
      <c r="D388" s="140"/>
      <c r="E388" s="51"/>
      <c r="F388" s="139">
        <f t="shared" si="237"/>
        <v>1</v>
      </c>
      <c r="G388" s="49"/>
      <c r="H388" s="50"/>
      <c r="I388" s="122"/>
      <c r="J388" s="49"/>
      <c r="K388" s="50"/>
      <c r="L388" s="50"/>
      <c r="M388" s="90"/>
      <c r="N388" s="50"/>
      <c r="O388" s="50"/>
      <c r="P388" s="90"/>
      <c r="Q388" s="52">
        <f t="shared" si="203"/>
        <v>0</v>
      </c>
      <c r="R388" s="52">
        <f t="shared" si="204"/>
        <v>0</v>
      </c>
      <c r="S388" s="53">
        <f t="shared" si="205"/>
        <v>0</v>
      </c>
      <c r="T388" s="54">
        <f t="shared" si="206"/>
        <v>0</v>
      </c>
      <c r="U388" s="115">
        <f>SUM(Tableau1[[#This Row],[Vente confiserie]:[Vente boisson]])</f>
        <v>0</v>
      </c>
      <c r="V388" s="95"/>
      <c r="W388" s="95"/>
      <c r="X388" s="136">
        <f>SUM(Tableau1[[#This Row],[Vente lunette]:[Location lunette]])</f>
        <v>0</v>
      </c>
      <c r="Y388" s="95"/>
      <c r="Z388" s="95"/>
      <c r="AA388" s="95"/>
      <c r="AB388" s="95"/>
      <c r="AC388" s="56">
        <f t="shared" si="235"/>
        <v>0</v>
      </c>
      <c r="AD388" s="57"/>
      <c r="AE388" s="57"/>
      <c r="AF388" s="57"/>
      <c r="AG388" s="57"/>
      <c r="AH388" s="57"/>
      <c r="AI388" s="57"/>
      <c r="AJ388" s="118">
        <f>(Tableau1[[#This Row],[Recette guichet ]]*1.1275177)-Tableau1[[#This Row],[Recette guichet ]]</f>
        <v>0</v>
      </c>
      <c r="AK388" s="57"/>
      <c r="AL388" s="56">
        <f t="shared" si="236"/>
        <v>0</v>
      </c>
      <c r="AM388" s="58"/>
      <c r="AN388" s="58"/>
      <c r="AO388" s="58"/>
      <c r="AP388" s="115">
        <f t="shared" si="207"/>
        <v>0</v>
      </c>
      <c r="AQ388" s="69"/>
      <c r="AR388" s="69"/>
      <c r="AS388" s="69"/>
      <c r="AT388" s="69"/>
      <c r="AU388" s="59">
        <f t="shared" si="208"/>
        <v>0</v>
      </c>
      <c r="AV388" s="60">
        <f t="shared" si="209"/>
        <v>0</v>
      </c>
      <c r="AW388" s="58"/>
      <c r="AX388" s="58"/>
      <c r="AY388" s="58"/>
      <c r="AZ388" s="60">
        <f t="shared" si="238"/>
        <v>0</v>
      </c>
      <c r="BA388" s="58"/>
      <c r="BB388" s="58"/>
      <c r="BC388" s="58"/>
      <c r="BD388" s="60">
        <f>SUM(Tableau1[[#This Row],[ticket/carte/abonnement périmé]:[Autres ou non précisé 5]])</f>
        <v>0</v>
      </c>
      <c r="BE388" s="58"/>
      <c r="BF388" s="58"/>
      <c r="BG388" s="58"/>
      <c r="BH388" s="61">
        <f t="shared" si="210"/>
        <v>0</v>
      </c>
      <c r="BI388" s="120"/>
      <c r="BJ388" s="120"/>
      <c r="BK388" s="62">
        <f t="shared" si="211"/>
        <v>0</v>
      </c>
      <c r="BL388" s="120"/>
      <c r="BM388" s="120"/>
      <c r="BN388" s="120"/>
      <c r="BO388" s="120"/>
      <c r="BP388" s="120"/>
      <c r="BQ388" s="63"/>
      <c r="BR388" s="52">
        <f t="shared" si="212"/>
        <v>0</v>
      </c>
      <c r="BS388" s="52">
        <f t="shared" si="213"/>
        <v>0</v>
      </c>
      <c r="BT388" s="61">
        <f t="shared" si="214"/>
        <v>0</v>
      </c>
      <c r="BU388" s="64">
        <f t="shared" si="215"/>
        <v>0</v>
      </c>
      <c r="BV388" s="119">
        <f>SUM(Tableau1[[#This Row],[Achats confiserie]:[Achats boisson]])</f>
        <v>0</v>
      </c>
      <c r="BW388" s="58"/>
      <c r="BX388" s="69"/>
      <c r="BY388" s="58"/>
      <c r="BZ388" s="56">
        <f t="shared" si="216"/>
        <v>0</v>
      </c>
      <c r="CA388" s="66"/>
      <c r="CB388" s="66"/>
      <c r="CC388" s="56">
        <f t="shared" si="217"/>
        <v>0</v>
      </c>
      <c r="CD388" s="55"/>
      <c r="CE388" s="65"/>
      <c r="CF388" s="55"/>
      <c r="CG388" s="55"/>
      <c r="CH388" s="67">
        <f t="shared" si="218"/>
        <v>0</v>
      </c>
      <c r="CI388" s="68">
        <f t="shared" si="234"/>
        <v>0</v>
      </c>
      <c r="CJ388" s="55"/>
      <c r="CK388" s="55"/>
      <c r="CL388" s="55"/>
      <c r="CM388" s="55"/>
      <c r="CN388" s="55"/>
      <c r="CO388" s="68">
        <f t="shared" si="219"/>
        <v>0</v>
      </c>
      <c r="CP388" s="75">
        <f>SUM(Tableau1[[#This Row],[Fourniture eau]:[Energie (non précisé)]])</f>
        <v>0</v>
      </c>
      <c r="CQ388" s="55"/>
      <c r="CR388" s="55"/>
      <c r="CS388" s="55"/>
      <c r="CT388" s="55"/>
      <c r="CU388" s="55"/>
      <c r="CV388" s="55">
        <v>0</v>
      </c>
      <c r="CW388" s="55"/>
      <c r="CX388" s="68">
        <f>SUM(Tableau1[[#This Row],[Sous-traitance]:[Autres ou non précisé 12]])</f>
        <v>0</v>
      </c>
      <c r="CY388" s="65"/>
      <c r="CZ388" s="65"/>
      <c r="DA388" s="65"/>
      <c r="DB388" s="65"/>
      <c r="DC388" s="55"/>
      <c r="DD388" s="68">
        <f t="shared" si="239"/>
        <v>0</v>
      </c>
      <c r="DE388" s="55"/>
      <c r="DF388" s="65"/>
      <c r="DG388" s="65"/>
      <c r="DH388" s="65"/>
      <c r="DI388" s="68">
        <f>SUM(Tableau1[[#This Row],[Entretien et réparation matériel de projection]:[Autres ou non précisé 14]])</f>
        <v>0</v>
      </c>
      <c r="DJ388" s="58"/>
      <c r="DK388" s="58"/>
      <c r="DL388" s="69"/>
      <c r="DM388" s="68">
        <f t="shared" si="220"/>
        <v>0</v>
      </c>
      <c r="DN388" s="58"/>
      <c r="DO388" s="58"/>
      <c r="DP388" s="68">
        <f t="shared" si="221"/>
        <v>0</v>
      </c>
      <c r="DQ388" s="65"/>
      <c r="DR388" s="65"/>
      <c r="DS388" s="68">
        <f t="shared" si="222"/>
        <v>0</v>
      </c>
      <c r="DT388" s="65"/>
      <c r="DU388" s="65"/>
      <c r="DV388" s="65"/>
      <c r="DW388" s="68">
        <f>SUM(Tableau1[[#This Row],[Comission et courtage sur achats]:[Autres ou honoraires
 non précisé ]])</f>
        <v>0</v>
      </c>
      <c r="DX388" s="57"/>
      <c r="DY388" s="57"/>
      <c r="DZ388" s="65"/>
      <c r="EA388" s="65"/>
      <c r="EB388" s="65"/>
      <c r="EC388" s="68">
        <f t="shared" si="223"/>
        <v>0</v>
      </c>
      <c r="ED388" s="69"/>
      <c r="EE388" s="69"/>
      <c r="EF388" s="69"/>
      <c r="EG388" s="69"/>
      <c r="EH388" s="69"/>
      <c r="EI388" s="84">
        <f>SUM(Tableau1[[#This Row],[Transports sur films]:[autres ]])</f>
        <v>0</v>
      </c>
      <c r="EJ388" s="132">
        <v>0</v>
      </c>
      <c r="EK388" s="132"/>
      <c r="EL388" s="68">
        <f t="shared" si="224"/>
        <v>0</v>
      </c>
      <c r="EM388" s="65"/>
      <c r="EN388" s="65">
        <v>0</v>
      </c>
      <c r="EO388" s="65"/>
      <c r="EP388" s="65"/>
      <c r="EQ388" s="65"/>
      <c r="ER388" s="65"/>
      <c r="ES388" s="65"/>
      <c r="ET388" s="68">
        <f t="shared" si="225"/>
        <v>0</v>
      </c>
      <c r="EU388" s="65"/>
      <c r="EV388" s="65"/>
      <c r="EW388" s="65"/>
      <c r="EX388" s="65"/>
      <c r="EY388" s="65"/>
      <c r="EZ388" s="68">
        <f t="shared" si="241"/>
        <v>0</v>
      </c>
      <c r="FA388" s="65"/>
      <c r="FB388" s="65"/>
      <c r="FC388" s="70">
        <f t="shared" si="240"/>
        <v>0</v>
      </c>
      <c r="FD388" s="65"/>
      <c r="FE388" s="71">
        <f t="shared" si="226"/>
        <v>0</v>
      </c>
      <c r="FF388" s="72">
        <f t="shared" si="227"/>
        <v>0</v>
      </c>
      <c r="FG388" s="65"/>
      <c r="FH388" s="65"/>
      <c r="FI388" s="65"/>
      <c r="FJ388" s="56">
        <f t="shared" si="228"/>
        <v>0</v>
      </c>
      <c r="FK388" s="65"/>
      <c r="FL388" s="65"/>
      <c r="FM388" s="65"/>
      <c r="FN388" s="65"/>
      <c r="FO388" s="67">
        <f t="shared" si="229"/>
        <v>0</v>
      </c>
      <c r="FP388" s="57"/>
      <c r="FQ388" s="73"/>
      <c r="FR388" s="73"/>
      <c r="FS388" s="71">
        <f t="shared" si="230"/>
        <v>0</v>
      </c>
      <c r="FT388" s="91"/>
      <c r="FU388" s="91"/>
      <c r="FV388" s="67">
        <f>SUM(Tableau1[[#This Row],[Droits d''auteurs SACEM + cotisations SACEM]:[Autres ou non préciés]])</f>
        <v>0</v>
      </c>
      <c r="FW388" s="75">
        <f t="shared" si="231"/>
        <v>0</v>
      </c>
      <c r="FX388" s="74">
        <v>0</v>
      </c>
      <c r="FY388" s="74"/>
      <c r="FZ388" s="74"/>
      <c r="GA388" s="74"/>
      <c r="GB388" s="71">
        <f t="shared" si="232"/>
        <v>0</v>
      </c>
      <c r="GC388" s="92"/>
      <c r="GD388" s="92"/>
      <c r="GE388" s="67">
        <f t="shared" si="233"/>
        <v>0</v>
      </c>
      <c r="GF388" s="66"/>
      <c r="GG388" s="66"/>
      <c r="GH388" s="66"/>
      <c r="GI388" s="66"/>
      <c r="GJ388" s="77"/>
    </row>
    <row r="389" spans="1:192" ht="18.600000000000001" customHeight="1" x14ac:dyDescent="0.25">
      <c r="A389" s="89"/>
      <c r="B389" s="17"/>
      <c r="C389" s="50"/>
      <c r="D389" s="140"/>
      <c r="E389" s="51"/>
      <c r="F389" s="139">
        <f t="shared" si="237"/>
        <v>1</v>
      </c>
      <c r="G389" s="49"/>
      <c r="H389" s="50"/>
      <c r="I389" s="122"/>
      <c r="J389" s="49"/>
      <c r="K389" s="50"/>
      <c r="L389" s="50"/>
      <c r="M389" s="90"/>
      <c r="N389" s="50"/>
      <c r="O389" s="50"/>
      <c r="P389" s="90"/>
      <c r="Q389" s="52">
        <f t="shared" si="203"/>
        <v>0</v>
      </c>
      <c r="R389" s="52">
        <f t="shared" si="204"/>
        <v>0</v>
      </c>
      <c r="S389" s="53">
        <f t="shared" si="205"/>
        <v>0</v>
      </c>
      <c r="T389" s="54">
        <f t="shared" si="206"/>
        <v>0</v>
      </c>
      <c r="U389" s="115">
        <f>SUM(Tableau1[[#This Row],[Vente confiserie]:[Vente boisson]])</f>
        <v>0</v>
      </c>
      <c r="V389" s="95"/>
      <c r="W389" s="95"/>
      <c r="X389" s="136">
        <f>SUM(Tableau1[[#This Row],[Vente lunette]:[Location lunette]])</f>
        <v>0</v>
      </c>
      <c r="Y389" s="95"/>
      <c r="Z389" s="95"/>
      <c r="AA389" s="95"/>
      <c r="AB389" s="95"/>
      <c r="AC389" s="56">
        <f t="shared" si="235"/>
        <v>0</v>
      </c>
      <c r="AD389" s="57"/>
      <c r="AE389" s="57"/>
      <c r="AF389" s="57"/>
      <c r="AG389" s="57"/>
      <c r="AH389" s="57"/>
      <c r="AI389" s="57"/>
      <c r="AJ389" s="118">
        <f>(Tableau1[[#This Row],[Recette guichet ]]*1.1275177)-Tableau1[[#This Row],[Recette guichet ]]</f>
        <v>0</v>
      </c>
      <c r="AK389" s="57"/>
      <c r="AL389" s="56">
        <f t="shared" si="236"/>
        <v>0</v>
      </c>
      <c r="AM389" s="58"/>
      <c r="AN389" s="58"/>
      <c r="AO389" s="58"/>
      <c r="AP389" s="115">
        <f t="shared" si="207"/>
        <v>0</v>
      </c>
      <c r="AQ389" s="69"/>
      <c r="AR389" s="69"/>
      <c r="AS389" s="69"/>
      <c r="AT389" s="69"/>
      <c r="AU389" s="59">
        <f t="shared" si="208"/>
        <v>0</v>
      </c>
      <c r="AV389" s="60">
        <f t="shared" si="209"/>
        <v>0</v>
      </c>
      <c r="AW389" s="58"/>
      <c r="AX389" s="58"/>
      <c r="AY389" s="58"/>
      <c r="AZ389" s="60">
        <f t="shared" si="238"/>
        <v>0</v>
      </c>
      <c r="BA389" s="58"/>
      <c r="BB389" s="58"/>
      <c r="BC389" s="58"/>
      <c r="BD389" s="60">
        <f>SUM(Tableau1[[#This Row],[ticket/carte/abonnement périmé]:[Autres ou non précisé 5]])</f>
        <v>0</v>
      </c>
      <c r="BE389" s="58"/>
      <c r="BF389" s="58"/>
      <c r="BG389" s="58"/>
      <c r="BH389" s="61">
        <f t="shared" si="210"/>
        <v>0</v>
      </c>
      <c r="BI389" s="120"/>
      <c r="BJ389" s="120"/>
      <c r="BK389" s="62">
        <f t="shared" si="211"/>
        <v>0</v>
      </c>
      <c r="BL389" s="120"/>
      <c r="BM389" s="120"/>
      <c r="BN389" s="120"/>
      <c r="BO389" s="120"/>
      <c r="BP389" s="120"/>
      <c r="BQ389" s="63"/>
      <c r="BR389" s="52">
        <f t="shared" si="212"/>
        <v>0</v>
      </c>
      <c r="BS389" s="52">
        <f t="shared" si="213"/>
        <v>0</v>
      </c>
      <c r="BT389" s="61">
        <f t="shared" si="214"/>
        <v>0</v>
      </c>
      <c r="BU389" s="64">
        <f t="shared" si="215"/>
        <v>0</v>
      </c>
      <c r="BV389" s="119">
        <f>SUM(Tableau1[[#This Row],[Achats confiserie]:[Achats boisson]])</f>
        <v>0</v>
      </c>
      <c r="BW389" s="58"/>
      <c r="BX389" s="69"/>
      <c r="BY389" s="58"/>
      <c r="BZ389" s="56">
        <f t="shared" si="216"/>
        <v>0</v>
      </c>
      <c r="CA389" s="66"/>
      <c r="CB389" s="66"/>
      <c r="CC389" s="56">
        <f t="shared" si="217"/>
        <v>0</v>
      </c>
      <c r="CD389" s="55"/>
      <c r="CE389" s="65"/>
      <c r="CF389" s="55"/>
      <c r="CG389" s="55"/>
      <c r="CH389" s="67">
        <f t="shared" si="218"/>
        <v>0</v>
      </c>
      <c r="CI389" s="68">
        <f t="shared" si="234"/>
        <v>0</v>
      </c>
      <c r="CJ389" s="55"/>
      <c r="CK389" s="55"/>
      <c r="CL389" s="55"/>
      <c r="CM389" s="55"/>
      <c r="CN389" s="55"/>
      <c r="CO389" s="68">
        <f t="shared" si="219"/>
        <v>0</v>
      </c>
      <c r="CP389" s="75">
        <f>SUM(Tableau1[[#This Row],[Fourniture eau]:[Energie (non précisé)]])</f>
        <v>0</v>
      </c>
      <c r="CQ389" s="55"/>
      <c r="CR389" s="55"/>
      <c r="CS389" s="55"/>
      <c r="CT389" s="55"/>
      <c r="CU389" s="55"/>
      <c r="CV389" s="55">
        <v>0</v>
      </c>
      <c r="CW389" s="55"/>
      <c r="CX389" s="68">
        <f>SUM(Tableau1[[#This Row],[Sous-traitance]:[Autres ou non précisé 12]])</f>
        <v>0</v>
      </c>
      <c r="CY389" s="65"/>
      <c r="CZ389" s="65"/>
      <c r="DA389" s="65"/>
      <c r="DB389" s="65"/>
      <c r="DC389" s="55"/>
      <c r="DD389" s="68">
        <f t="shared" si="239"/>
        <v>0</v>
      </c>
      <c r="DE389" s="55"/>
      <c r="DF389" s="65"/>
      <c r="DG389" s="65"/>
      <c r="DH389" s="65"/>
      <c r="DI389" s="68">
        <f>SUM(Tableau1[[#This Row],[Entretien et réparation matériel de projection]:[Autres ou non précisé 14]])</f>
        <v>0</v>
      </c>
      <c r="DJ389" s="58"/>
      <c r="DK389" s="58"/>
      <c r="DL389" s="69"/>
      <c r="DM389" s="68">
        <f t="shared" si="220"/>
        <v>0</v>
      </c>
      <c r="DN389" s="58"/>
      <c r="DO389" s="58"/>
      <c r="DP389" s="68">
        <f t="shared" si="221"/>
        <v>0</v>
      </c>
      <c r="DQ389" s="65"/>
      <c r="DR389" s="65"/>
      <c r="DS389" s="68">
        <f t="shared" si="222"/>
        <v>0</v>
      </c>
      <c r="DT389" s="65"/>
      <c r="DU389" s="65"/>
      <c r="DV389" s="65"/>
      <c r="DW389" s="68">
        <f>SUM(Tableau1[[#This Row],[Comission et courtage sur achats]:[Autres ou honoraires
 non précisé ]])</f>
        <v>0</v>
      </c>
      <c r="DX389" s="57"/>
      <c r="DY389" s="57"/>
      <c r="DZ389" s="65"/>
      <c r="EA389" s="65"/>
      <c r="EB389" s="65"/>
      <c r="EC389" s="68">
        <f t="shared" si="223"/>
        <v>0</v>
      </c>
      <c r="ED389" s="69"/>
      <c r="EE389" s="69"/>
      <c r="EF389" s="69"/>
      <c r="EG389" s="69"/>
      <c r="EH389" s="69"/>
      <c r="EI389" s="84">
        <f>SUM(Tableau1[[#This Row],[Transports sur films]:[autres ]])</f>
        <v>0</v>
      </c>
      <c r="EJ389" s="132">
        <v>0</v>
      </c>
      <c r="EK389" s="132"/>
      <c r="EL389" s="68">
        <f t="shared" si="224"/>
        <v>0</v>
      </c>
      <c r="EM389" s="65"/>
      <c r="EN389" s="65">
        <v>0</v>
      </c>
      <c r="EO389" s="65"/>
      <c r="EP389" s="65"/>
      <c r="EQ389" s="65"/>
      <c r="ER389" s="65"/>
      <c r="ES389" s="65"/>
      <c r="ET389" s="68">
        <f t="shared" si="225"/>
        <v>0</v>
      </c>
      <c r="EU389" s="65"/>
      <c r="EV389" s="65"/>
      <c r="EW389" s="65"/>
      <c r="EX389" s="65"/>
      <c r="EY389" s="65"/>
      <c r="EZ389" s="68">
        <f t="shared" si="241"/>
        <v>0</v>
      </c>
      <c r="FA389" s="65"/>
      <c r="FB389" s="65"/>
      <c r="FC389" s="70">
        <f t="shared" si="240"/>
        <v>0</v>
      </c>
      <c r="FD389" s="65"/>
      <c r="FE389" s="71">
        <f t="shared" si="226"/>
        <v>0</v>
      </c>
      <c r="FF389" s="72">
        <f t="shared" si="227"/>
        <v>0</v>
      </c>
      <c r="FG389" s="65"/>
      <c r="FH389" s="65"/>
      <c r="FI389" s="65"/>
      <c r="FJ389" s="56">
        <f t="shared" si="228"/>
        <v>0</v>
      </c>
      <c r="FK389" s="65"/>
      <c r="FL389" s="65"/>
      <c r="FM389" s="65"/>
      <c r="FN389" s="65"/>
      <c r="FO389" s="67">
        <f t="shared" si="229"/>
        <v>0</v>
      </c>
      <c r="FP389" s="57"/>
      <c r="FQ389" s="73"/>
      <c r="FR389" s="73"/>
      <c r="FS389" s="71">
        <f t="shared" si="230"/>
        <v>0</v>
      </c>
      <c r="FT389" s="91"/>
      <c r="FU389" s="91"/>
      <c r="FV389" s="67">
        <f>SUM(Tableau1[[#This Row],[Droits d''auteurs SACEM + cotisations SACEM]:[Autres ou non préciés]])</f>
        <v>0</v>
      </c>
      <c r="FW389" s="75">
        <f t="shared" si="231"/>
        <v>0</v>
      </c>
      <c r="FX389" s="74">
        <v>0</v>
      </c>
      <c r="FY389" s="74"/>
      <c r="FZ389" s="74"/>
      <c r="GA389" s="74"/>
      <c r="GB389" s="71">
        <f t="shared" si="232"/>
        <v>0</v>
      </c>
      <c r="GC389" s="92"/>
      <c r="GD389" s="92"/>
      <c r="GE389" s="67">
        <f t="shared" si="233"/>
        <v>0</v>
      </c>
      <c r="GF389" s="66"/>
      <c r="GG389" s="66"/>
      <c r="GH389" s="66"/>
      <c r="GI389" s="66"/>
      <c r="GJ389" s="77"/>
    </row>
    <row r="390" spans="1:192" ht="18.600000000000001" customHeight="1" x14ac:dyDescent="0.25">
      <c r="A390" s="89"/>
      <c r="B390" s="17"/>
      <c r="C390" s="50"/>
      <c r="D390" s="140"/>
      <c r="E390" s="51"/>
      <c r="F390" s="139">
        <f t="shared" si="237"/>
        <v>1</v>
      </c>
      <c r="G390" s="49"/>
      <c r="H390" s="50"/>
      <c r="I390" s="122"/>
      <c r="J390" s="49"/>
      <c r="K390" s="50"/>
      <c r="L390" s="50"/>
      <c r="M390" s="90"/>
      <c r="N390" s="50"/>
      <c r="O390" s="50"/>
      <c r="P390" s="90"/>
      <c r="Q390" s="52">
        <f t="shared" ref="Q390:Q453" si="242">R390+BH390+BK390</f>
        <v>0</v>
      </c>
      <c r="R390" s="52">
        <f t="shared" ref="R390:R453" si="243">S390+AU390</f>
        <v>0</v>
      </c>
      <c r="S390" s="53">
        <f t="shared" ref="S390:S453" si="244">SUM(T390,AC390,AL390)</f>
        <v>0</v>
      </c>
      <c r="T390" s="54">
        <f t="shared" ref="T390:T453" si="245">SUM(V390:W390,Y390:AB390)</f>
        <v>0</v>
      </c>
      <c r="U390" s="115">
        <f>SUM(Tableau1[[#This Row],[Vente confiserie]:[Vente boisson]])</f>
        <v>0</v>
      </c>
      <c r="V390" s="95"/>
      <c r="W390" s="95"/>
      <c r="X390" s="136">
        <f>SUM(Tableau1[[#This Row],[Vente lunette]:[Location lunette]])</f>
        <v>0</v>
      </c>
      <c r="Y390" s="95"/>
      <c r="Z390" s="95"/>
      <c r="AA390" s="95"/>
      <c r="AB390" s="95"/>
      <c r="AC390" s="56">
        <f t="shared" si="235"/>
        <v>0</v>
      </c>
      <c r="AD390" s="57"/>
      <c r="AE390" s="57"/>
      <c r="AF390" s="57"/>
      <c r="AG390" s="57"/>
      <c r="AH390" s="57"/>
      <c r="AI390" s="57"/>
      <c r="AJ390" s="118">
        <f>(Tableau1[[#This Row],[Recette guichet ]]*1.1275177)-Tableau1[[#This Row],[Recette guichet ]]</f>
        <v>0</v>
      </c>
      <c r="AK390" s="57"/>
      <c r="AL390" s="56">
        <f t="shared" si="236"/>
        <v>0</v>
      </c>
      <c r="AM390" s="58"/>
      <c r="AN390" s="58"/>
      <c r="AO390" s="58"/>
      <c r="AP390" s="115">
        <f t="shared" ref="AP390:AP453" si="246">SUM(AQ390:AS390)</f>
        <v>0</v>
      </c>
      <c r="AQ390" s="69"/>
      <c r="AR390" s="69"/>
      <c r="AS390" s="69"/>
      <c r="AT390" s="69"/>
      <c r="AU390" s="59">
        <f t="shared" ref="AU390:AU453" si="247">SUM(AV390,AZ390,BD390)</f>
        <v>0</v>
      </c>
      <c r="AV390" s="60">
        <f t="shared" ref="AV390:AV453" si="248">SUM(AW390:AY390)</f>
        <v>0</v>
      </c>
      <c r="AW390" s="58"/>
      <c r="AX390" s="58"/>
      <c r="AY390" s="58"/>
      <c r="AZ390" s="60">
        <f t="shared" si="238"/>
        <v>0</v>
      </c>
      <c r="BA390" s="58"/>
      <c r="BB390" s="58"/>
      <c r="BC390" s="58"/>
      <c r="BD390" s="60">
        <f>SUM(Tableau1[[#This Row],[ticket/carte/abonnement périmé]:[Autres ou non précisé 5]])</f>
        <v>0</v>
      </c>
      <c r="BE390" s="58"/>
      <c r="BF390" s="58"/>
      <c r="BG390" s="58"/>
      <c r="BH390" s="61">
        <f t="shared" ref="BH390:BH453" si="249">SUM(BI390:BJ390)</f>
        <v>0</v>
      </c>
      <c r="BI390" s="120"/>
      <c r="BJ390" s="120"/>
      <c r="BK390" s="62">
        <f t="shared" ref="BK390:BK453" si="250">SUM(BL390:BQ390)</f>
        <v>0</v>
      </c>
      <c r="BL390" s="120"/>
      <c r="BM390" s="120"/>
      <c r="BN390" s="120"/>
      <c r="BO390" s="120"/>
      <c r="BP390" s="120"/>
      <c r="BQ390" s="63"/>
      <c r="BR390" s="52">
        <f t="shared" ref="BR390:BR453" si="251">BS390+GB390+GE390+GJ390</f>
        <v>0</v>
      </c>
      <c r="BS390" s="52">
        <f t="shared" ref="BS390:BS453" si="252">BT390+CH390+FE390+FO390+FS390+FV390</f>
        <v>0</v>
      </c>
      <c r="BT390" s="61">
        <f t="shared" ref="BT390:BT453" si="253">SUM(BU390,CC390,BZ390)</f>
        <v>0</v>
      </c>
      <c r="BU390" s="64">
        <f t="shared" ref="BU390:BU453" si="254">SUM(BW390:BY390)</f>
        <v>0</v>
      </c>
      <c r="BV390" s="119">
        <f>SUM(Tableau1[[#This Row],[Achats confiserie]:[Achats boisson]])</f>
        <v>0</v>
      </c>
      <c r="BW390" s="58"/>
      <c r="BX390" s="69"/>
      <c r="BY390" s="58"/>
      <c r="BZ390" s="56">
        <f t="shared" ref="BZ390:BZ453" si="255">SUM(CA390:CB390)</f>
        <v>0</v>
      </c>
      <c r="CA390" s="66"/>
      <c r="CB390" s="66"/>
      <c r="CC390" s="56">
        <f t="shared" ref="CC390:CC453" si="256">SUM(CD390:CG390)</f>
        <v>0</v>
      </c>
      <c r="CD390" s="55"/>
      <c r="CE390" s="65"/>
      <c r="CF390" s="55"/>
      <c r="CG390" s="55"/>
      <c r="CH390" s="67">
        <f t="shared" ref="CH390:CH453" si="257">SUM(CI390,CO390,CX390,DD390,DI390,DM390,DP390,DS390,DW390,EC390,EL390,ET390,EZ390,FC390,EI390)</f>
        <v>0</v>
      </c>
      <c r="CI390" s="68">
        <f t="shared" si="234"/>
        <v>0</v>
      </c>
      <c r="CJ390" s="55"/>
      <c r="CK390" s="55"/>
      <c r="CL390" s="55"/>
      <c r="CM390" s="55"/>
      <c r="CN390" s="55"/>
      <c r="CO390" s="68">
        <f t="shared" ref="CO390:CO453" si="258">SUM(CQ390:CW390)</f>
        <v>0</v>
      </c>
      <c r="CP390" s="75">
        <f>SUM(Tableau1[[#This Row],[Fourniture eau]:[Energie (non précisé)]])</f>
        <v>0</v>
      </c>
      <c r="CQ390" s="55"/>
      <c r="CR390" s="55"/>
      <c r="CS390" s="55"/>
      <c r="CT390" s="55"/>
      <c r="CU390" s="55"/>
      <c r="CV390" s="55">
        <v>0</v>
      </c>
      <c r="CW390" s="55"/>
      <c r="CX390" s="68">
        <f>SUM(Tableau1[[#This Row],[Sous-traitance]:[Autres ou non précisé 12]])</f>
        <v>0</v>
      </c>
      <c r="CY390" s="65"/>
      <c r="CZ390" s="65"/>
      <c r="DA390" s="65"/>
      <c r="DB390" s="65"/>
      <c r="DC390" s="55"/>
      <c r="DD390" s="68">
        <f t="shared" si="239"/>
        <v>0</v>
      </c>
      <c r="DE390" s="55"/>
      <c r="DF390" s="65"/>
      <c r="DG390" s="65"/>
      <c r="DH390" s="65"/>
      <c r="DI390" s="68">
        <f>SUM(Tableau1[[#This Row],[Entretien et réparation matériel de projection]:[Autres ou non précisé 14]])</f>
        <v>0</v>
      </c>
      <c r="DJ390" s="58"/>
      <c r="DK390" s="58"/>
      <c r="DL390" s="69"/>
      <c r="DM390" s="68">
        <f t="shared" ref="DM390:DM453" si="259">SUM(DN390:DO390)</f>
        <v>0</v>
      </c>
      <c r="DN390" s="58"/>
      <c r="DO390" s="58"/>
      <c r="DP390" s="68">
        <f t="shared" ref="DP390:DP453" si="260">SUM(DQ390:DR390)</f>
        <v>0</v>
      </c>
      <c r="DQ390" s="65"/>
      <c r="DR390" s="65"/>
      <c r="DS390" s="68">
        <f t="shared" ref="DS390:DS453" si="261">SUM(DT390:DV390)</f>
        <v>0</v>
      </c>
      <c r="DT390" s="65"/>
      <c r="DU390" s="65"/>
      <c r="DV390" s="65"/>
      <c r="DW390" s="68">
        <f>SUM(Tableau1[[#This Row],[Comission et courtage sur achats]:[Autres ou honoraires
 non précisé ]])</f>
        <v>0</v>
      </c>
      <c r="DX390" s="57"/>
      <c r="DY390" s="57"/>
      <c r="DZ390" s="65"/>
      <c r="EA390" s="65"/>
      <c r="EB390" s="65"/>
      <c r="EC390" s="68">
        <f t="shared" ref="EC390:EC453" si="262">SUM(ED390:EH390)</f>
        <v>0</v>
      </c>
      <c r="ED390" s="69"/>
      <c r="EE390" s="69"/>
      <c r="EF390" s="69"/>
      <c r="EG390" s="69"/>
      <c r="EH390" s="69"/>
      <c r="EI390" s="84">
        <f>SUM(Tableau1[[#This Row],[Transports sur films]:[autres ]])</f>
        <v>0</v>
      </c>
      <c r="EJ390" s="132">
        <v>0</v>
      </c>
      <c r="EK390" s="132"/>
      <c r="EL390" s="68">
        <f t="shared" ref="EL390:EL453" si="263">SUM(EM390:ES390)</f>
        <v>0</v>
      </c>
      <c r="EM390" s="65"/>
      <c r="EN390" s="65">
        <v>0</v>
      </c>
      <c r="EO390" s="65"/>
      <c r="EP390" s="65"/>
      <c r="EQ390" s="65"/>
      <c r="ER390" s="65"/>
      <c r="ES390" s="65"/>
      <c r="ET390" s="68">
        <f t="shared" ref="ET390:ET453" si="264">SUM(EU390:EY390)</f>
        <v>0</v>
      </c>
      <c r="EU390" s="65"/>
      <c r="EV390" s="65"/>
      <c r="EW390" s="65"/>
      <c r="EX390" s="65"/>
      <c r="EY390" s="65"/>
      <c r="EZ390" s="68">
        <f t="shared" si="241"/>
        <v>0</v>
      </c>
      <c r="FA390" s="65"/>
      <c r="FB390" s="65"/>
      <c r="FC390" s="70">
        <f t="shared" si="240"/>
        <v>0</v>
      </c>
      <c r="FD390" s="65"/>
      <c r="FE390" s="71">
        <f t="shared" ref="FE390:FE453" si="265">SUM(FF390,FJ390)</f>
        <v>0</v>
      </c>
      <c r="FF390" s="72">
        <f t="shared" ref="FF390:FF453" si="266">SUM(FG390:FI390)</f>
        <v>0</v>
      </c>
      <c r="FG390" s="65"/>
      <c r="FH390" s="65"/>
      <c r="FI390" s="65"/>
      <c r="FJ390" s="56">
        <f t="shared" ref="FJ390:FJ453" si="267">SUM(FK390:FN390)</f>
        <v>0</v>
      </c>
      <c r="FK390" s="65"/>
      <c r="FL390" s="65"/>
      <c r="FM390" s="65"/>
      <c r="FN390" s="65"/>
      <c r="FO390" s="67">
        <f t="shared" ref="FO390:FO453" si="268">SUM(FP390:FR390)</f>
        <v>0</v>
      </c>
      <c r="FP390" s="57"/>
      <c r="FQ390" s="73"/>
      <c r="FR390" s="73"/>
      <c r="FS390" s="71">
        <f t="shared" ref="FS390:FS453" si="269">SUM(FT390:FU390)</f>
        <v>0</v>
      </c>
      <c r="FT390" s="91"/>
      <c r="FU390" s="91"/>
      <c r="FV390" s="67">
        <f>SUM(Tableau1[[#This Row],[Droits d''auteurs SACEM + cotisations SACEM]:[Autres ou non préciés]])</f>
        <v>0</v>
      </c>
      <c r="FW390" s="75">
        <f t="shared" ref="FW390:FW453" si="270">SUM(FX390:FZ390)</f>
        <v>0</v>
      </c>
      <c r="FX390" s="74">
        <v>0</v>
      </c>
      <c r="FY390" s="74"/>
      <c r="FZ390" s="74"/>
      <c r="GA390" s="74"/>
      <c r="GB390" s="71">
        <f t="shared" ref="GB390:GB453" si="271">SUM(GC390:GD390)</f>
        <v>0</v>
      </c>
      <c r="GC390" s="92"/>
      <c r="GD390" s="92"/>
      <c r="GE390" s="67">
        <f t="shared" ref="GE390:GE453" si="272">SUM(GF390:GI390)</f>
        <v>0</v>
      </c>
      <c r="GF390" s="66"/>
      <c r="GG390" s="66"/>
      <c r="GH390" s="66"/>
      <c r="GI390" s="66"/>
      <c r="GJ390" s="77"/>
    </row>
    <row r="391" spans="1:192" ht="18.600000000000001" customHeight="1" x14ac:dyDescent="0.25">
      <c r="A391" s="89"/>
      <c r="B391" s="17"/>
      <c r="C391" s="50"/>
      <c r="D391" s="140"/>
      <c r="E391" s="51"/>
      <c r="F391" s="139">
        <f t="shared" si="237"/>
        <v>1</v>
      </c>
      <c r="G391" s="49"/>
      <c r="H391" s="50"/>
      <c r="I391" s="122"/>
      <c r="J391" s="49"/>
      <c r="K391" s="50"/>
      <c r="L391" s="50"/>
      <c r="M391" s="90"/>
      <c r="N391" s="50"/>
      <c r="O391" s="50"/>
      <c r="P391" s="90"/>
      <c r="Q391" s="52">
        <f t="shared" si="242"/>
        <v>0</v>
      </c>
      <c r="R391" s="52">
        <f t="shared" si="243"/>
        <v>0</v>
      </c>
      <c r="S391" s="53">
        <f t="shared" si="244"/>
        <v>0</v>
      </c>
      <c r="T391" s="54">
        <f t="shared" si="245"/>
        <v>0</v>
      </c>
      <c r="U391" s="115">
        <f>SUM(Tableau1[[#This Row],[Vente confiserie]:[Vente boisson]])</f>
        <v>0</v>
      </c>
      <c r="V391" s="95"/>
      <c r="W391" s="95"/>
      <c r="X391" s="136">
        <f>SUM(Tableau1[[#This Row],[Vente lunette]:[Location lunette]])</f>
        <v>0</v>
      </c>
      <c r="Y391" s="95"/>
      <c r="Z391" s="95"/>
      <c r="AA391" s="95"/>
      <c r="AB391" s="95"/>
      <c r="AC391" s="56">
        <f t="shared" si="235"/>
        <v>0</v>
      </c>
      <c r="AD391" s="57"/>
      <c r="AE391" s="57"/>
      <c r="AF391" s="57"/>
      <c r="AG391" s="57"/>
      <c r="AH391" s="57"/>
      <c r="AI391" s="57"/>
      <c r="AJ391" s="118">
        <f>(Tableau1[[#This Row],[Recette guichet ]]*1.1275177)-Tableau1[[#This Row],[Recette guichet ]]</f>
        <v>0</v>
      </c>
      <c r="AK391" s="57"/>
      <c r="AL391" s="56">
        <f t="shared" si="236"/>
        <v>0</v>
      </c>
      <c r="AM391" s="58"/>
      <c r="AN391" s="58"/>
      <c r="AO391" s="58"/>
      <c r="AP391" s="115">
        <f t="shared" si="246"/>
        <v>0</v>
      </c>
      <c r="AQ391" s="69"/>
      <c r="AR391" s="69"/>
      <c r="AS391" s="69"/>
      <c r="AT391" s="69"/>
      <c r="AU391" s="59">
        <f t="shared" si="247"/>
        <v>0</v>
      </c>
      <c r="AV391" s="60">
        <f t="shared" si="248"/>
        <v>0</v>
      </c>
      <c r="AW391" s="58"/>
      <c r="AX391" s="58"/>
      <c r="AY391" s="58"/>
      <c r="AZ391" s="60">
        <f t="shared" si="238"/>
        <v>0</v>
      </c>
      <c r="BA391" s="58"/>
      <c r="BB391" s="58"/>
      <c r="BC391" s="58"/>
      <c r="BD391" s="60">
        <f>SUM(Tableau1[[#This Row],[ticket/carte/abonnement périmé]:[Autres ou non précisé 5]])</f>
        <v>0</v>
      </c>
      <c r="BE391" s="58"/>
      <c r="BF391" s="58"/>
      <c r="BG391" s="58"/>
      <c r="BH391" s="61">
        <f t="shared" si="249"/>
        <v>0</v>
      </c>
      <c r="BI391" s="120"/>
      <c r="BJ391" s="120"/>
      <c r="BK391" s="62">
        <f t="shared" si="250"/>
        <v>0</v>
      </c>
      <c r="BL391" s="120"/>
      <c r="BM391" s="120"/>
      <c r="BN391" s="120"/>
      <c r="BO391" s="120"/>
      <c r="BP391" s="120"/>
      <c r="BQ391" s="63"/>
      <c r="BR391" s="52">
        <f t="shared" si="251"/>
        <v>0</v>
      </c>
      <c r="BS391" s="52">
        <f t="shared" si="252"/>
        <v>0</v>
      </c>
      <c r="BT391" s="61">
        <f t="shared" si="253"/>
        <v>0</v>
      </c>
      <c r="BU391" s="64">
        <f t="shared" si="254"/>
        <v>0</v>
      </c>
      <c r="BV391" s="119">
        <f>SUM(Tableau1[[#This Row],[Achats confiserie]:[Achats boisson]])</f>
        <v>0</v>
      </c>
      <c r="BW391" s="58"/>
      <c r="BX391" s="69"/>
      <c r="BY391" s="58"/>
      <c r="BZ391" s="56">
        <f t="shared" si="255"/>
        <v>0</v>
      </c>
      <c r="CA391" s="66"/>
      <c r="CB391" s="66"/>
      <c r="CC391" s="56">
        <f t="shared" si="256"/>
        <v>0</v>
      </c>
      <c r="CD391" s="55"/>
      <c r="CE391" s="65"/>
      <c r="CF391" s="55"/>
      <c r="CG391" s="55"/>
      <c r="CH391" s="67">
        <f t="shared" si="257"/>
        <v>0</v>
      </c>
      <c r="CI391" s="68">
        <f t="shared" si="234"/>
        <v>0</v>
      </c>
      <c r="CJ391" s="55"/>
      <c r="CK391" s="55"/>
      <c r="CL391" s="55"/>
      <c r="CM391" s="55"/>
      <c r="CN391" s="55"/>
      <c r="CO391" s="68">
        <f t="shared" si="258"/>
        <v>0</v>
      </c>
      <c r="CP391" s="75">
        <f>SUM(Tableau1[[#This Row],[Fourniture eau]:[Energie (non précisé)]])</f>
        <v>0</v>
      </c>
      <c r="CQ391" s="55"/>
      <c r="CR391" s="55"/>
      <c r="CS391" s="55"/>
      <c r="CT391" s="55"/>
      <c r="CU391" s="55"/>
      <c r="CV391" s="55">
        <v>0</v>
      </c>
      <c r="CW391" s="55"/>
      <c r="CX391" s="68">
        <f>SUM(Tableau1[[#This Row],[Sous-traitance]:[Autres ou non précisé 12]])</f>
        <v>0</v>
      </c>
      <c r="CY391" s="65"/>
      <c r="CZ391" s="65"/>
      <c r="DA391" s="65"/>
      <c r="DB391" s="65"/>
      <c r="DC391" s="55"/>
      <c r="DD391" s="68">
        <f t="shared" si="239"/>
        <v>0</v>
      </c>
      <c r="DE391" s="55"/>
      <c r="DF391" s="65"/>
      <c r="DG391" s="65"/>
      <c r="DH391" s="65"/>
      <c r="DI391" s="68">
        <f>SUM(Tableau1[[#This Row],[Entretien et réparation matériel de projection]:[Autres ou non précisé 14]])</f>
        <v>0</v>
      </c>
      <c r="DJ391" s="58"/>
      <c r="DK391" s="58"/>
      <c r="DL391" s="69"/>
      <c r="DM391" s="68">
        <f t="shared" si="259"/>
        <v>0</v>
      </c>
      <c r="DN391" s="58"/>
      <c r="DO391" s="58"/>
      <c r="DP391" s="68">
        <f t="shared" si="260"/>
        <v>0</v>
      </c>
      <c r="DQ391" s="65"/>
      <c r="DR391" s="65"/>
      <c r="DS391" s="68">
        <f t="shared" si="261"/>
        <v>0</v>
      </c>
      <c r="DT391" s="65"/>
      <c r="DU391" s="65"/>
      <c r="DV391" s="65"/>
      <c r="DW391" s="68">
        <f>SUM(Tableau1[[#This Row],[Comission et courtage sur achats]:[Autres ou honoraires
 non précisé ]])</f>
        <v>0</v>
      </c>
      <c r="DX391" s="57"/>
      <c r="DY391" s="57"/>
      <c r="DZ391" s="65"/>
      <c r="EA391" s="65"/>
      <c r="EB391" s="65"/>
      <c r="EC391" s="68">
        <f t="shared" si="262"/>
        <v>0</v>
      </c>
      <c r="ED391" s="69"/>
      <c r="EE391" s="69"/>
      <c r="EF391" s="69"/>
      <c r="EG391" s="69"/>
      <c r="EH391" s="69"/>
      <c r="EI391" s="84">
        <f>SUM(Tableau1[[#This Row],[Transports sur films]:[autres ]])</f>
        <v>0</v>
      </c>
      <c r="EJ391" s="132">
        <v>0</v>
      </c>
      <c r="EK391" s="132"/>
      <c r="EL391" s="68">
        <f t="shared" si="263"/>
        <v>0</v>
      </c>
      <c r="EM391" s="65"/>
      <c r="EN391" s="65">
        <v>0</v>
      </c>
      <c r="EO391" s="65"/>
      <c r="EP391" s="65"/>
      <c r="EQ391" s="65"/>
      <c r="ER391" s="65"/>
      <c r="ES391" s="65"/>
      <c r="ET391" s="68">
        <f t="shared" si="264"/>
        <v>0</v>
      </c>
      <c r="EU391" s="65"/>
      <c r="EV391" s="65"/>
      <c r="EW391" s="65"/>
      <c r="EX391" s="65"/>
      <c r="EY391" s="65"/>
      <c r="EZ391" s="68">
        <f t="shared" si="241"/>
        <v>0</v>
      </c>
      <c r="FA391" s="65"/>
      <c r="FB391" s="65"/>
      <c r="FC391" s="70">
        <f t="shared" si="240"/>
        <v>0</v>
      </c>
      <c r="FD391" s="65"/>
      <c r="FE391" s="71">
        <f t="shared" si="265"/>
        <v>0</v>
      </c>
      <c r="FF391" s="72">
        <f t="shared" si="266"/>
        <v>0</v>
      </c>
      <c r="FG391" s="65"/>
      <c r="FH391" s="65"/>
      <c r="FI391" s="65"/>
      <c r="FJ391" s="56">
        <f t="shared" si="267"/>
        <v>0</v>
      </c>
      <c r="FK391" s="65"/>
      <c r="FL391" s="65"/>
      <c r="FM391" s="65"/>
      <c r="FN391" s="65"/>
      <c r="FO391" s="67">
        <f t="shared" si="268"/>
        <v>0</v>
      </c>
      <c r="FP391" s="57"/>
      <c r="FQ391" s="73"/>
      <c r="FR391" s="73"/>
      <c r="FS391" s="71">
        <f t="shared" si="269"/>
        <v>0</v>
      </c>
      <c r="FT391" s="91"/>
      <c r="FU391" s="91"/>
      <c r="FV391" s="67">
        <f>SUM(Tableau1[[#This Row],[Droits d''auteurs SACEM + cotisations SACEM]:[Autres ou non préciés]])</f>
        <v>0</v>
      </c>
      <c r="FW391" s="75">
        <f t="shared" si="270"/>
        <v>0</v>
      </c>
      <c r="FX391" s="74">
        <v>0</v>
      </c>
      <c r="FY391" s="74"/>
      <c r="FZ391" s="74"/>
      <c r="GA391" s="74"/>
      <c r="GB391" s="71">
        <f t="shared" si="271"/>
        <v>0</v>
      </c>
      <c r="GC391" s="92"/>
      <c r="GD391" s="92"/>
      <c r="GE391" s="67">
        <f t="shared" si="272"/>
        <v>0</v>
      </c>
      <c r="GF391" s="66"/>
      <c r="GG391" s="66"/>
      <c r="GH391" s="66"/>
      <c r="GI391" s="66"/>
      <c r="GJ391" s="77"/>
    </row>
    <row r="392" spans="1:192" ht="18.600000000000001" customHeight="1" x14ac:dyDescent="0.25">
      <c r="A392" s="89"/>
      <c r="B392" s="17"/>
      <c r="C392" s="50"/>
      <c r="D392" s="140"/>
      <c r="E392" s="51"/>
      <c r="F392" s="139">
        <f t="shared" si="237"/>
        <v>1</v>
      </c>
      <c r="G392" s="49"/>
      <c r="H392" s="50"/>
      <c r="I392" s="122"/>
      <c r="J392" s="49"/>
      <c r="K392" s="50"/>
      <c r="L392" s="50"/>
      <c r="M392" s="90"/>
      <c r="N392" s="50"/>
      <c r="O392" s="50"/>
      <c r="P392" s="90"/>
      <c r="Q392" s="52">
        <f t="shared" si="242"/>
        <v>0</v>
      </c>
      <c r="R392" s="52">
        <f t="shared" si="243"/>
        <v>0</v>
      </c>
      <c r="S392" s="53">
        <f t="shared" si="244"/>
        <v>0</v>
      </c>
      <c r="T392" s="54">
        <f t="shared" si="245"/>
        <v>0</v>
      </c>
      <c r="U392" s="115">
        <f>SUM(Tableau1[[#This Row],[Vente confiserie]:[Vente boisson]])</f>
        <v>0</v>
      </c>
      <c r="V392" s="95"/>
      <c r="W392" s="95"/>
      <c r="X392" s="136">
        <f>SUM(Tableau1[[#This Row],[Vente lunette]:[Location lunette]])</f>
        <v>0</v>
      </c>
      <c r="Y392" s="95"/>
      <c r="Z392" s="95"/>
      <c r="AA392" s="95"/>
      <c r="AB392" s="95"/>
      <c r="AC392" s="56">
        <f t="shared" si="235"/>
        <v>0</v>
      </c>
      <c r="AD392" s="57"/>
      <c r="AE392" s="57"/>
      <c r="AF392" s="57"/>
      <c r="AG392" s="57"/>
      <c r="AH392" s="57"/>
      <c r="AI392" s="57"/>
      <c r="AJ392" s="118">
        <f>(Tableau1[[#This Row],[Recette guichet ]]*1.1275177)-Tableau1[[#This Row],[Recette guichet ]]</f>
        <v>0</v>
      </c>
      <c r="AK392" s="57"/>
      <c r="AL392" s="56">
        <f t="shared" si="236"/>
        <v>0</v>
      </c>
      <c r="AM392" s="58"/>
      <c r="AN392" s="58"/>
      <c r="AO392" s="58"/>
      <c r="AP392" s="115">
        <f t="shared" si="246"/>
        <v>0</v>
      </c>
      <c r="AQ392" s="69"/>
      <c r="AR392" s="69"/>
      <c r="AS392" s="69"/>
      <c r="AT392" s="69"/>
      <c r="AU392" s="59">
        <f t="shared" si="247"/>
        <v>0</v>
      </c>
      <c r="AV392" s="60">
        <f t="shared" si="248"/>
        <v>0</v>
      </c>
      <c r="AW392" s="58"/>
      <c r="AX392" s="58"/>
      <c r="AY392" s="58"/>
      <c r="AZ392" s="60">
        <f t="shared" si="238"/>
        <v>0</v>
      </c>
      <c r="BA392" s="58"/>
      <c r="BB392" s="58"/>
      <c r="BC392" s="58"/>
      <c r="BD392" s="60">
        <f>SUM(Tableau1[[#This Row],[ticket/carte/abonnement périmé]:[Autres ou non précisé 5]])</f>
        <v>0</v>
      </c>
      <c r="BE392" s="58"/>
      <c r="BF392" s="58"/>
      <c r="BG392" s="58"/>
      <c r="BH392" s="61">
        <f t="shared" si="249"/>
        <v>0</v>
      </c>
      <c r="BI392" s="120"/>
      <c r="BJ392" s="120"/>
      <c r="BK392" s="62">
        <f t="shared" si="250"/>
        <v>0</v>
      </c>
      <c r="BL392" s="120"/>
      <c r="BM392" s="120"/>
      <c r="BN392" s="120"/>
      <c r="BO392" s="120"/>
      <c r="BP392" s="120"/>
      <c r="BQ392" s="63"/>
      <c r="BR392" s="52">
        <f t="shared" si="251"/>
        <v>0</v>
      </c>
      <c r="BS392" s="52">
        <f t="shared" si="252"/>
        <v>0</v>
      </c>
      <c r="BT392" s="61">
        <f t="shared" si="253"/>
        <v>0</v>
      </c>
      <c r="BU392" s="64">
        <f t="shared" si="254"/>
        <v>0</v>
      </c>
      <c r="BV392" s="119">
        <f>SUM(Tableau1[[#This Row],[Achats confiserie]:[Achats boisson]])</f>
        <v>0</v>
      </c>
      <c r="BW392" s="58"/>
      <c r="BX392" s="69"/>
      <c r="BY392" s="58"/>
      <c r="BZ392" s="56">
        <f t="shared" si="255"/>
        <v>0</v>
      </c>
      <c r="CA392" s="66"/>
      <c r="CB392" s="66"/>
      <c r="CC392" s="56">
        <f t="shared" si="256"/>
        <v>0</v>
      </c>
      <c r="CD392" s="55"/>
      <c r="CE392" s="65"/>
      <c r="CF392" s="55"/>
      <c r="CG392" s="55"/>
      <c r="CH392" s="67">
        <f t="shared" si="257"/>
        <v>0</v>
      </c>
      <c r="CI392" s="68">
        <f t="shared" si="234"/>
        <v>0</v>
      </c>
      <c r="CJ392" s="55"/>
      <c r="CK392" s="55"/>
      <c r="CL392" s="55"/>
      <c r="CM392" s="55"/>
      <c r="CN392" s="55"/>
      <c r="CO392" s="68">
        <f t="shared" si="258"/>
        <v>0</v>
      </c>
      <c r="CP392" s="75">
        <f>SUM(Tableau1[[#This Row],[Fourniture eau]:[Energie (non précisé)]])</f>
        <v>0</v>
      </c>
      <c r="CQ392" s="55"/>
      <c r="CR392" s="55"/>
      <c r="CS392" s="55"/>
      <c r="CT392" s="55"/>
      <c r="CU392" s="55"/>
      <c r="CV392" s="55">
        <v>0</v>
      </c>
      <c r="CW392" s="55"/>
      <c r="CX392" s="68">
        <f>SUM(Tableau1[[#This Row],[Sous-traitance]:[Autres ou non précisé 12]])</f>
        <v>0</v>
      </c>
      <c r="CY392" s="65"/>
      <c r="CZ392" s="65"/>
      <c r="DA392" s="65"/>
      <c r="DB392" s="65"/>
      <c r="DC392" s="55"/>
      <c r="DD392" s="68">
        <f t="shared" si="239"/>
        <v>0</v>
      </c>
      <c r="DE392" s="55"/>
      <c r="DF392" s="65"/>
      <c r="DG392" s="65"/>
      <c r="DH392" s="65"/>
      <c r="DI392" s="68">
        <f>SUM(Tableau1[[#This Row],[Entretien et réparation matériel de projection]:[Autres ou non précisé 14]])</f>
        <v>0</v>
      </c>
      <c r="DJ392" s="58"/>
      <c r="DK392" s="58"/>
      <c r="DL392" s="69"/>
      <c r="DM392" s="68">
        <f t="shared" si="259"/>
        <v>0</v>
      </c>
      <c r="DN392" s="58"/>
      <c r="DO392" s="58"/>
      <c r="DP392" s="68">
        <f t="shared" si="260"/>
        <v>0</v>
      </c>
      <c r="DQ392" s="65"/>
      <c r="DR392" s="65"/>
      <c r="DS392" s="68">
        <f t="shared" si="261"/>
        <v>0</v>
      </c>
      <c r="DT392" s="65"/>
      <c r="DU392" s="65"/>
      <c r="DV392" s="65"/>
      <c r="DW392" s="68">
        <f>SUM(Tableau1[[#This Row],[Comission et courtage sur achats]:[Autres ou honoraires
 non précisé ]])</f>
        <v>0</v>
      </c>
      <c r="DX392" s="57"/>
      <c r="DY392" s="57"/>
      <c r="DZ392" s="65"/>
      <c r="EA392" s="65"/>
      <c r="EB392" s="65"/>
      <c r="EC392" s="68">
        <f t="shared" si="262"/>
        <v>0</v>
      </c>
      <c r="ED392" s="69"/>
      <c r="EE392" s="69"/>
      <c r="EF392" s="69"/>
      <c r="EG392" s="69"/>
      <c r="EH392" s="69"/>
      <c r="EI392" s="84">
        <f>SUM(Tableau1[[#This Row],[Transports sur films]:[autres ]])</f>
        <v>0</v>
      </c>
      <c r="EJ392" s="132">
        <v>0</v>
      </c>
      <c r="EK392" s="132"/>
      <c r="EL392" s="68">
        <f t="shared" si="263"/>
        <v>0</v>
      </c>
      <c r="EM392" s="65"/>
      <c r="EN392" s="65">
        <v>0</v>
      </c>
      <c r="EO392" s="65"/>
      <c r="EP392" s="65"/>
      <c r="EQ392" s="65"/>
      <c r="ER392" s="65"/>
      <c r="ES392" s="65"/>
      <c r="ET392" s="68">
        <f t="shared" si="264"/>
        <v>0</v>
      </c>
      <c r="EU392" s="65"/>
      <c r="EV392" s="65"/>
      <c r="EW392" s="65"/>
      <c r="EX392" s="65"/>
      <c r="EY392" s="65"/>
      <c r="EZ392" s="68">
        <f t="shared" si="241"/>
        <v>0</v>
      </c>
      <c r="FA392" s="65"/>
      <c r="FB392" s="65"/>
      <c r="FC392" s="70">
        <f t="shared" si="240"/>
        <v>0</v>
      </c>
      <c r="FD392" s="65"/>
      <c r="FE392" s="71">
        <f t="shared" si="265"/>
        <v>0</v>
      </c>
      <c r="FF392" s="72">
        <f t="shared" si="266"/>
        <v>0</v>
      </c>
      <c r="FG392" s="65"/>
      <c r="FH392" s="65"/>
      <c r="FI392" s="65"/>
      <c r="FJ392" s="56">
        <f t="shared" si="267"/>
        <v>0</v>
      </c>
      <c r="FK392" s="65"/>
      <c r="FL392" s="65"/>
      <c r="FM392" s="65"/>
      <c r="FN392" s="65"/>
      <c r="FO392" s="67">
        <f t="shared" si="268"/>
        <v>0</v>
      </c>
      <c r="FP392" s="57"/>
      <c r="FQ392" s="73"/>
      <c r="FR392" s="73"/>
      <c r="FS392" s="71">
        <f t="shared" si="269"/>
        <v>0</v>
      </c>
      <c r="FT392" s="91"/>
      <c r="FU392" s="91"/>
      <c r="FV392" s="67">
        <f>SUM(Tableau1[[#This Row],[Droits d''auteurs SACEM + cotisations SACEM]:[Autres ou non préciés]])</f>
        <v>0</v>
      </c>
      <c r="FW392" s="75">
        <f t="shared" si="270"/>
        <v>0</v>
      </c>
      <c r="FX392" s="74">
        <v>0</v>
      </c>
      <c r="FY392" s="74"/>
      <c r="FZ392" s="74"/>
      <c r="GA392" s="74"/>
      <c r="GB392" s="71">
        <f t="shared" si="271"/>
        <v>0</v>
      </c>
      <c r="GC392" s="92"/>
      <c r="GD392" s="92"/>
      <c r="GE392" s="67">
        <f t="shared" si="272"/>
        <v>0</v>
      </c>
      <c r="GF392" s="66"/>
      <c r="GG392" s="66"/>
      <c r="GH392" s="66"/>
      <c r="GI392" s="66"/>
      <c r="GJ392" s="77"/>
    </row>
    <row r="393" spans="1:192" ht="18.600000000000001" customHeight="1" x14ac:dyDescent="0.25">
      <c r="A393" s="89"/>
      <c r="B393" s="17"/>
      <c r="C393" s="50"/>
      <c r="D393" s="140"/>
      <c r="E393" s="51"/>
      <c r="F393" s="139">
        <f t="shared" si="237"/>
        <v>1</v>
      </c>
      <c r="G393" s="49"/>
      <c r="H393" s="50"/>
      <c r="I393" s="122"/>
      <c r="J393" s="49"/>
      <c r="K393" s="50"/>
      <c r="L393" s="50"/>
      <c r="M393" s="90"/>
      <c r="N393" s="50"/>
      <c r="O393" s="50"/>
      <c r="P393" s="90"/>
      <c r="Q393" s="52">
        <f t="shared" si="242"/>
        <v>0</v>
      </c>
      <c r="R393" s="52">
        <f t="shared" si="243"/>
        <v>0</v>
      </c>
      <c r="S393" s="53">
        <f t="shared" si="244"/>
        <v>0</v>
      </c>
      <c r="T393" s="54">
        <f t="shared" si="245"/>
        <v>0</v>
      </c>
      <c r="U393" s="115">
        <f>SUM(Tableau1[[#This Row],[Vente confiserie]:[Vente boisson]])</f>
        <v>0</v>
      </c>
      <c r="V393" s="95"/>
      <c r="W393" s="95"/>
      <c r="X393" s="136">
        <f>SUM(Tableau1[[#This Row],[Vente lunette]:[Location lunette]])</f>
        <v>0</v>
      </c>
      <c r="Y393" s="95"/>
      <c r="Z393" s="95"/>
      <c r="AA393" s="95"/>
      <c r="AB393" s="95"/>
      <c r="AC393" s="56">
        <f t="shared" si="235"/>
        <v>0</v>
      </c>
      <c r="AD393" s="57"/>
      <c r="AE393" s="57"/>
      <c r="AF393" s="57"/>
      <c r="AG393" s="57"/>
      <c r="AH393" s="57"/>
      <c r="AI393" s="57"/>
      <c r="AJ393" s="118">
        <f>(Tableau1[[#This Row],[Recette guichet ]]*1.1275177)-Tableau1[[#This Row],[Recette guichet ]]</f>
        <v>0</v>
      </c>
      <c r="AK393" s="57"/>
      <c r="AL393" s="56">
        <f t="shared" si="236"/>
        <v>0</v>
      </c>
      <c r="AM393" s="58"/>
      <c r="AN393" s="58"/>
      <c r="AO393" s="58"/>
      <c r="AP393" s="115">
        <f t="shared" si="246"/>
        <v>0</v>
      </c>
      <c r="AQ393" s="69"/>
      <c r="AR393" s="69"/>
      <c r="AS393" s="69"/>
      <c r="AT393" s="69"/>
      <c r="AU393" s="59">
        <f t="shared" si="247"/>
        <v>0</v>
      </c>
      <c r="AV393" s="60">
        <f t="shared" si="248"/>
        <v>0</v>
      </c>
      <c r="AW393" s="58"/>
      <c r="AX393" s="58"/>
      <c r="AY393" s="58"/>
      <c r="AZ393" s="60">
        <f t="shared" si="238"/>
        <v>0</v>
      </c>
      <c r="BA393" s="58"/>
      <c r="BB393" s="58"/>
      <c r="BC393" s="58"/>
      <c r="BD393" s="60">
        <f>SUM(Tableau1[[#This Row],[ticket/carte/abonnement périmé]:[Autres ou non précisé 5]])</f>
        <v>0</v>
      </c>
      <c r="BE393" s="58"/>
      <c r="BF393" s="58"/>
      <c r="BG393" s="58"/>
      <c r="BH393" s="61">
        <f t="shared" si="249"/>
        <v>0</v>
      </c>
      <c r="BI393" s="120"/>
      <c r="BJ393" s="120"/>
      <c r="BK393" s="62">
        <f t="shared" si="250"/>
        <v>0</v>
      </c>
      <c r="BL393" s="120"/>
      <c r="BM393" s="120"/>
      <c r="BN393" s="120"/>
      <c r="BO393" s="120"/>
      <c r="BP393" s="120"/>
      <c r="BQ393" s="63"/>
      <c r="BR393" s="52">
        <f t="shared" si="251"/>
        <v>0</v>
      </c>
      <c r="BS393" s="52">
        <f t="shared" si="252"/>
        <v>0</v>
      </c>
      <c r="BT393" s="61">
        <f t="shared" si="253"/>
        <v>0</v>
      </c>
      <c r="BU393" s="64">
        <f t="shared" si="254"/>
        <v>0</v>
      </c>
      <c r="BV393" s="119">
        <f>SUM(Tableau1[[#This Row],[Achats confiserie]:[Achats boisson]])</f>
        <v>0</v>
      </c>
      <c r="BW393" s="58"/>
      <c r="BX393" s="69"/>
      <c r="BY393" s="58"/>
      <c r="BZ393" s="56">
        <f t="shared" si="255"/>
        <v>0</v>
      </c>
      <c r="CA393" s="66"/>
      <c r="CB393" s="66"/>
      <c r="CC393" s="56">
        <f t="shared" si="256"/>
        <v>0</v>
      </c>
      <c r="CD393" s="55"/>
      <c r="CE393" s="65"/>
      <c r="CF393" s="55"/>
      <c r="CG393" s="55"/>
      <c r="CH393" s="67">
        <f t="shared" si="257"/>
        <v>0</v>
      </c>
      <c r="CI393" s="68">
        <f t="shared" si="234"/>
        <v>0</v>
      </c>
      <c r="CJ393" s="55"/>
      <c r="CK393" s="55"/>
      <c r="CL393" s="55"/>
      <c r="CM393" s="55"/>
      <c r="CN393" s="55"/>
      <c r="CO393" s="68">
        <f t="shared" si="258"/>
        <v>0</v>
      </c>
      <c r="CP393" s="75">
        <f>SUM(Tableau1[[#This Row],[Fourniture eau]:[Energie (non précisé)]])</f>
        <v>0</v>
      </c>
      <c r="CQ393" s="55"/>
      <c r="CR393" s="55"/>
      <c r="CS393" s="55"/>
      <c r="CT393" s="55"/>
      <c r="CU393" s="55"/>
      <c r="CV393" s="55">
        <v>0</v>
      </c>
      <c r="CW393" s="55"/>
      <c r="CX393" s="68">
        <f>SUM(Tableau1[[#This Row],[Sous-traitance]:[Autres ou non précisé 12]])</f>
        <v>0</v>
      </c>
      <c r="CY393" s="65"/>
      <c r="CZ393" s="65"/>
      <c r="DA393" s="65"/>
      <c r="DB393" s="65"/>
      <c r="DC393" s="55"/>
      <c r="DD393" s="68">
        <f t="shared" si="239"/>
        <v>0</v>
      </c>
      <c r="DE393" s="55"/>
      <c r="DF393" s="65"/>
      <c r="DG393" s="65"/>
      <c r="DH393" s="65"/>
      <c r="DI393" s="68">
        <f>SUM(Tableau1[[#This Row],[Entretien et réparation matériel de projection]:[Autres ou non précisé 14]])</f>
        <v>0</v>
      </c>
      <c r="DJ393" s="58"/>
      <c r="DK393" s="58"/>
      <c r="DL393" s="69"/>
      <c r="DM393" s="68">
        <f t="shared" si="259"/>
        <v>0</v>
      </c>
      <c r="DN393" s="58"/>
      <c r="DO393" s="58"/>
      <c r="DP393" s="68">
        <f t="shared" si="260"/>
        <v>0</v>
      </c>
      <c r="DQ393" s="65"/>
      <c r="DR393" s="65"/>
      <c r="DS393" s="68">
        <f t="shared" si="261"/>
        <v>0</v>
      </c>
      <c r="DT393" s="65"/>
      <c r="DU393" s="65"/>
      <c r="DV393" s="65"/>
      <c r="DW393" s="68">
        <f>SUM(Tableau1[[#This Row],[Comission et courtage sur achats]:[Autres ou honoraires
 non précisé ]])</f>
        <v>0</v>
      </c>
      <c r="DX393" s="57"/>
      <c r="DY393" s="57"/>
      <c r="DZ393" s="65"/>
      <c r="EA393" s="65"/>
      <c r="EB393" s="65"/>
      <c r="EC393" s="68">
        <f t="shared" si="262"/>
        <v>0</v>
      </c>
      <c r="ED393" s="69"/>
      <c r="EE393" s="69"/>
      <c r="EF393" s="69"/>
      <c r="EG393" s="69"/>
      <c r="EH393" s="69"/>
      <c r="EI393" s="84">
        <f>SUM(Tableau1[[#This Row],[Transports sur films]:[autres ]])</f>
        <v>0</v>
      </c>
      <c r="EJ393" s="132">
        <v>0</v>
      </c>
      <c r="EK393" s="132"/>
      <c r="EL393" s="68">
        <f t="shared" si="263"/>
        <v>0</v>
      </c>
      <c r="EM393" s="65"/>
      <c r="EN393" s="65">
        <v>0</v>
      </c>
      <c r="EO393" s="65"/>
      <c r="EP393" s="65"/>
      <c r="EQ393" s="65"/>
      <c r="ER393" s="65"/>
      <c r="ES393" s="65"/>
      <c r="ET393" s="68">
        <f t="shared" si="264"/>
        <v>0</v>
      </c>
      <c r="EU393" s="65"/>
      <c r="EV393" s="65"/>
      <c r="EW393" s="65"/>
      <c r="EX393" s="65"/>
      <c r="EY393" s="65"/>
      <c r="EZ393" s="68">
        <f t="shared" si="241"/>
        <v>0</v>
      </c>
      <c r="FA393" s="65"/>
      <c r="FB393" s="65"/>
      <c r="FC393" s="70">
        <f t="shared" si="240"/>
        <v>0</v>
      </c>
      <c r="FD393" s="65"/>
      <c r="FE393" s="71">
        <f t="shared" si="265"/>
        <v>0</v>
      </c>
      <c r="FF393" s="72">
        <f t="shared" si="266"/>
        <v>0</v>
      </c>
      <c r="FG393" s="65"/>
      <c r="FH393" s="65"/>
      <c r="FI393" s="65"/>
      <c r="FJ393" s="56">
        <f t="shared" si="267"/>
        <v>0</v>
      </c>
      <c r="FK393" s="65"/>
      <c r="FL393" s="65"/>
      <c r="FM393" s="65"/>
      <c r="FN393" s="65"/>
      <c r="FO393" s="67">
        <f t="shared" si="268"/>
        <v>0</v>
      </c>
      <c r="FP393" s="57"/>
      <c r="FQ393" s="73"/>
      <c r="FR393" s="73"/>
      <c r="FS393" s="71">
        <f t="shared" si="269"/>
        <v>0</v>
      </c>
      <c r="FT393" s="91"/>
      <c r="FU393" s="91"/>
      <c r="FV393" s="67">
        <f>SUM(Tableau1[[#This Row],[Droits d''auteurs SACEM + cotisations SACEM]:[Autres ou non préciés]])</f>
        <v>0</v>
      </c>
      <c r="FW393" s="75">
        <f t="shared" si="270"/>
        <v>0</v>
      </c>
      <c r="FX393" s="74">
        <v>0</v>
      </c>
      <c r="FY393" s="74"/>
      <c r="FZ393" s="74"/>
      <c r="GA393" s="74"/>
      <c r="GB393" s="71">
        <f t="shared" si="271"/>
        <v>0</v>
      </c>
      <c r="GC393" s="92"/>
      <c r="GD393" s="92"/>
      <c r="GE393" s="67">
        <f t="shared" si="272"/>
        <v>0</v>
      </c>
      <c r="GF393" s="66"/>
      <c r="GG393" s="66"/>
      <c r="GH393" s="66"/>
      <c r="GI393" s="66"/>
      <c r="GJ393" s="77"/>
    </row>
    <row r="394" spans="1:192" ht="18.600000000000001" customHeight="1" x14ac:dyDescent="0.25">
      <c r="A394" s="89"/>
      <c r="B394" s="17"/>
      <c r="C394" s="50"/>
      <c r="D394" s="140"/>
      <c r="E394" s="51"/>
      <c r="F394" s="139">
        <f t="shared" si="237"/>
        <v>1</v>
      </c>
      <c r="G394" s="49"/>
      <c r="H394" s="50"/>
      <c r="I394" s="122"/>
      <c r="J394" s="49"/>
      <c r="K394" s="50"/>
      <c r="L394" s="50"/>
      <c r="M394" s="90"/>
      <c r="N394" s="50"/>
      <c r="O394" s="50"/>
      <c r="P394" s="90"/>
      <c r="Q394" s="52">
        <f t="shared" si="242"/>
        <v>0</v>
      </c>
      <c r="R394" s="52">
        <f t="shared" si="243"/>
        <v>0</v>
      </c>
      <c r="S394" s="53">
        <f t="shared" si="244"/>
        <v>0</v>
      </c>
      <c r="T394" s="54">
        <f t="shared" si="245"/>
        <v>0</v>
      </c>
      <c r="U394" s="115">
        <f>SUM(Tableau1[[#This Row],[Vente confiserie]:[Vente boisson]])</f>
        <v>0</v>
      </c>
      <c r="V394" s="95"/>
      <c r="W394" s="95"/>
      <c r="X394" s="136">
        <f>SUM(Tableau1[[#This Row],[Vente lunette]:[Location lunette]])</f>
        <v>0</v>
      </c>
      <c r="Y394" s="95"/>
      <c r="Z394" s="95"/>
      <c r="AA394" s="95"/>
      <c r="AB394" s="95"/>
      <c r="AC394" s="56">
        <f t="shared" si="235"/>
        <v>0</v>
      </c>
      <c r="AD394" s="57"/>
      <c r="AE394" s="57"/>
      <c r="AF394" s="57"/>
      <c r="AG394" s="57"/>
      <c r="AH394" s="57"/>
      <c r="AI394" s="57"/>
      <c r="AJ394" s="118">
        <f>(Tableau1[[#This Row],[Recette guichet ]]*1.1275177)-Tableau1[[#This Row],[Recette guichet ]]</f>
        <v>0</v>
      </c>
      <c r="AK394" s="57"/>
      <c r="AL394" s="56">
        <f t="shared" si="236"/>
        <v>0</v>
      </c>
      <c r="AM394" s="58"/>
      <c r="AN394" s="58"/>
      <c r="AO394" s="58"/>
      <c r="AP394" s="115">
        <f t="shared" si="246"/>
        <v>0</v>
      </c>
      <c r="AQ394" s="69"/>
      <c r="AR394" s="69"/>
      <c r="AS394" s="69"/>
      <c r="AT394" s="69"/>
      <c r="AU394" s="59">
        <f t="shared" si="247"/>
        <v>0</v>
      </c>
      <c r="AV394" s="60">
        <f t="shared" si="248"/>
        <v>0</v>
      </c>
      <c r="AW394" s="58"/>
      <c r="AX394" s="58"/>
      <c r="AY394" s="58"/>
      <c r="AZ394" s="60">
        <f t="shared" si="238"/>
        <v>0</v>
      </c>
      <c r="BA394" s="58"/>
      <c r="BB394" s="58"/>
      <c r="BC394" s="58"/>
      <c r="BD394" s="60">
        <f>SUM(Tableau1[[#This Row],[ticket/carte/abonnement périmé]:[Autres ou non précisé 5]])</f>
        <v>0</v>
      </c>
      <c r="BE394" s="58"/>
      <c r="BF394" s="58"/>
      <c r="BG394" s="58"/>
      <c r="BH394" s="61">
        <f t="shared" si="249"/>
        <v>0</v>
      </c>
      <c r="BI394" s="120"/>
      <c r="BJ394" s="120"/>
      <c r="BK394" s="62">
        <f t="shared" si="250"/>
        <v>0</v>
      </c>
      <c r="BL394" s="120"/>
      <c r="BM394" s="120"/>
      <c r="BN394" s="120"/>
      <c r="BO394" s="120"/>
      <c r="BP394" s="120"/>
      <c r="BQ394" s="63"/>
      <c r="BR394" s="52">
        <f t="shared" si="251"/>
        <v>0</v>
      </c>
      <c r="BS394" s="52">
        <f t="shared" si="252"/>
        <v>0</v>
      </c>
      <c r="BT394" s="61">
        <f t="shared" si="253"/>
        <v>0</v>
      </c>
      <c r="BU394" s="64">
        <f t="shared" si="254"/>
        <v>0</v>
      </c>
      <c r="BV394" s="119">
        <f>SUM(Tableau1[[#This Row],[Achats confiserie]:[Achats boisson]])</f>
        <v>0</v>
      </c>
      <c r="BW394" s="58"/>
      <c r="BX394" s="69"/>
      <c r="BY394" s="58"/>
      <c r="BZ394" s="56">
        <f t="shared" si="255"/>
        <v>0</v>
      </c>
      <c r="CA394" s="66"/>
      <c r="CB394" s="66"/>
      <c r="CC394" s="56">
        <f t="shared" si="256"/>
        <v>0</v>
      </c>
      <c r="CD394" s="55"/>
      <c r="CE394" s="65"/>
      <c r="CF394" s="55"/>
      <c r="CG394" s="55"/>
      <c r="CH394" s="67">
        <f t="shared" si="257"/>
        <v>0</v>
      </c>
      <c r="CI394" s="68">
        <f t="shared" si="234"/>
        <v>0</v>
      </c>
      <c r="CJ394" s="55"/>
      <c r="CK394" s="55"/>
      <c r="CL394" s="55"/>
      <c r="CM394" s="55"/>
      <c r="CN394" s="55"/>
      <c r="CO394" s="68">
        <f t="shared" si="258"/>
        <v>0</v>
      </c>
      <c r="CP394" s="75">
        <f>SUM(Tableau1[[#This Row],[Fourniture eau]:[Energie (non précisé)]])</f>
        <v>0</v>
      </c>
      <c r="CQ394" s="55"/>
      <c r="CR394" s="55"/>
      <c r="CS394" s="55"/>
      <c r="CT394" s="55"/>
      <c r="CU394" s="55"/>
      <c r="CV394" s="55">
        <v>0</v>
      </c>
      <c r="CW394" s="55"/>
      <c r="CX394" s="68">
        <f>SUM(Tableau1[[#This Row],[Sous-traitance]:[Autres ou non précisé 12]])</f>
        <v>0</v>
      </c>
      <c r="CY394" s="65"/>
      <c r="CZ394" s="65"/>
      <c r="DA394" s="65"/>
      <c r="DB394" s="65"/>
      <c r="DC394" s="55"/>
      <c r="DD394" s="68">
        <f t="shared" si="239"/>
        <v>0</v>
      </c>
      <c r="DE394" s="55"/>
      <c r="DF394" s="65"/>
      <c r="DG394" s="65"/>
      <c r="DH394" s="65"/>
      <c r="DI394" s="68">
        <f>SUM(Tableau1[[#This Row],[Entretien et réparation matériel de projection]:[Autres ou non précisé 14]])</f>
        <v>0</v>
      </c>
      <c r="DJ394" s="58"/>
      <c r="DK394" s="58"/>
      <c r="DL394" s="69"/>
      <c r="DM394" s="68">
        <f t="shared" si="259"/>
        <v>0</v>
      </c>
      <c r="DN394" s="58"/>
      <c r="DO394" s="58"/>
      <c r="DP394" s="68">
        <f t="shared" si="260"/>
        <v>0</v>
      </c>
      <c r="DQ394" s="65"/>
      <c r="DR394" s="65"/>
      <c r="DS394" s="68">
        <f t="shared" si="261"/>
        <v>0</v>
      </c>
      <c r="DT394" s="65"/>
      <c r="DU394" s="65"/>
      <c r="DV394" s="65"/>
      <c r="DW394" s="68">
        <f>SUM(Tableau1[[#This Row],[Comission et courtage sur achats]:[Autres ou honoraires
 non précisé ]])</f>
        <v>0</v>
      </c>
      <c r="DX394" s="57"/>
      <c r="DY394" s="57"/>
      <c r="DZ394" s="65"/>
      <c r="EA394" s="65"/>
      <c r="EB394" s="65"/>
      <c r="EC394" s="68">
        <f t="shared" si="262"/>
        <v>0</v>
      </c>
      <c r="ED394" s="69"/>
      <c r="EE394" s="69"/>
      <c r="EF394" s="69"/>
      <c r="EG394" s="69"/>
      <c r="EH394" s="69"/>
      <c r="EI394" s="84">
        <f>SUM(Tableau1[[#This Row],[Transports sur films]:[autres ]])</f>
        <v>0</v>
      </c>
      <c r="EJ394" s="132">
        <v>0</v>
      </c>
      <c r="EK394" s="132"/>
      <c r="EL394" s="68">
        <f t="shared" si="263"/>
        <v>0</v>
      </c>
      <c r="EM394" s="65"/>
      <c r="EN394" s="65">
        <v>0</v>
      </c>
      <c r="EO394" s="65"/>
      <c r="EP394" s="65"/>
      <c r="EQ394" s="65"/>
      <c r="ER394" s="65"/>
      <c r="ES394" s="65"/>
      <c r="ET394" s="68">
        <f t="shared" si="264"/>
        <v>0</v>
      </c>
      <c r="EU394" s="65"/>
      <c r="EV394" s="65"/>
      <c r="EW394" s="65"/>
      <c r="EX394" s="65"/>
      <c r="EY394" s="65"/>
      <c r="EZ394" s="68">
        <f t="shared" si="241"/>
        <v>0</v>
      </c>
      <c r="FA394" s="65"/>
      <c r="FB394" s="65"/>
      <c r="FC394" s="70">
        <f t="shared" si="240"/>
        <v>0</v>
      </c>
      <c r="FD394" s="65"/>
      <c r="FE394" s="71">
        <f t="shared" si="265"/>
        <v>0</v>
      </c>
      <c r="FF394" s="72">
        <f t="shared" si="266"/>
        <v>0</v>
      </c>
      <c r="FG394" s="65"/>
      <c r="FH394" s="65"/>
      <c r="FI394" s="65"/>
      <c r="FJ394" s="56">
        <f t="shared" si="267"/>
        <v>0</v>
      </c>
      <c r="FK394" s="65"/>
      <c r="FL394" s="65"/>
      <c r="FM394" s="65"/>
      <c r="FN394" s="65"/>
      <c r="FO394" s="67">
        <f t="shared" si="268"/>
        <v>0</v>
      </c>
      <c r="FP394" s="57"/>
      <c r="FQ394" s="73"/>
      <c r="FR394" s="73"/>
      <c r="FS394" s="71">
        <f t="shared" si="269"/>
        <v>0</v>
      </c>
      <c r="FT394" s="91"/>
      <c r="FU394" s="91"/>
      <c r="FV394" s="67">
        <f>SUM(Tableau1[[#This Row],[Droits d''auteurs SACEM + cotisations SACEM]:[Autres ou non préciés]])</f>
        <v>0</v>
      </c>
      <c r="FW394" s="75">
        <f t="shared" si="270"/>
        <v>0</v>
      </c>
      <c r="FX394" s="74">
        <v>0</v>
      </c>
      <c r="FY394" s="74"/>
      <c r="FZ394" s="74"/>
      <c r="GA394" s="74"/>
      <c r="GB394" s="71">
        <f t="shared" si="271"/>
        <v>0</v>
      </c>
      <c r="GC394" s="92"/>
      <c r="GD394" s="92"/>
      <c r="GE394" s="67">
        <f t="shared" si="272"/>
        <v>0</v>
      </c>
      <c r="GF394" s="66"/>
      <c r="GG394" s="66"/>
      <c r="GH394" s="66"/>
      <c r="GI394" s="66"/>
      <c r="GJ394" s="77"/>
    </row>
    <row r="395" spans="1:192" ht="18.600000000000001" customHeight="1" x14ac:dyDescent="0.25">
      <c r="A395" s="89"/>
      <c r="B395" s="17"/>
      <c r="C395" s="50"/>
      <c r="D395" s="140"/>
      <c r="E395" s="51"/>
      <c r="F395" s="139">
        <f t="shared" si="237"/>
        <v>1</v>
      </c>
      <c r="G395" s="49"/>
      <c r="H395" s="50"/>
      <c r="I395" s="122"/>
      <c r="J395" s="49"/>
      <c r="K395" s="50"/>
      <c r="L395" s="50"/>
      <c r="M395" s="90"/>
      <c r="N395" s="50"/>
      <c r="O395" s="50"/>
      <c r="P395" s="90"/>
      <c r="Q395" s="52">
        <f t="shared" si="242"/>
        <v>0</v>
      </c>
      <c r="R395" s="52">
        <f t="shared" si="243"/>
        <v>0</v>
      </c>
      <c r="S395" s="53">
        <f t="shared" si="244"/>
        <v>0</v>
      </c>
      <c r="T395" s="54">
        <f t="shared" si="245"/>
        <v>0</v>
      </c>
      <c r="U395" s="115">
        <f>SUM(Tableau1[[#This Row],[Vente confiserie]:[Vente boisson]])</f>
        <v>0</v>
      </c>
      <c r="V395" s="95"/>
      <c r="W395" s="95"/>
      <c r="X395" s="136">
        <f>SUM(Tableau1[[#This Row],[Vente lunette]:[Location lunette]])</f>
        <v>0</v>
      </c>
      <c r="Y395" s="95"/>
      <c r="Z395" s="95"/>
      <c r="AA395" s="95"/>
      <c r="AB395" s="95"/>
      <c r="AC395" s="56">
        <f t="shared" si="235"/>
        <v>0</v>
      </c>
      <c r="AD395" s="57"/>
      <c r="AE395" s="57"/>
      <c r="AF395" s="57"/>
      <c r="AG395" s="57"/>
      <c r="AH395" s="57"/>
      <c r="AI395" s="57"/>
      <c r="AJ395" s="118">
        <f>(Tableau1[[#This Row],[Recette guichet ]]*1.1275177)-Tableau1[[#This Row],[Recette guichet ]]</f>
        <v>0</v>
      </c>
      <c r="AK395" s="57"/>
      <c r="AL395" s="56">
        <f t="shared" si="236"/>
        <v>0</v>
      </c>
      <c r="AM395" s="58"/>
      <c r="AN395" s="58"/>
      <c r="AO395" s="58"/>
      <c r="AP395" s="115">
        <f t="shared" si="246"/>
        <v>0</v>
      </c>
      <c r="AQ395" s="69"/>
      <c r="AR395" s="69"/>
      <c r="AS395" s="69"/>
      <c r="AT395" s="69"/>
      <c r="AU395" s="59">
        <f t="shared" si="247"/>
        <v>0</v>
      </c>
      <c r="AV395" s="60">
        <f t="shared" si="248"/>
        <v>0</v>
      </c>
      <c r="AW395" s="58"/>
      <c r="AX395" s="58"/>
      <c r="AY395" s="58"/>
      <c r="AZ395" s="60">
        <f t="shared" si="238"/>
        <v>0</v>
      </c>
      <c r="BA395" s="58"/>
      <c r="BB395" s="58"/>
      <c r="BC395" s="58"/>
      <c r="BD395" s="60">
        <f>SUM(Tableau1[[#This Row],[ticket/carte/abonnement périmé]:[Autres ou non précisé 5]])</f>
        <v>0</v>
      </c>
      <c r="BE395" s="58"/>
      <c r="BF395" s="58"/>
      <c r="BG395" s="58"/>
      <c r="BH395" s="61">
        <f t="shared" si="249"/>
        <v>0</v>
      </c>
      <c r="BI395" s="120"/>
      <c r="BJ395" s="120"/>
      <c r="BK395" s="62">
        <f t="shared" si="250"/>
        <v>0</v>
      </c>
      <c r="BL395" s="120"/>
      <c r="BM395" s="120"/>
      <c r="BN395" s="120"/>
      <c r="BO395" s="120"/>
      <c r="BP395" s="120"/>
      <c r="BQ395" s="63"/>
      <c r="BR395" s="52">
        <f t="shared" si="251"/>
        <v>0</v>
      </c>
      <c r="BS395" s="52">
        <f t="shared" si="252"/>
        <v>0</v>
      </c>
      <c r="BT395" s="61">
        <f t="shared" si="253"/>
        <v>0</v>
      </c>
      <c r="BU395" s="64">
        <f t="shared" si="254"/>
        <v>0</v>
      </c>
      <c r="BV395" s="119">
        <f>SUM(Tableau1[[#This Row],[Achats confiserie]:[Achats boisson]])</f>
        <v>0</v>
      </c>
      <c r="BW395" s="58"/>
      <c r="BX395" s="69"/>
      <c r="BY395" s="58"/>
      <c r="BZ395" s="56">
        <f t="shared" si="255"/>
        <v>0</v>
      </c>
      <c r="CA395" s="66"/>
      <c r="CB395" s="66"/>
      <c r="CC395" s="56">
        <f t="shared" si="256"/>
        <v>0</v>
      </c>
      <c r="CD395" s="55"/>
      <c r="CE395" s="65"/>
      <c r="CF395" s="55"/>
      <c r="CG395" s="55"/>
      <c r="CH395" s="67">
        <f t="shared" si="257"/>
        <v>0</v>
      </c>
      <c r="CI395" s="68">
        <f t="shared" si="234"/>
        <v>0</v>
      </c>
      <c r="CJ395" s="55"/>
      <c r="CK395" s="55"/>
      <c r="CL395" s="55"/>
      <c r="CM395" s="55"/>
      <c r="CN395" s="55"/>
      <c r="CO395" s="68">
        <f t="shared" si="258"/>
        <v>0</v>
      </c>
      <c r="CP395" s="75">
        <f>SUM(Tableau1[[#This Row],[Fourniture eau]:[Energie (non précisé)]])</f>
        <v>0</v>
      </c>
      <c r="CQ395" s="55"/>
      <c r="CR395" s="55"/>
      <c r="CS395" s="55"/>
      <c r="CT395" s="55"/>
      <c r="CU395" s="55"/>
      <c r="CV395" s="55">
        <v>0</v>
      </c>
      <c r="CW395" s="55"/>
      <c r="CX395" s="68">
        <f>SUM(Tableau1[[#This Row],[Sous-traitance]:[Autres ou non précisé 12]])</f>
        <v>0</v>
      </c>
      <c r="CY395" s="65"/>
      <c r="CZ395" s="65"/>
      <c r="DA395" s="65"/>
      <c r="DB395" s="65"/>
      <c r="DC395" s="55"/>
      <c r="DD395" s="68">
        <f t="shared" si="239"/>
        <v>0</v>
      </c>
      <c r="DE395" s="55"/>
      <c r="DF395" s="65"/>
      <c r="DG395" s="65"/>
      <c r="DH395" s="65"/>
      <c r="DI395" s="68">
        <f>SUM(Tableau1[[#This Row],[Entretien et réparation matériel de projection]:[Autres ou non précisé 14]])</f>
        <v>0</v>
      </c>
      <c r="DJ395" s="58"/>
      <c r="DK395" s="58"/>
      <c r="DL395" s="69"/>
      <c r="DM395" s="68">
        <f t="shared" si="259"/>
        <v>0</v>
      </c>
      <c r="DN395" s="58"/>
      <c r="DO395" s="58"/>
      <c r="DP395" s="68">
        <f t="shared" si="260"/>
        <v>0</v>
      </c>
      <c r="DQ395" s="65"/>
      <c r="DR395" s="65"/>
      <c r="DS395" s="68">
        <f t="shared" si="261"/>
        <v>0</v>
      </c>
      <c r="DT395" s="65"/>
      <c r="DU395" s="65"/>
      <c r="DV395" s="65"/>
      <c r="DW395" s="68">
        <f>SUM(Tableau1[[#This Row],[Comission et courtage sur achats]:[Autres ou honoraires
 non précisé ]])</f>
        <v>0</v>
      </c>
      <c r="DX395" s="57"/>
      <c r="DY395" s="57"/>
      <c r="DZ395" s="65"/>
      <c r="EA395" s="65"/>
      <c r="EB395" s="65"/>
      <c r="EC395" s="68">
        <f t="shared" si="262"/>
        <v>0</v>
      </c>
      <c r="ED395" s="69"/>
      <c r="EE395" s="69"/>
      <c r="EF395" s="69"/>
      <c r="EG395" s="69"/>
      <c r="EH395" s="69"/>
      <c r="EI395" s="84">
        <f>SUM(Tableau1[[#This Row],[Transports sur films]:[autres ]])</f>
        <v>0</v>
      </c>
      <c r="EJ395" s="132">
        <v>0</v>
      </c>
      <c r="EK395" s="132"/>
      <c r="EL395" s="68">
        <f t="shared" si="263"/>
        <v>0</v>
      </c>
      <c r="EM395" s="65"/>
      <c r="EN395" s="65">
        <v>0</v>
      </c>
      <c r="EO395" s="65"/>
      <c r="EP395" s="65"/>
      <c r="EQ395" s="65"/>
      <c r="ER395" s="65"/>
      <c r="ES395" s="65"/>
      <c r="ET395" s="68">
        <f t="shared" si="264"/>
        <v>0</v>
      </c>
      <c r="EU395" s="65"/>
      <c r="EV395" s="65"/>
      <c r="EW395" s="65"/>
      <c r="EX395" s="65"/>
      <c r="EY395" s="65"/>
      <c r="EZ395" s="68">
        <f t="shared" si="241"/>
        <v>0</v>
      </c>
      <c r="FA395" s="65"/>
      <c r="FB395" s="65"/>
      <c r="FC395" s="70">
        <f t="shared" si="240"/>
        <v>0</v>
      </c>
      <c r="FD395" s="65"/>
      <c r="FE395" s="71">
        <f t="shared" si="265"/>
        <v>0</v>
      </c>
      <c r="FF395" s="72">
        <f t="shared" si="266"/>
        <v>0</v>
      </c>
      <c r="FG395" s="65"/>
      <c r="FH395" s="65"/>
      <c r="FI395" s="65"/>
      <c r="FJ395" s="56">
        <f t="shared" si="267"/>
        <v>0</v>
      </c>
      <c r="FK395" s="65"/>
      <c r="FL395" s="65"/>
      <c r="FM395" s="65"/>
      <c r="FN395" s="65"/>
      <c r="FO395" s="67">
        <f t="shared" si="268"/>
        <v>0</v>
      </c>
      <c r="FP395" s="57"/>
      <c r="FQ395" s="73"/>
      <c r="FR395" s="73"/>
      <c r="FS395" s="71">
        <f t="shared" si="269"/>
        <v>0</v>
      </c>
      <c r="FT395" s="91"/>
      <c r="FU395" s="91"/>
      <c r="FV395" s="67">
        <f>SUM(Tableau1[[#This Row],[Droits d''auteurs SACEM + cotisations SACEM]:[Autres ou non préciés]])</f>
        <v>0</v>
      </c>
      <c r="FW395" s="75">
        <f t="shared" si="270"/>
        <v>0</v>
      </c>
      <c r="FX395" s="74">
        <v>0</v>
      </c>
      <c r="FY395" s="74"/>
      <c r="FZ395" s="74"/>
      <c r="GA395" s="74"/>
      <c r="GB395" s="71">
        <f t="shared" si="271"/>
        <v>0</v>
      </c>
      <c r="GC395" s="92"/>
      <c r="GD395" s="92"/>
      <c r="GE395" s="67">
        <f t="shared" si="272"/>
        <v>0</v>
      </c>
      <c r="GF395" s="66"/>
      <c r="GG395" s="66"/>
      <c r="GH395" s="66"/>
      <c r="GI395" s="66"/>
      <c r="GJ395" s="77"/>
    </row>
    <row r="396" spans="1:192" ht="18.600000000000001" customHeight="1" x14ac:dyDescent="0.25">
      <c r="A396" s="89"/>
      <c r="B396" s="17"/>
      <c r="C396" s="50"/>
      <c r="D396" s="140"/>
      <c r="E396" s="51"/>
      <c r="F396" s="139">
        <f t="shared" si="237"/>
        <v>1</v>
      </c>
      <c r="G396" s="49"/>
      <c r="H396" s="50"/>
      <c r="I396" s="122"/>
      <c r="J396" s="49"/>
      <c r="K396" s="50"/>
      <c r="L396" s="50"/>
      <c r="M396" s="90"/>
      <c r="N396" s="50"/>
      <c r="O396" s="50"/>
      <c r="P396" s="90"/>
      <c r="Q396" s="52">
        <f t="shared" si="242"/>
        <v>0</v>
      </c>
      <c r="R396" s="52">
        <f t="shared" si="243"/>
        <v>0</v>
      </c>
      <c r="S396" s="53">
        <f t="shared" si="244"/>
        <v>0</v>
      </c>
      <c r="T396" s="54">
        <f t="shared" si="245"/>
        <v>0</v>
      </c>
      <c r="U396" s="115">
        <f>SUM(Tableau1[[#This Row],[Vente confiserie]:[Vente boisson]])</f>
        <v>0</v>
      </c>
      <c r="V396" s="95"/>
      <c r="W396" s="95"/>
      <c r="X396" s="136">
        <f>SUM(Tableau1[[#This Row],[Vente lunette]:[Location lunette]])</f>
        <v>0</v>
      </c>
      <c r="Y396" s="95"/>
      <c r="Z396" s="95"/>
      <c r="AA396" s="95"/>
      <c r="AB396" s="95"/>
      <c r="AC396" s="56">
        <f t="shared" si="235"/>
        <v>0</v>
      </c>
      <c r="AD396" s="57"/>
      <c r="AE396" s="57"/>
      <c r="AF396" s="57"/>
      <c r="AG396" s="57"/>
      <c r="AH396" s="57"/>
      <c r="AI396" s="57"/>
      <c r="AJ396" s="118">
        <f>(Tableau1[[#This Row],[Recette guichet ]]*1.1275177)-Tableau1[[#This Row],[Recette guichet ]]</f>
        <v>0</v>
      </c>
      <c r="AK396" s="57"/>
      <c r="AL396" s="56">
        <f t="shared" si="236"/>
        <v>0</v>
      </c>
      <c r="AM396" s="58"/>
      <c r="AN396" s="58"/>
      <c r="AO396" s="58"/>
      <c r="AP396" s="115">
        <f t="shared" si="246"/>
        <v>0</v>
      </c>
      <c r="AQ396" s="69"/>
      <c r="AR396" s="69"/>
      <c r="AS396" s="69"/>
      <c r="AT396" s="69"/>
      <c r="AU396" s="59">
        <f t="shared" si="247"/>
        <v>0</v>
      </c>
      <c r="AV396" s="60">
        <f t="shared" si="248"/>
        <v>0</v>
      </c>
      <c r="AW396" s="58"/>
      <c r="AX396" s="58"/>
      <c r="AY396" s="58"/>
      <c r="AZ396" s="60">
        <f t="shared" si="238"/>
        <v>0</v>
      </c>
      <c r="BA396" s="58"/>
      <c r="BB396" s="58"/>
      <c r="BC396" s="58"/>
      <c r="BD396" s="60">
        <f>SUM(Tableau1[[#This Row],[ticket/carte/abonnement périmé]:[Autres ou non précisé 5]])</f>
        <v>0</v>
      </c>
      <c r="BE396" s="58"/>
      <c r="BF396" s="58"/>
      <c r="BG396" s="58"/>
      <c r="BH396" s="61">
        <f t="shared" si="249"/>
        <v>0</v>
      </c>
      <c r="BI396" s="120"/>
      <c r="BJ396" s="120"/>
      <c r="BK396" s="62">
        <f t="shared" si="250"/>
        <v>0</v>
      </c>
      <c r="BL396" s="120"/>
      <c r="BM396" s="120"/>
      <c r="BN396" s="120"/>
      <c r="BO396" s="120"/>
      <c r="BP396" s="120"/>
      <c r="BQ396" s="63"/>
      <c r="BR396" s="52">
        <f t="shared" si="251"/>
        <v>0</v>
      </c>
      <c r="BS396" s="52">
        <f t="shared" si="252"/>
        <v>0</v>
      </c>
      <c r="BT396" s="61">
        <f t="shared" si="253"/>
        <v>0</v>
      </c>
      <c r="BU396" s="64">
        <f t="shared" si="254"/>
        <v>0</v>
      </c>
      <c r="BV396" s="119">
        <f>SUM(Tableau1[[#This Row],[Achats confiserie]:[Achats boisson]])</f>
        <v>0</v>
      </c>
      <c r="BW396" s="58"/>
      <c r="BX396" s="69"/>
      <c r="BY396" s="58"/>
      <c r="BZ396" s="56">
        <f t="shared" si="255"/>
        <v>0</v>
      </c>
      <c r="CA396" s="66"/>
      <c r="CB396" s="66"/>
      <c r="CC396" s="56">
        <f t="shared" si="256"/>
        <v>0</v>
      </c>
      <c r="CD396" s="55"/>
      <c r="CE396" s="65"/>
      <c r="CF396" s="55"/>
      <c r="CG396" s="55"/>
      <c r="CH396" s="67">
        <f t="shared" si="257"/>
        <v>0</v>
      </c>
      <c r="CI396" s="68">
        <f t="shared" si="234"/>
        <v>0</v>
      </c>
      <c r="CJ396" s="55"/>
      <c r="CK396" s="55"/>
      <c r="CL396" s="55"/>
      <c r="CM396" s="55"/>
      <c r="CN396" s="55"/>
      <c r="CO396" s="68">
        <f t="shared" si="258"/>
        <v>0</v>
      </c>
      <c r="CP396" s="75">
        <f>SUM(Tableau1[[#This Row],[Fourniture eau]:[Energie (non précisé)]])</f>
        <v>0</v>
      </c>
      <c r="CQ396" s="55"/>
      <c r="CR396" s="55"/>
      <c r="CS396" s="55"/>
      <c r="CT396" s="55"/>
      <c r="CU396" s="55"/>
      <c r="CV396" s="55">
        <v>0</v>
      </c>
      <c r="CW396" s="55"/>
      <c r="CX396" s="68">
        <f>SUM(Tableau1[[#This Row],[Sous-traitance]:[Autres ou non précisé 12]])</f>
        <v>0</v>
      </c>
      <c r="CY396" s="65"/>
      <c r="CZ396" s="65"/>
      <c r="DA396" s="65"/>
      <c r="DB396" s="65"/>
      <c r="DC396" s="55"/>
      <c r="DD396" s="68">
        <f t="shared" si="239"/>
        <v>0</v>
      </c>
      <c r="DE396" s="55"/>
      <c r="DF396" s="65"/>
      <c r="DG396" s="65"/>
      <c r="DH396" s="65"/>
      <c r="DI396" s="68">
        <f>SUM(Tableau1[[#This Row],[Entretien et réparation matériel de projection]:[Autres ou non précisé 14]])</f>
        <v>0</v>
      </c>
      <c r="DJ396" s="58"/>
      <c r="DK396" s="58"/>
      <c r="DL396" s="69"/>
      <c r="DM396" s="68">
        <f t="shared" si="259"/>
        <v>0</v>
      </c>
      <c r="DN396" s="58"/>
      <c r="DO396" s="58"/>
      <c r="DP396" s="68">
        <f t="shared" si="260"/>
        <v>0</v>
      </c>
      <c r="DQ396" s="65"/>
      <c r="DR396" s="65"/>
      <c r="DS396" s="68">
        <f t="shared" si="261"/>
        <v>0</v>
      </c>
      <c r="DT396" s="65"/>
      <c r="DU396" s="65"/>
      <c r="DV396" s="65"/>
      <c r="DW396" s="68">
        <f>SUM(Tableau1[[#This Row],[Comission et courtage sur achats]:[Autres ou honoraires
 non précisé ]])</f>
        <v>0</v>
      </c>
      <c r="DX396" s="57"/>
      <c r="DY396" s="57"/>
      <c r="DZ396" s="65"/>
      <c r="EA396" s="65"/>
      <c r="EB396" s="65"/>
      <c r="EC396" s="68">
        <f t="shared" si="262"/>
        <v>0</v>
      </c>
      <c r="ED396" s="69"/>
      <c r="EE396" s="69"/>
      <c r="EF396" s="69"/>
      <c r="EG396" s="69"/>
      <c r="EH396" s="69"/>
      <c r="EI396" s="84">
        <f>SUM(Tableau1[[#This Row],[Transports sur films]:[autres ]])</f>
        <v>0</v>
      </c>
      <c r="EJ396" s="132">
        <v>0</v>
      </c>
      <c r="EK396" s="132"/>
      <c r="EL396" s="68">
        <f t="shared" si="263"/>
        <v>0</v>
      </c>
      <c r="EM396" s="65"/>
      <c r="EN396" s="65">
        <v>0</v>
      </c>
      <c r="EO396" s="65"/>
      <c r="EP396" s="65"/>
      <c r="EQ396" s="65"/>
      <c r="ER396" s="65"/>
      <c r="ES396" s="65"/>
      <c r="ET396" s="68">
        <f t="shared" si="264"/>
        <v>0</v>
      </c>
      <c r="EU396" s="65"/>
      <c r="EV396" s="65"/>
      <c r="EW396" s="65"/>
      <c r="EX396" s="65"/>
      <c r="EY396" s="65"/>
      <c r="EZ396" s="68">
        <f t="shared" si="241"/>
        <v>0</v>
      </c>
      <c r="FA396" s="65"/>
      <c r="FB396" s="65"/>
      <c r="FC396" s="70">
        <f t="shared" si="240"/>
        <v>0</v>
      </c>
      <c r="FD396" s="65"/>
      <c r="FE396" s="71">
        <f t="shared" si="265"/>
        <v>0</v>
      </c>
      <c r="FF396" s="72">
        <f t="shared" si="266"/>
        <v>0</v>
      </c>
      <c r="FG396" s="65"/>
      <c r="FH396" s="65"/>
      <c r="FI396" s="65"/>
      <c r="FJ396" s="56">
        <f t="shared" si="267"/>
        <v>0</v>
      </c>
      <c r="FK396" s="65"/>
      <c r="FL396" s="65"/>
      <c r="FM396" s="65"/>
      <c r="FN396" s="65"/>
      <c r="FO396" s="67">
        <f t="shared" si="268"/>
        <v>0</v>
      </c>
      <c r="FP396" s="57"/>
      <c r="FQ396" s="73"/>
      <c r="FR396" s="73"/>
      <c r="FS396" s="71">
        <f t="shared" si="269"/>
        <v>0</v>
      </c>
      <c r="FT396" s="91"/>
      <c r="FU396" s="91"/>
      <c r="FV396" s="67">
        <f>SUM(Tableau1[[#This Row],[Droits d''auteurs SACEM + cotisations SACEM]:[Autres ou non préciés]])</f>
        <v>0</v>
      </c>
      <c r="FW396" s="75">
        <f t="shared" si="270"/>
        <v>0</v>
      </c>
      <c r="FX396" s="74">
        <v>0</v>
      </c>
      <c r="FY396" s="74"/>
      <c r="FZ396" s="74"/>
      <c r="GA396" s="74"/>
      <c r="GB396" s="71">
        <f t="shared" si="271"/>
        <v>0</v>
      </c>
      <c r="GC396" s="92"/>
      <c r="GD396" s="92"/>
      <c r="GE396" s="67">
        <f t="shared" si="272"/>
        <v>0</v>
      </c>
      <c r="GF396" s="66"/>
      <c r="GG396" s="66"/>
      <c r="GH396" s="66"/>
      <c r="GI396" s="66"/>
      <c r="GJ396" s="77"/>
    </row>
    <row r="397" spans="1:192" ht="18.600000000000001" customHeight="1" x14ac:dyDescent="0.25">
      <c r="A397" s="89"/>
      <c r="B397" s="17"/>
      <c r="C397" s="50"/>
      <c r="D397" s="140"/>
      <c r="E397" s="51"/>
      <c r="F397" s="139">
        <f t="shared" si="237"/>
        <v>1</v>
      </c>
      <c r="G397" s="49"/>
      <c r="H397" s="50"/>
      <c r="I397" s="122"/>
      <c r="J397" s="49"/>
      <c r="K397" s="50"/>
      <c r="L397" s="50"/>
      <c r="M397" s="90"/>
      <c r="N397" s="50"/>
      <c r="O397" s="50"/>
      <c r="P397" s="90"/>
      <c r="Q397" s="52">
        <f t="shared" si="242"/>
        <v>0</v>
      </c>
      <c r="R397" s="52">
        <f t="shared" si="243"/>
        <v>0</v>
      </c>
      <c r="S397" s="53">
        <f t="shared" si="244"/>
        <v>0</v>
      </c>
      <c r="T397" s="54">
        <f t="shared" si="245"/>
        <v>0</v>
      </c>
      <c r="U397" s="115">
        <f>SUM(Tableau1[[#This Row],[Vente confiserie]:[Vente boisson]])</f>
        <v>0</v>
      </c>
      <c r="V397" s="95"/>
      <c r="W397" s="95"/>
      <c r="X397" s="136">
        <f>SUM(Tableau1[[#This Row],[Vente lunette]:[Location lunette]])</f>
        <v>0</v>
      </c>
      <c r="Y397" s="95"/>
      <c r="Z397" s="95"/>
      <c r="AA397" s="95"/>
      <c r="AB397" s="95"/>
      <c r="AC397" s="56">
        <f t="shared" si="235"/>
        <v>0</v>
      </c>
      <c r="AD397" s="57"/>
      <c r="AE397" s="57"/>
      <c r="AF397" s="57"/>
      <c r="AG397" s="57"/>
      <c r="AH397" s="57"/>
      <c r="AI397" s="57"/>
      <c r="AJ397" s="118">
        <f>(Tableau1[[#This Row],[Recette guichet ]]*1.1275177)-Tableau1[[#This Row],[Recette guichet ]]</f>
        <v>0</v>
      </c>
      <c r="AK397" s="57"/>
      <c r="AL397" s="56">
        <f t="shared" si="236"/>
        <v>0</v>
      </c>
      <c r="AM397" s="58"/>
      <c r="AN397" s="58"/>
      <c r="AO397" s="58"/>
      <c r="AP397" s="115">
        <f t="shared" si="246"/>
        <v>0</v>
      </c>
      <c r="AQ397" s="69"/>
      <c r="AR397" s="69"/>
      <c r="AS397" s="69"/>
      <c r="AT397" s="69"/>
      <c r="AU397" s="59">
        <f t="shared" si="247"/>
        <v>0</v>
      </c>
      <c r="AV397" s="60">
        <f t="shared" si="248"/>
        <v>0</v>
      </c>
      <c r="AW397" s="58"/>
      <c r="AX397" s="58"/>
      <c r="AY397" s="58"/>
      <c r="AZ397" s="60">
        <f t="shared" si="238"/>
        <v>0</v>
      </c>
      <c r="BA397" s="58"/>
      <c r="BB397" s="58"/>
      <c r="BC397" s="58"/>
      <c r="BD397" s="60">
        <f>SUM(Tableau1[[#This Row],[ticket/carte/abonnement périmé]:[Autres ou non précisé 5]])</f>
        <v>0</v>
      </c>
      <c r="BE397" s="58"/>
      <c r="BF397" s="58"/>
      <c r="BG397" s="58"/>
      <c r="BH397" s="61">
        <f t="shared" si="249"/>
        <v>0</v>
      </c>
      <c r="BI397" s="120"/>
      <c r="BJ397" s="120"/>
      <c r="BK397" s="62">
        <f t="shared" si="250"/>
        <v>0</v>
      </c>
      <c r="BL397" s="120"/>
      <c r="BM397" s="120"/>
      <c r="BN397" s="120"/>
      <c r="BO397" s="120"/>
      <c r="BP397" s="120"/>
      <c r="BQ397" s="63"/>
      <c r="BR397" s="52">
        <f t="shared" si="251"/>
        <v>0</v>
      </c>
      <c r="BS397" s="52">
        <f t="shared" si="252"/>
        <v>0</v>
      </c>
      <c r="BT397" s="61">
        <f t="shared" si="253"/>
        <v>0</v>
      </c>
      <c r="BU397" s="64">
        <f t="shared" si="254"/>
        <v>0</v>
      </c>
      <c r="BV397" s="119">
        <f>SUM(Tableau1[[#This Row],[Achats confiserie]:[Achats boisson]])</f>
        <v>0</v>
      </c>
      <c r="BW397" s="58"/>
      <c r="BX397" s="69"/>
      <c r="BY397" s="58"/>
      <c r="BZ397" s="56">
        <f t="shared" si="255"/>
        <v>0</v>
      </c>
      <c r="CA397" s="66"/>
      <c r="CB397" s="66"/>
      <c r="CC397" s="56">
        <f t="shared" si="256"/>
        <v>0</v>
      </c>
      <c r="CD397" s="55"/>
      <c r="CE397" s="65"/>
      <c r="CF397" s="55"/>
      <c r="CG397" s="55"/>
      <c r="CH397" s="67">
        <f t="shared" si="257"/>
        <v>0</v>
      </c>
      <c r="CI397" s="68">
        <f t="shared" si="234"/>
        <v>0</v>
      </c>
      <c r="CJ397" s="55"/>
      <c r="CK397" s="55"/>
      <c r="CL397" s="55"/>
      <c r="CM397" s="55"/>
      <c r="CN397" s="55"/>
      <c r="CO397" s="68">
        <f t="shared" si="258"/>
        <v>0</v>
      </c>
      <c r="CP397" s="75">
        <f>SUM(Tableau1[[#This Row],[Fourniture eau]:[Energie (non précisé)]])</f>
        <v>0</v>
      </c>
      <c r="CQ397" s="55"/>
      <c r="CR397" s="55"/>
      <c r="CS397" s="55"/>
      <c r="CT397" s="55"/>
      <c r="CU397" s="55"/>
      <c r="CV397" s="55">
        <v>0</v>
      </c>
      <c r="CW397" s="55"/>
      <c r="CX397" s="68">
        <f>SUM(Tableau1[[#This Row],[Sous-traitance]:[Autres ou non précisé 12]])</f>
        <v>0</v>
      </c>
      <c r="CY397" s="65"/>
      <c r="CZ397" s="65"/>
      <c r="DA397" s="65"/>
      <c r="DB397" s="65"/>
      <c r="DC397" s="55"/>
      <c r="DD397" s="68">
        <f t="shared" si="239"/>
        <v>0</v>
      </c>
      <c r="DE397" s="55"/>
      <c r="DF397" s="65"/>
      <c r="DG397" s="65"/>
      <c r="DH397" s="65"/>
      <c r="DI397" s="68">
        <f>SUM(Tableau1[[#This Row],[Entretien et réparation matériel de projection]:[Autres ou non précisé 14]])</f>
        <v>0</v>
      </c>
      <c r="DJ397" s="58"/>
      <c r="DK397" s="58"/>
      <c r="DL397" s="69"/>
      <c r="DM397" s="68">
        <f t="shared" si="259"/>
        <v>0</v>
      </c>
      <c r="DN397" s="58"/>
      <c r="DO397" s="58"/>
      <c r="DP397" s="68">
        <f t="shared" si="260"/>
        <v>0</v>
      </c>
      <c r="DQ397" s="65"/>
      <c r="DR397" s="65"/>
      <c r="DS397" s="68">
        <f t="shared" si="261"/>
        <v>0</v>
      </c>
      <c r="DT397" s="65"/>
      <c r="DU397" s="65"/>
      <c r="DV397" s="65"/>
      <c r="DW397" s="68">
        <f>SUM(Tableau1[[#This Row],[Comission et courtage sur achats]:[Autres ou honoraires
 non précisé ]])</f>
        <v>0</v>
      </c>
      <c r="DX397" s="57"/>
      <c r="DY397" s="57"/>
      <c r="DZ397" s="65"/>
      <c r="EA397" s="65"/>
      <c r="EB397" s="65"/>
      <c r="EC397" s="68">
        <f t="shared" si="262"/>
        <v>0</v>
      </c>
      <c r="ED397" s="69"/>
      <c r="EE397" s="69"/>
      <c r="EF397" s="69"/>
      <c r="EG397" s="69"/>
      <c r="EH397" s="69"/>
      <c r="EI397" s="84">
        <f>SUM(Tableau1[[#This Row],[Transports sur films]:[autres ]])</f>
        <v>0</v>
      </c>
      <c r="EJ397" s="132">
        <v>0</v>
      </c>
      <c r="EK397" s="132"/>
      <c r="EL397" s="68">
        <f t="shared" si="263"/>
        <v>0</v>
      </c>
      <c r="EM397" s="65"/>
      <c r="EN397" s="65">
        <v>0</v>
      </c>
      <c r="EO397" s="65"/>
      <c r="EP397" s="65"/>
      <c r="EQ397" s="65"/>
      <c r="ER397" s="65"/>
      <c r="ES397" s="65"/>
      <c r="ET397" s="68">
        <f t="shared" si="264"/>
        <v>0</v>
      </c>
      <c r="EU397" s="65"/>
      <c r="EV397" s="65"/>
      <c r="EW397" s="65"/>
      <c r="EX397" s="65"/>
      <c r="EY397" s="65"/>
      <c r="EZ397" s="68">
        <f t="shared" si="241"/>
        <v>0</v>
      </c>
      <c r="FA397" s="65"/>
      <c r="FB397" s="65"/>
      <c r="FC397" s="70">
        <f t="shared" si="240"/>
        <v>0</v>
      </c>
      <c r="FD397" s="65"/>
      <c r="FE397" s="71">
        <f t="shared" si="265"/>
        <v>0</v>
      </c>
      <c r="FF397" s="72">
        <f t="shared" si="266"/>
        <v>0</v>
      </c>
      <c r="FG397" s="65"/>
      <c r="FH397" s="65"/>
      <c r="FI397" s="65"/>
      <c r="FJ397" s="56">
        <f t="shared" si="267"/>
        <v>0</v>
      </c>
      <c r="FK397" s="65"/>
      <c r="FL397" s="65"/>
      <c r="FM397" s="65"/>
      <c r="FN397" s="65"/>
      <c r="FO397" s="67">
        <f t="shared" si="268"/>
        <v>0</v>
      </c>
      <c r="FP397" s="57"/>
      <c r="FQ397" s="73"/>
      <c r="FR397" s="73"/>
      <c r="FS397" s="71">
        <f t="shared" si="269"/>
        <v>0</v>
      </c>
      <c r="FT397" s="91"/>
      <c r="FU397" s="91"/>
      <c r="FV397" s="67">
        <f>SUM(Tableau1[[#This Row],[Droits d''auteurs SACEM + cotisations SACEM]:[Autres ou non préciés]])</f>
        <v>0</v>
      </c>
      <c r="FW397" s="75">
        <f t="shared" si="270"/>
        <v>0</v>
      </c>
      <c r="FX397" s="74">
        <v>0</v>
      </c>
      <c r="FY397" s="74"/>
      <c r="FZ397" s="74"/>
      <c r="GA397" s="74"/>
      <c r="GB397" s="71">
        <f t="shared" si="271"/>
        <v>0</v>
      </c>
      <c r="GC397" s="92"/>
      <c r="GD397" s="92"/>
      <c r="GE397" s="67">
        <f t="shared" si="272"/>
        <v>0</v>
      </c>
      <c r="GF397" s="66"/>
      <c r="GG397" s="66"/>
      <c r="GH397" s="66"/>
      <c r="GI397" s="66"/>
      <c r="GJ397" s="77"/>
    </row>
    <row r="398" spans="1:192" ht="18.600000000000001" customHeight="1" x14ac:dyDescent="0.25">
      <c r="A398" s="89"/>
      <c r="B398" s="17"/>
      <c r="C398" s="50"/>
      <c r="D398" s="140"/>
      <c r="E398" s="51"/>
      <c r="F398" s="139">
        <f t="shared" si="237"/>
        <v>1</v>
      </c>
      <c r="G398" s="49"/>
      <c r="H398" s="50"/>
      <c r="I398" s="122"/>
      <c r="J398" s="49"/>
      <c r="K398" s="50"/>
      <c r="L398" s="50"/>
      <c r="M398" s="90"/>
      <c r="N398" s="50"/>
      <c r="O398" s="50"/>
      <c r="P398" s="90"/>
      <c r="Q398" s="52">
        <f t="shared" si="242"/>
        <v>0</v>
      </c>
      <c r="R398" s="52">
        <f t="shared" si="243"/>
        <v>0</v>
      </c>
      <c r="S398" s="53">
        <f t="shared" si="244"/>
        <v>0</v>
      </c>
      <c r="T398" s="54">
        <f t="shared" si="245"/>
        <v>0</v>
      </c>
      <c r="U398" s="115">
        <f>SUM(Tableau1[[#This Row],[Vente confiserie]:[Vente boisson]])</f>
        <v>0</v>
      </c>
      <c r="V398" s="95"/>
      <c r="W398" s="95"/>
      <c r="X398" s="136">
        <f>SUM(Tableau1[[#This Row],[Vente lunette]:[Location lunette]])</f>
        <v>0</v>
      </c>
      <c r="Y398" s="95"/>
      <c r="Z398" s="95"/>
      <c r="AA398" s="95"/>
      <c r="AB398" s="95"/>
      <c r="AC398" s="56">
        <f t="shared" si="235"/>
        <v>0</v>
      </c>
      <c r="AD398" s="57"/>
      <c r="AE398" s="57"/>
      <c r="AF398" s="57"/>
      <c r="AG398" s="57"/>
      <c r="AH398" s="57"/>
      <c r="AI398" s="57"/>
      <c r="AJ398" s="118">
        <f>(Tableau1[[#This Row],[Recette guichet ]]*1.1275177)-Tableau1[[#This Row],[Recette guichet ]]</f>
        <v>0</v>
      </c>
      <c r="AK398" s="57"/>
      <c r="AL398" s="56">
        <f t="shared" si="236"/>
        <v>0</v>
      </c>
      <c r="AM398" s="58"/>
      <c r="AN398" s="58"/>
      <c r="AO398" s="58"/>
      <c r="AP398" s="115">
        <f t="shared" si="246"/>
        <v>0</v>
      </c>
      <c r="AQ398" s="69"/>
      <c r="AR398" s="69"/>
      <c r="AS398" s="69"/>
      <c r="AT398" s="69"/>
      <c r="AU398" s="59">
        <f t="shared" si="247"/>
        <v>0</v>
      </c>
      <c r="AV398" s="60">
        <f t="shared" si="248"/>
        <v>0</v>
      </c>
      <c r="AW398" s="58"/>
      <c r="AX398" s="58"/>
      <c r="AY398" s="58"/>
      <c r="AZ398" s="60">
        <f t="shared" si="238"/>
        <v>0</v>
      </c>
      <c r="BA398" s="58"/>
      <c r="BB398" s="58"/>
      <c r="BC398" s="58"/>
      <c r="BD398" s="60">
        <f>SUM(Tableau1[[#This Row],[ticket/carte/abonnement périmé]:[Autres ou non précisé 5]])</f>
        <v>0</v>
      </c>
      <c r="BE398" s="58"/>
      <c r="BF398" s="58"/>
      <c r="BG398" s="58"/>
      <c r="BH398" s="61">
        <f t="shared" si="249"/>
        <v>0</v>
      </c>
      <c r="BI398" s="120"/>
      <c r="BJ398" s="120"/>
      <c r="BK398" s="62">
        <f t="shared" si="250"/>
        <v>0</v>
      </c>
      <c r="BL398" s="120"/>
      <c r="BM398" s="120"/>
      <c r="BN398" s="120"/>
      <c r="BO398" s="120"/>
      <c r="BP398" s="120"/>
      <c r="BQ398" s="63"/>
      <c r="BR398" s="52">
        <f t="shared" si="251"/>
        <v>0</v>
      </c>
      <c r="BS398" s="52">
        <f t="shared" si="252"/>
        <v>0</v>
      </c>
      <c r="BT398" s="61">
        <f t="shared" si="253"/>
        <v>0</v>
      </c>
      <c r="BU398" s="64">
        <f t="shared" si="254"/>
        <v>0</v>
      </c>
      <c r="BV398" s="119">
        <f>SUM(Tableau1[[#This Row],[Achats confiserie]:[Achats boisson]])</f>
        <v>0</v>
      </c>
      <c r="BW398" s="58"/>
      <c r="BX398" s="69"/>
      <c r="BY398" s="58"/>
      <c r="BZ398" s="56">
        <f t="shared" si="255"/>
        <v>0</v>
      </c>
      <c r="CA398" s="66"/>
      <c r="CB398" s="66"/>
      <c r="CC398" s="56">
        <f t="shared" si="256"/>
        <v>0</v>
      </c>
      <c r="CD398" s="55"/>
      <c r="CE398" s="65"/>
      <c r="CF398" s="55"/>
      <c r="CG398" s="55"/>
      <c r="CH398" s="67">
        <f t="shared" si="257"/>
        <v>0</v>
      </c>
      <c r="CI398" s="68">
        <f t="shared" si="234"/>
        <v>0</v>
      </c>
      <c r="CJ398" s="55"/>
      <c r="CK398" s="55"/>
      <c r="CL398" s="55"/>
      <c r="CM398" s="55"/>
      <c r="CN398" s="55"/>
      <c r="CO398" s="68">
        <f t="shared" si="258"/>
        <v>0</v>
      </c>
      <c r="CP398" s="75">
        <f>SUM(Tableau1[[#This Row],[Fourniture eau]:[Energie (non précisé)]])</f>
        <v>0</v>
      </c>
      <c r="CQ398" s="55"/>
      <c r="CR398" s="55"/>
      <c r="CS398" s="55"/>
      <c r="CT398" s="55"/>
      <c r="CU398" s="55"/>
      <c r="CV398" s="55">
        <v>0</v>
      </c>
      <c r="CW398" s="55"/>
      <c r="CX398" s="68">
        <f>SUM(Tableau1[[#This Row],[Sous-traitance]:[Autres ou non précisé 12]])</f>
        <v>0</v>
      </c>
      <c r="CY398" s="65"/>
      <c r="CZ398" s="65"/>
      <c r="DA398" s="65"/>
      <c r="DB398" s="65"/>
      <c r="DC398" s="55"/>
      <c r="DD398" s="68">
        <f t="shared" si="239"/>
        <v>0</v>
      </c>
      <c r="DE398" s="55"/>
      <c r="DF398" s="65"/>
      <c r="DG398" s="65"/>
      <c r="DH398" s="65"/>
      <c r="DI398" s="68">
        <f>SUM(Tableau1[[#This Row],[Entretien et réparation matériel de projection]:[Autres ou non précisé 14]])</f>
        <v>0</v>
      </c>
      <c r="DJ398" s="58"/>
      <c r="DK398" s="58"/>
      <c r="DL398" s="69"/>
      <c r="DM398" s="68">
        <f t="shared" si="259"/>
        <v>0</v>
      </c>
      <c r="DN398" s="58"/>
      <c r="DO398" s="58"/>
      <c r="DP398" s="68">
        <f t="shared" si="260"/>
        <v>0</v>
      </c>
      <c r="DQ398" s="65"/>
      <c r="DR398" s="65"/>
      <c r="DS398" s="68">
        <f t="shared" si="261"/>
        <v>0</v>
      </c>
      <c r="DT398" s="65"/>
      <c r="DU398" s="65"/>
      <c r="DV398" s="65"/>
      <c r="DW398" s="68">
        <f>SUM(Tableau1[[#This Row],[Comission et courtage sur achats]:[Autres ou honoraires
 non précisé ]])</f>
        <v>0</v>
      </c>
      <c r="DX398" s="57"/>
      <c r="DY398" s="57"/>
      <c r="DZ398" s="65"/>
      <c r="EA398" s="65"/>
      <c r="EB398" s="65"/>
      <c r="EC398" s="68">
        <f t="shared" si="262"/>
        <v>0</v>
      </c>
      <c r="ED398" s="69"/>
      <c r="EE398" s="69"/>
      <c r="EF398" s="69"/>
      <c r="EG398" s="69"/>
      <c r="EH398" s="69"/>
      <c r="EI398" s="84">
        <f>SUM(Tableau1[[#This Row],[Transports sur films]:[autres ]])</f>
        <v>0</v>
      </c>
      <c r="EJ398" s="132">
        <v>0</v>
      </c>
      <c r="EK398" s="132"/>
      <c r="EL398" s="68">
        <f t="shared" si="263"/>
        <v>0</v>
      </c>
      <c r="EM398" s="65"/>
      <c r="EN398" s="65">
        <v>0</v>
      </c>
      <c r="EO398" s="65"/>
      <c r="EP398" s="65"/>
      <c r="EQ398" s="65"/>
      <c r="ER398" s="65"/>
      <c r="ES398" s="65"/>
      <c r="ET398" s="68">
        <f t="shared" si="264"/>
        <v>0</v>
      </c>
      <c r="EU398" s="65"/>
      <c r="EV398" s="65"/>
      <c r="EW398" s="65"/>
      <c r="EX398" s="65"/>
      <c r="EY398" s="65"/>
      <c r="EZ398" s="68">
        <f t="shared" si="241"/>
        <v>0</v>
      </c>
      <c r="FA398" s="65"/>
      <c r="FB398" s="65"/>
      <c r="FC398" s="70">
        <f t="shared" si="240"/>
        <v>0</v>
      </c>
      <c r="FD398" s="65"/>
      <c r="FE398" s="71">
        <f t="shared" si="265"/>
        <v>0</v>
      </c>
      <c r="FF398" s="72">
        <f t="shared" si="266"/>
        <v>0</v>
      </c>
      <c r="FG398" s="65"/>
      <c r="FH398" s="65"/>
      <c r="FI398" s="65"/>
      <c r="FJ398" s="56">
        <f t="shared" si="267"/>
        <v>0</v>
      </c>
      <c r="FK398" s="65"/>
      <c r="FL398" s="65"/>
      <c r="FM398" s="65"/>
      <c r="FN398" s="65"/>
      <c r="FO398" s="67">
        <f t="shared" si="268"/>
        <v>0</v>
      </c>
      <c r="FP398" s="57"/>
      <c r="FQ398" s="73"/>
      <c r="FR398" s="73"/>
      <c r="FS398" s="71">
        <f t="shared" si="269"/>
        <v>0</v>
      </c>
      <c r="FT398" s="91"/>
      <c r="FU398" s="91"/>
      <c r="FV398" s="67">
        <f>SUM(Tableau1[[#This Row],[Droits d''auteurs SACEM + cotisations SACEM]:[Autres ou non préciés]])</f>
        <v>0</v>
      </c>
      <c r="FW398" s="75">
        <f t="shared" si="270"/>
        <v>0</v>
      </c>
      <c r="FX398" s="74">
        <v>0</v>
      </c>
      <c r="FY398" s="74"/>
      <c r="FZ398" s="74"/>
      <c r="GA398" s="74"/>
      <c r="GB398" s="71">
        <f t="shared" si="271"/>
        <v>0</v>
      </c>
      <c r="GC398" s="92"/>
      <c r="GD398" s="92"/>
      <c r="GE398" s="67">
        <f t="shared" si="272"/>
        <v>0</v>
      </c>
      <c r="GF398" s="66"/>
      <c r="GG398" s="66"/>
      <c r="GH398" s="66"/>
      <c r="GI398" s="66"/>
      <c r="GJ398" s="77"/>
    </row>
    <row r="399" spans="1:192" ht="18.600000000000001" customHeight="1" x14ac:dyDescent="0.25">
      <c r="A399" s="89"/>
      <c r="B399" s="17"/>
      <c r="C399" s="50"/>
      <c r="D399" s="140"/>
      <c r="E399" s="51"/>
      <c r="F399" s="139">
        <f t="shared" si="237"/>
        <v>1</v>
      </c>
      <c r="G399" s="49"/>
      <c r="H399" s="50"/>
      <c r="I399" s="122"/>
      <c r="J399" s="49"/>
      <c r="K399" s="50"/>
      <c r="L399" s="50"/>
      <c r="M399" s="90"/>
      <c r="N399" s="50"/>
      <c r="O399" s="50"/>
      <c r="P399" s="90"/>
      <c r="Q399" s="52">
        <f t="shared" si="242"/>
        <v>0</v>
      </c>
      <c r="R399" s="52">
        <f t="shared" si="243"/>
        <v>0</v>
      </c>
      <c r="S399" s="53">
        <f t="shared" si="244"/>
        <v>0</v>
      </c>
      <c r="T399" s="54">
        <f t="shared" si="245"/>
        <v>0</v>
      </c>
      <c r="U399" s="115">
        <f>SUM(Tableau1[[#This Row],[Vente confiserie]:[Vente boisson]])</f>
        <v>0</v>
      </c>
      <c r="V399" s="95"/>
      <c r="W399" s="95"/>
      <c r="X399" s="136">
        <f>SUM(Tableau1[[#This Row],[Vente lunette]:[Location lunette]])</f>
        <v>0</v>
      </c>
      <c r="Y399" s="95"/>
      <c r="Z399" s="95"/>
      <c r="AA399" s="95"/>
      <c r="AB399" s="95"/>
      <c r="AC399" s="56">
        <f t="shared" si="235"/>
        <v>0</v>
      </c>
      <c r="AD399" s="57"/>
      <c r="AE399" s="57"/>
      <c r="AF399" s="57"/>
      <c r="AG399" s="57"/>
      <c r="AH399" s="57"/>
      <c r="AI399" s="57"/>
      <c r="AJ399" s="118">
        <f>(Tableau1[[#This Row],[Recette guichet ]]*1.1275177)-Tableau1[[#This Row],[Recette guichet ]]</f>
        <v>0</v>
      </c>
      <c r="AK399" s="57"/>
      <c r="AL399" s="56">
        <f t="shared" si="236"/>
        <v>0</v>
      </c>
      <c r="AM399" s="58"/>
      <c r="AN399" s="58"/>
      <c r="AO399" s="58"/>
      <c r="AP399" s="115">
        <f t="shared" si="246"/>
        <v>0</v>
      </c>
      <c r="AQ399" s="69"/>
      <c r="AR399" s="69"/>
      <c r="AS399" s="69"/>
      <c r="AT399" s="69"/>
      <c r="AU399" s="59">
        <f t="shared" si="247"/>
        <v>0</v>
      </c>
      <c r="AV399" s="60">
        <f t="shared" si="248"/>
        <v>0</v>
      </c>
      <c r="AW399" s="58"/>
      <c r="AX399" s="58"/>
      <c r="AY399" s="58"/>
      <c r="AZ399" s="60">
        <f t="shared" si="238"/>
        <v>0</v>
      </c>
      <c r="BA399" s="58"/>
      <c r="BB399" s="58"/>
      <c r="BC399" s="58"/>
      <c r="BD399" s="60">
        <f>SUM(Tableau1[[#This Row],[ticket/carte/abonnement périmé]:[Autres ou non précisé 5]])</f>
        <v>0</v>
      </c>
      <c r="BE399" s="58"/>
      <c r="BF399" s="58"/>
      <c r="BG399" s="58"/>
      <c r="BH399" s="61">
        <f t="shared" si="249"/>
        <v>0</v>
      </c>
      <c r="BI399" s="120"/>
      <c r="BJ399" s="120"/>
      <c r="BK399" s="62">
        <f t="shared" si="250"/>
        <v>0</v>
      </c>
      <c r="BL399" s="120"/>
      <c r="BM399" s="120"/>
      <c r="BN399" s="120"/>
      <c r="BO399" s="120"/>
      <c r="BP399" s="120"/>
      <c r="BQ399" s="63"/>
      <c r="BR399" s="52">
        <f t="shared" si="251"/>
        <v>0</v>
      </c>
      <c r="BS399" s="52">
        <f t="shared" si="252"/>
        <v>0</v>
      </c>
      <c r="BT399" s="61">
        <f t="shared" si="253"/>
        <v>0</v>
      </c>
      <c r="BU399" s="64">
        <f t="shared" si="254"/>
        <v>0</v>
      </c>
      <c r="BV399" s="119">
        <f>SUM(Tableau1[[#This Row],[Achats confiserie]:[Achats boisson]])</f>
        <v>0</v>
      </c>
      <c r="BW399" s="58"/>
      <c r="BX399" s="69"/>
      <c r="BY399" s="58"/>
      <c r="BZ399" s="56">
        <f t="shared" si="255"/>
        <v>0</v>
      </c>
      <c r="CA399" s="66"/>
      <c r="CB399" s="66"/>
      <c r="CC399" s="56">
        <f t="shared" si="256"/>
        <v>0</v>
      </c>
      <c r="CD399" s="55"/>
      <c r="CE399" s="65"/>
      <c r="CF399" s="55"/>
      <c r="CG399" s="55"/>
      <c r="CH399" s="67">
        <f t="shared" si="257"/>
        <v>0</v>
      </c>
      <c r="CI399" s="68">
        <f t="shared" si="234"/>
        <v>0</v>
      </c>
      <c r="CJ399" s="55"/>
      <c r="CK399" s="55"/>
      <c r="CL399" s="55"/>
      <c r="CM399" s="55"/>
      <c r="CN399" s="55"/>
      <c r="CO399" s="68">
        <f t="shared" si="258"/>
        <v>0</v>
      </c>
      <c r="CP399" s="75">
        <f>SUM(Tableau1[[#This Row],[Fourniture eau]:[Energie (non précisé)]])</f>
        <v>0</v>
      </c>
      <c r="CQ399" s="55"/>
      <c r="CR399" s="55"/>
      <c r="CS399" s="55"/>
      <c r="CT399" s="55"/>
      <c r="CU399" s="55"/>
      <c r="CV399" s="55">
        <v>0</v>
      </c>
      <c r="CW399" s="55"/>
      <c r="CX399" s="68">
        <f>SUM(Tableau1[[#This Row],[Sous-traitance]:[Autres ou non précisé 12]])</f>
        <v>0</v>
      </c>
      <c r="CY399" s="65"/>
      <c r="CZ399" s="65"/>
      <c r="DA399" s="65"/>
      <c r="DB399" s="65"/>
      <c r="DC399" s="55"/>
      <c r="DD399" s="68">
        <f t="shared" si="239"/>
        <v>0</v>
      </c>
      <c r="DE399" s="55"/>
      <c r="DF399" s="65"/>
      <c r="DG399" s="65"/>
      <c r="DH399" s="65"/>
      <c r="DI399" s="68">
        <f>SUM(Tableau1[[#This Row],[Entretien et réparation matériel de projection]:[Autres ou non précisé 14]])</f>
        <v>0</v>
      </c>
      <c r="DJ399" s="58"/>
      <c r="DK399" s="58"/>
      <c r="DL399" s="69"/>
      <c r="DM399" s="68">
        <f t="shared" si="259"/>
        <v>0</v>
      </c>
      <c r="DN399" s="58"/>
      <c r="DO399" s="58"/>
      <c r="DP399" s="68">
        <f t="shared" si="260"/>
        <v>0</v>
      </c>
      <c r="DQ399" s="65"/>
      <c r="DR399" s="65"/>
      <c r="DS399" s="68">
        <f t="shared" si="261"/>
        <v>0</v>
      </c>
      <c r="DT399" s="65"/>
      <c r="DU399" s="65"/>
      <c r="DV399" s="65"/>
      <c r="DW399" s="68">
        <f>SUM(Tableau1[[#This Row],[Comission et courtage sur achats]:[Autres ou honoraires
 non précisé ]])</f>
        <v>0</v>
      </c>
      <c r="DX399" s="57"/>
      <c r="DY399" s="57"/>
      <c r="DZ399" s="65"/>
      <c r="EA399" s="65"/>
      <c r="EB399" s="65"/>
      <c r="EC399" s="68">
        <f t="shared" si="262"/>
        <v>0</v>
      </c>
      <c r="ED399" s="69"/>
      <c r="EE399" s="69"/>
      <c r="EF399" s="69"/>
      <c r="EG399" s="69"/>
      <c r="EH399" s="69"/>
      <c r="EI399" s="84">
        <f>SUM(Tableau1[[#This Row],[Transports sur films]:[autres ]])</f>
        <v>0</v>
      </c>
      <c r="EJ399" s="132">
        <v>0</v>
      </c>
      <c r="EK399" s="132"/>
      <c r="EL399" s="68">
        <f t="shared" si="263"/>
        <v>0</v>
      </c>
      <c r="EM399" s="65"/>
      <c r="EN399" s="65">
        <v>0</v>
      </c>
      <c r="EO399" s="65"/>
      <c r="EP399" s="65"/>
      <c r="EQ399" s="65"/>
      <c r="ER399" s="65"/>
      <c r="ES399" s="65"/>
      <c r="ET399" s="68">
        <f t="shared" si="264"/>
        <v>0</v>
      </c>
      <c r="EU399" s="65"/>
      <c r="EV399" s="65"/>
      <c r="EW399" s="65"/>
      <c r="EX399" s="65"/>
      <c r="EY399" s="65"/>
      <c r="EZ399" s="68">
        <f t="shared" si="241"/>
        <v>0</v>
      </c>
      <c r="FA399" s="65"/>
      <c r="FB399" s="65"/>
      <c r="FC399" s="70">
        <f t="shared" si="240"/>
        <v>0</v>
      </c>
      <c r="FD399" s="65"/>
      <c r="FE399" s="71">
        <f t="shared" si="265"/>
        <v>0</v>
      </c>
      <c r="FF399" s="72">
        <f t="shared" si="266"/>
        <v>0</v>
      </c>
      <c r="FG399" s="65"/>
      <c r="FH399" s="65"/>
      <c r="FI399" s="65"/>
      <c r="FJ399" s="56">
        <f t="shared" si="267"/>
        <v>0</v>
      </c>
      <c r="FK399" s="65"/>
      <c r="FL399" s="65"/>
      <c r="FM399" s="65"/>
      <c r="FN399" s="65"/>
      <c r="FO399" s="67">
        <f t="shared" si="268"/>
        <v>0</v>
      </c>
      <c r="FP399" s="57"/>
      <c r="FQ399" s="73"/>
      <c r="FR399" s="73"/>
      <c r="FS399" s="71">
        <f t="shared" si="269"/>
        <v>0</v>
      </c>
      <c r="FT399" s="91"/>
      <c r="FU399" s="91"/>
      <c r="FV399" s="67">
        <f>SUM(Tableau1[[#This Row],[Droits d''auteurs SACEM + cotisations SACEM]:[Autres ou non préciés]])</f>
        <v>0</v>
      </c>
      <c r="FW399" s="75">
        <f t="shared" si="270"/>
        <v>0</v>
      </c>
      <c r="FX399" s="74">
        <v>0</v>
      </c>
      <c r="FY399" s="74"/>
      <c r="FZ399" s="74"/>
      <c r="GA399" s="74"/>
      <c r="GB399" s="71">
        <f t="shared" si="271"/>
        <v>0</v>
      </c>
      <c r="GC399" s="92"/>
      <c r="GD399" s="92"/>
      <c r="GE399" s="67">
        <f t="shared" si="272"/>
        <v>0</v>
      </c>
      <c r="GF399" s="66"/>
      <c r="GG399" s="66"/>
      <c r="GH399" s="66"/>
      <c r="GI399" s="66"/>
      <c r="GJ399" s="77"/>
    </row>
    <row r="400" spans="1:192" ht="18.600000000000001" customHeight="1" x14ac:dyDescent="0.25">
      <c r="A400" s="89"/>
      <c r="B400" s="17"/>
      <c r="C400" s="50"/>
      <c r="D400" s="140"/>
      <c r="E400" s="51"/>
      <c r="F400" s="139">
        <f t="shared" si="237"/>
        <v>1</v>
      </c>
      <c r="G400" s="49"/>
      <c r="H400" s="50"/>
      <c r="I400" s="122"/>
      <c r="J400" s="49"/>
      <c r="K400" s="50"/>
      <c r="L400" s="50"/>
      <c r="M400" s="90"/>
      <c r="N400" s="50"/>
      <c r="O400" s="50"/>
      <c r="P400" s="90"/>
      <c r="Q400" s="52">
        <f t="shared" si="242"/>
        <v>0</v>
      </c>
      <c r="R400" s="52">
        <f t="shared" si="243"/>
        <v>0</v>
      </c>
      <c r="S400" s="53">
        <f t="shared" si="244"/>
        <v>0</v>
      </c>
      <c r="T400" s="54">
        <f t="shared" si="245"/>
        <v>0</v>
      </c>
      <c r="U400" s="115">
        <f>SUM(Tableau1[[#This Row],[Vente confiserie]:[Vente boisson]])</f>
        <v>0</v>
      </c>
      <c r="V400" s="95"/>
      <c r="W400" s="95"/>
      <c r="X400" s="136">
        <f>SUM(Tableau1[[#This Row],[Vente lunette]:[Location lunette]])</f>
        <v>0</v>
      </c>
      <c r="Y400" s="95"/>
      <c r="Z400" s="95"/>
      <c r="AA400" s="95"/>
      <c r="AB400" s="95"/>
      <c r="AC400" s="56">
        <f t="shared" si="235"/>
        <v>0</v>
      </c>
      <c r="AD400" s="57"/>
      <c r="AE400" s="57"/>
      <c r="AF400" s="57"/>
      <c r="AG400" s="57"/>
      <c r="AH400" s="57"/>
      <c r="AI400" s="57"/>
      <c r="AJ400" s="118">
        <f>(Tableau1[[#This Row],[Recette guichet ]]*1.1275177)-Tableau1[[#This Row],[Recette guichet ]]</f>
        <v>0</v>
      </c>
      <c r="AK400" s="57"/>
      <c r="AL400" s="56">
        <f t="shared" si="236"/>
        <v>0</v>
      </c>
      <c r="AM400" s="58"/>
      <c r="AN400" s="58"/>
      <c r="AO400" s="58"/>
      <c r="AP400" s="115">
        <f t="shared" si="246"/>
        <v>0</v>
      </c>
      <c r="AQ400" s="69"/>
      <c r="AR400" s="69"/>
      <c r="AS400" s="69"/>
      <c r="AT400" s="69"/>
      <c r="AU400" s="59">
        <f t="shared" si="247"/>
        <v>0</v>
      </c>
      <c r="AV400" s="60">
        <f t="shared" si="248"/>
        <v>0</v>
      </c>
      <c r="AW400" s="58"/>
      <c r="AX400" s="58"/>
      <c r="AY400" s="58"/>
      <c r="AZ400" s="60">
        <f t="shared" si="238"/>
        <v>0</v>
      </c>
      <c r="BA400" s="58"/>
      <c r="BB400" s="58"/>
      <c r="BC400" s="58"/>
      <c r="BD400" s="60">
        <f>SUM(Tableau1[[#This Row],[ticket/carte/abonnement périmé]:[Autres ou non précisé 5]])</f>
        <v>0</v>
      </c>
      <c r="BE400" s="58"/>
      <c r="BF400" s="58"/>
      <c r="BG400" s="58"/>
      <c r="BH400" s="61">
        <f t="shared" si="249"/>
        <v>0</v>
      </c>
      <c r="BI400" s="120"/>
      <c r="BJ400" s="120"/>
      <c r="BK400" s="62">
        <f t="shared" si="250"/>
        <v>0</v>
      </c>
      <c r="BL400" s="120"/>
      <c r="BM400" s="120"/>
      <c r="BN400" s="120"/>
      <c r="BO400" s="120"/>
      <c r="BP400" s="120"/>
      <c r="BQ400" s="63"/>
      <c r="BR400" s="52">
        <f t="shared" si="251"/>
        <v>0</v>
      </c>
      <c r="BS400" s="52">
        <f t="shared" si="252"/>
        <v>0</v>
      </c>
      <c r="BT400" s="61">
        <f t="shared" si="253"/>
        <v>0</v>
      </c>
      <c r="BU400" s="64">
        <f t="shared" si="254"/>
        <v>0</v>
      </c>
      <c r="BV400" s="119">
        <f>SUM(Tableau1[[#This Row],[Achats confiserie]:[Achats boisson]])</f>
        <v>0</v>
      </c>
      <c r="BW400" s="58"/>
      <c r="BX400" s="69"/>
      <c r="BY400" s="58"/>
      <c r="BZ400" s="56">
        <f t="shared" si="255"/>
        <v>0</v>
      </c>
      <c r="CA400" s="66"/>
      <c r="CB400" s="66"/>
      <c r="CC400" s="56">
        <f t="shared" si="256"/>
        <v>0</v>
      </c>
      <c r="CD400" s="55"/>
      <c r="CE400" s="65"/>
      <c r="CF400" s="55"/>
      <c r="CG400" s="55"/>
      <c r="CH400" s="67">
        <f t="shared" si="257"/>
        <v>0</v>
      </c>
      <c r="CI400" s="68">
        <f t="shared" si="234"/>
        <v>0</v>
      </c>
      <c r="CJ400" s="55"/>
      <c r="CK400" s="55"/>
      <c r="CL400" s="55"/>
      <c r="CM400" s="55"/>
      <c r="CN400" s="55"/>
      <c r="CO400" s="68">
        <f t="shared" si="258"/>
        <v>0</v>
      </c>
      <c r="CP400" s="75">
        <f>SUM(Tableau1[[#This Row],[Fourniture eau]:[Energie (non précisé)]])</f>
        <v>0</v>
      </c>
      <c r="CQ400" s="55"/>
      <c r="CR400" s="55"/>
      <c r="CS400" s="55"/>
      <c r="CT400" s="55"/>
      <c r="CU400" s="55"/>
      <c r="CV400" s="55">
        <v>0</v>
      </c>
      <c r="CW400" s="55"/>
      <c r="CX400" s="68">
        <f>SUM(Tableau1[[#This Row],[Sous-traitance]:[Autres ou non précisé 12]])</f>
        <v>0</v>
      </c>
      <c r="CY400" s="65"/>
      <c r="CZ400" s="65"/>
      <c r="DA400" s="65"/>
      <c r="DB400" s="65"/>
      <c r="DC400" s="55"/>
      <c r="DD400" s="68">
        <f t="shared" si="239"/>
        <v>0</v>
      </c>
      <c r="DE400" s="55"/>
      <c r="DF400" s="65"/>
      <c r="DG400" s="65"/>
      <c r="DH400" s="65"/>
      <c r="DI400" s="68">
        <f>SUM(Tableau1[[#This Row],[Entretien et réparation matériel de projection]:[Autres ou non précisé 14]])</f>
        <v>0</v>
      </c>
      <c r="DJ400" s="58"/>
      <c r="DK400" s="58"/>
      <c r="DL400" s="69"/>
      <c r="DM400" s="68">
        <f t="shared" si="259"/>
        <v>0</v>
      </c>
      <c r="DN400" s="58"/>
      <c r="DO400" s="58"/>
      <c r="DP400" s="68">
        <f t="shared" si="260"/>
        <v>0</v>
      </c>
      <c r="DQ400" s="65"/>
      <c r="DR400" s="65"/>
      <c r="DS400" s="68">
        <f t="shared" si="261"/>
        <v>0</v>
      </c>
      <c r="DT400" s="65"/>
      <c r="DU400" s="65"/>
      <c r="DV400" s="65"/>
      <c r="DW400" s="68">
        <f>SUM(Tableau1[[#This Row],[Comission et courtage sur achats]:[Autres ou honoraires
 non précisé ]])</f>
        <v>0</v>
      </c>
      <c r="DX400" s="57"/>
      <c r="DY400" s="57"/>
      <c r="DZ400" s="65"/>
      <c r="EA400" s="65"/>
      <c r="EB400" s="65"/>
      <c r="EC400" s="68">
        <f t="shared" si="262"/>
        <v>0</v>
      </c>
      <c r="ED400" s="69"/>
      <c r="EE400" s="69"/>
      <c r="EF400" s="69"/>
      <c r="EG400" s="69"/>
      <c r="EH400" s="69"/>
      <c r="EI400" s="84">
        <f>SUM(Tableau1[[#This Row],[Transports sur films]:[autres ]])</f>
        <v>0</v>
      </c>
      <c r="EJ400" s="132">
        <v>0</v>
      </c>
      <c r="EK400" s="132"/>
      <c r="EL400" s="68">
        <f t="shared" si="263"/>
        <v>0</v>
      </c>
      <c r="EM400" s="65"/>
      <c r="EN400" s="65">
        <v>0</v>
      </c>
      <c r="EO400" s="65"/>
      <c r="EP400" s="65"/>
      <c r="EQ400" s="65"/>
      <c r="ER400" s="65"/>
      <c r="ES400" s="65"/>
      <c r="ET400" s="68">
        <f t="shared" si="264"/>
        <v>0</v>
      </c>
      <c r="EU400" s="65"/>
      <c r="EV400" s="65"/>
      <c r="EW400" s="65"/>
      <c r="EX400" s="65"/>
      <c r="EY400" s="65"/>
      <c r="EZ400" s="68">
        <f t="shared" si="241"/>
        <v>0</v>
      </c>
      <c r="FA400" s="65"/>
      <c r="FB400" s="65"/>
      <c r="FC400" s="70">
        <f t="shared" si="240"/>
        <v>0</v>
      </c>
      <c r="FD400" s="65"/>
      <c r="FE400" s="71">
        <f t="shared" si="265"/>
        <v>0</v>
      </c>
      <c r="FF400" s="72">
        <f t="shared" si="266"/>
        <v>0</v>
      </c>
      <c r="FG400" s="65"/>
      <c r="FH400" s="65"/>
      <c r="FI400" s="65"/>
      <c r="FJ400" s="56">
        <f t="shared" si="267"/>
        <v>0</v>
      </c>
      <c r="FK400" s="65"/>
      <c r="FL400" s="65"/>
      <c r="FM400" s="65"/>
      <c r="FN400" s="65"/>
      <c r="FO400" s="67">
        <f t="shared" si="268"/>
        <v>0</v>
      </c>
      <c r="FP400" s="57"/>
      <c r="FQ400" s="73"/>
      <c r="FR400" s="73"/>
      <c r="FS400" s="71">
        <f t="shared" si="269"/>
        <v>0</v>
      </c>
      <c r="FT400" s="91"/>
      <c r="FU400" s="91"/>
      <c r="FV400" s="67">
        <f>SUM(Tableau1[[#This Row],[Droits d''auteurs SACEM + cotisations SACEM]:[Autres ou non préciés]])</f>
        <v>0</v>
      </c>
      <c r="FW400" s="75">
        <f t="shared" si="270"/>
        <v>0</v>
      </c>
      <c r="FX400" s="74">
        <v>0</v>
      </c>
      <c r="FY400" s="74"/>
      <c r="FZ400" s="74"/>
      <c r="GA400" s="74"/>
      <c r="GB400" s="71">
        <f t="shared" si="271"/>
        <v>0</v>
      </c>
      <c r="GC400" s="92"/>
      <c r="GD400" s="92"/>
      <c r="GE400" s="67">
        <f t="shared" si="272"/>
        <v>0</v>
      </c>
      <c r="GF400" s="66"/>
      <c r="GG400" s="66"/>
      <c r="GH400" s="66"/>
      <c r="GI400" s="66"/>
      <c r="GJ400" s="77"/>
    </row>
    <row r="401" spans="1:192" ht="18.600000000000001" customHeight="1" x14ac:dyDescent="0.25">
      <c r="A401" s="89"/>
      <c r="B401" s="17"/>
      <c r="C401" s="50"/>
      <c r="D401" s="140"/>
      <c r="E401" s="51"/>
      <c r="F401" s="139">
        <f t="shared" si="237"/>
        <v>1</v>
      </c>
      <c r="G401" s="49"/>
      <c r="H401" s="50"/>
      <c r="I401" s="122"/>
      <c r="J401" s="49"/>
      <c r="K401" s="50"/>
      <c r="L401" s="50"/>
      <c r="M401" s="90"/>
      <c r="N401" s="50"/>
      <c r="O401" s="50"/>
      <c r="P401" s="90"/>
      <c r="Q401" s="52">
        <f t="shared" si="242"/>
        <v>0</v>
      </c>
      <c r="R401" s="52">
        <f t="shared" si="243"/>
        <v>0</v>
      </c>
      <c r="S401" s="53">
        <f t="shared" si="244"/>
        <v>0</v>
      </c>
      <c r="T401" s="54">
        <f t="shared" si="245"/>
        <v>0</v>
      </c>
      <c r="U401" s="115">
        <f>SUM(Tableau1[[#This Row],[Vente confiserie]:[Vente boisson]])</f>
        <v>0</v>
      </c>
      <c r="V401" s="95"/>
      <c r="W401" s="95"/>
      <c r="X401" s="136">
        <f>SUM(Tableau1[[#This Row],[Vente lunette]:[Location lunette]])</f>
        <v>0</v>
      </c>
      <c r="Y401" s="95"/>
      <c r="Z401" s="95"/>
      <c r="AA401" s="95"/>
      <c r="AB401" s="95"/>
      <c r="AC401" s="56">
        <f t="shared" si="235"/>
        <v>0</v>
      </c>
      <c r="AD401" s="57"/>
      <c r="AE401" s="57"/>
      <c r="AF401" s="57"/>
      <c r="AG401" s="57"/>
      <c r="AH401" s="57"/>
      <c r="AI401" s="57"/>
      <c r="AJ401" s="118">
        <f>(Tableau1[[#This Row],[Recette guichet ]]*1.1275177)-Tableau1[[#This Row],[Recette guichet ]]</f>
        <v>0</v>
      </c>
      <c r="AK401" s="57"/>
      <c r="AL401" s="56">
        <f t="shared" si="236"/>
        <v>0</v>
      </c>
      <c r="AM401" s="58"/>
      <c r="AN401" s="58"/>
      <c r="AO401" s="58"/>
      <c r="AP401" s="115">
        <f t="shared" si="246"/>
        <v>0</v>
      </c>
      <c r="AQ401" s="69"/>
      <c r="AR401" s="69"/>
      <c r="AS401" s="69"/>
      <c r="AT401" s="69"/>
      <c r="AU401" s="59">
        <f t="shared" si="247"/>
        <v>0</v>
      </c>
      <c r="AV401" s="60">
        <f t="shared" si="248"/>
        <v>0</v>
      </c>
      <c r="AW401" s="58"/>
      <c r="AX401" s="58"/>
      <c r="AY401" s="58"/>
      <c r="AZ401" s="60">
        <f t="shared" si="238"/>
        <v>0</v>
      </c>
      <c r="BA401" s="58"/>
      <c r="BB401" s="58"/>
      <c r="BC401" s="58"/>
      <c r="BD401" s="60">
        <f>SUM(Tableau1[[#This Row],[ticket/carte/abonnement périmé]:[Autres ou non précisé 5]])</f>
        <v>0</v>
      </c>
      <c r="BE401" s="58"/>
      <c r="BF401" s="58"/>
      <c r="BG401" s="58"/>
      <c r="BH401" s="61">
        <f t="shared" si="249"/>
        <v>0</v>
      </c>
      <c r="BI401" s="120"/>
      <c r="BJ401" s="120"/>
      <c r="BK401" s="62">
        <f t="shared" si="250"/>
        <v>0</v>
      </c>
      <c r="BL401" s="120"/>
      <c r="BM401" s="120"/>
      <c r="BN401" s="120"/>
      <c r="BO401" s="120"/>
      <c r="BP401" s="120"/>
      <c r="BQ401" s="63"/>
      <c r="BR401" s="52">
        <f t="shared" si="251"/>
        <v>0</v>
      </c>
      <c r="BS401" s="52">
        <f t="shared" si="252"/>
        <v>0</v>
      </c>
      <c r="BT401" s="61">
        <f t="shared" si="253"/>
        <v>0</v>
      </c>
      <c r="BU401" s="64">
        <f t="shared" si="254"/>
        <v>0</v>
      </c>
      <c r="BV401" s="119">
        <f>SUM(Tableau1[[#This Row],[Achats confiserie]:[Achats boisson]])</f>
        <v>0</v>
      </c>
      <c r="BW401" s="58"/>
      <c r="BX401" s="69"/>
      <c r="BY401" s="58"/>
      <c r="BZ401" s="56">
        <f t="shared" si="255"/>
        <v>0</v>
      </c>
      <c r="CA401" s="66"/>
      <c r="CB401" s="66"/>
      <c r="CC401" s="56">
        <f t="shared" si="256"/>
        <v>0</v>
      </c>
      <c r="CD401" s="55"/>
      <c r="CE401" s="65"/>
      <c r="CF401" s="55"/>
      <c r="CG401" s="55"/>
      <c r="CH401" s="67">
        <f t="shared" si="257"/>
        <v>0</v>
      </c>
      <c r="CI401" s="68">
        <f t="shared" si="234"/>
        <v>0</v>
      </c>
      <c r="CJ401" s="55"/>
      <c r="CK401" s="55"/>
      <c r="CL401" s="55"/>
      <c r="CM401" s="55"/>
      <c r="CN401" s="55"/>
      <c r="CO401" s="68">
        <f t="shared" si="258"/>
        <v>0</v>
      </c>
      <c r="CP401" s="75">
        <f>SUM(Tableau1[[#This Row],[Fourniture eau]:[Energie (non précisé)]])</f>
        <v>0</v>
      </c>
      <c r="CQ401" s="55"/>
      <c r="CR401" s="55"/>
      <c r="CS401" s="55"/>
      <c r="CT401" s="55"/>
      <c r="CU401" s="55"/>
      <c r="CV401" s="55">
        <v>0</v>
      </c>
      <c r="CW401" s="55"/>
      <c r="CX401" s="68">
        <f>SUM(Tableau1[[#This Row],[Sous-traitance]:[Autres ou non précisé 12]])</f>
        <v>0</v>
      </c>
      <c r="CY401" s="65"/>
      <c r="CZ401" s="65"/>
      <c r="DA401" s="65"/>
      <c r="DB401" s="65"/>
      <c r="DC401" s="55"/>
      <c r="DD401" s="68">
        <f t="shared" si="239"/>
        <v>0</v>
      </c>
      <c r="DE401" s="55"/>
      <c r="DF401" s="65"/>
      <c r="DG401" s="65"/>
      <c r="DH401" s="65"/>
      <c r="DI401" s="68">
        <f>SUM(Tableau1[[#This Row],[Entretien et réparation matériel de projection]:[Autres ou non précisé 14]])</f>
        <v>0</v>
      </c>
      <c r="DJ401" s="58"/>
      <c r="DK401" s="58"/>
      <c r="DL401" s="69"/>
      <c r="DM401" s="68">
        <f t="shared" si="259"/>
        <v>0</v>
      </c>
      <c r="DN401" s="58"/>
      <c r="DO401" s="58"/>
      <c r="DP401" s="68">
        <f t="shared" si="260"/>
        <v>0</v>
      </c>
      <c r="DQ401" s="65"/>
      <c r="DR401" s="65"/>
      <c r="DS401" s="68">
        <f t="shared" si="261"/>
        <v>0</v>
      </c>
      <c r="DT401" s="65"/>
      <c r="DU401" s="65"/>
      <c r="DV401" s="65"/>
      <c r="DW401" s="68">
        <f>SUM(Tableau1[[#This Row],[Comission et courtage sur achats]:[Autres ou honoraires
 non précisé ]])</f>
        <v>0</v>
      </c>
      <c r="DX401" s="57"/>
      <c r="DY401" s="57"/>
      <c r="DZ401" s="65"/>
      <c r="EA401" s="65"/>
      <c r="EB401" s="65"/>
      <c r="EC401" s="68">
        <f t="shared" si="262"/>
        <v>0</v>
      </c>
      <c r="ED401" s="69"/>
      <c r="EE401" s="69"/>
      <c r="EF401" s="69"/>
      <c r="EG401" s="69"/>
      <c r="EH401" s="69"/>
      <c r="EI401" s="84">
        <f>SUM(Tableau1[[#This Row],[Transports sur films]:[autres ]])</f>
        <v>0</v>
      </c>
      <c r="EJ401" s="132">
        <v>0</v>
      </c>
      <c r="EK401" s="132"/>
      <c r="EL401" s="68">
        <f t="shared" si="263"/>
        <v>0</v>
      </c>
      <c r="EM401" s="65"/>
      <c r="EN401" s="65">
        <v>0</v>
      </c>
      <c r="EO401" s="65"/>
      <c r="EP401" s="65"/>
      <c r="EQ401" s="65"/>
      <c r="ER401" s="65"/>
      <c r="ES401" s="65"/>
      <c r="ET401" s="68">
        <f t="shared" si="264"/>
        <v>0</v>
      </c>
      <c r="EU401" s="65"/>
      <c r="EV401" s="65"/>
      <c r="EW401" s="65"/>
      <c r="EX401" s="65"/>
      <c r="EY401" s="65"/>
      <c r="EZ401" s="68">
        <f t="shared" si="241"/>
        <v>0</v>
      </c>
      <c r="FA401" s="65"/>
      <c r="FB401" s="65"/>
      <c r="FC401" s="70">
        <f t="shared" si="240"/>
        <v>0</v>
      </c>
      <c r="FD401" s="65"/>
      <c r="FE401" s="71">
        <f t="shared" si="265"/>
        <v>0</v>
      </c>
      <c r="FF401" s="72">
        <f t="shared" si="266"/>
        <v>0</v>
      </c>
      <c r="FG401" s="65"/>
      <c r="FH401" s="65"/>
      <c r="FI401" s="65"/>
      <c r="FJ401" s="56">
        <f t="shared" si="267"/>
        <v>0</v>
      </c>
      <c r="FK401" s="65"/>
      <c r="FL401" s="65"/>
      <c r="FM401" s="65"/>
      <c r="FN401" s="65"/>
      <c r="FO401" s="67">
        <f t="shared" si="268"/>
        <v>0</v>
      </c>
      <c r="FP401" s="57"/>
      <c r="FQ401" s="73"/>
      <c r="FR401" s="73"/>
      <c r="FS401" s="71">
        <f t="shared" si="269"/>
        <v>0</v>
      </c>
      <c r="FT401" s="91"/>
      <c r="FU401" s="91"/>
      <c r="FV401" s="67">
        <f>SUM(Tableau1[[#This Row],[Droits d''auteurs SACEM + cotisations SACEM]:[Autres ou non préciés]])</f>
        <v>0</v>
      </c>
      <c r="FW401" s="75">
        <f t="shared" si="270"/>
        <v>0</v>
      </c>
      <c r="FX401" s="74">
        <v>0</v>
      </c>
      <c r="FY401" s="74"/>
      <c r="FZ401" s="74"/>
      <c r="GA401" s="74"/>
      <c r="GB401" s="71">
        <f t="shared" si="271"/>
        <v>0</v>
      </c>
      <c r="GC401" s="92"/>
      <c r="GD401" s="92"/>
      <c r="GE401" s="67">
        <f t="shared" si="272"/>
        <v>0</v>
      </c>
      <c r="GF401" s="66"/>
      <c r="GG401" s="66"/>
      <c r="GH401" s="66"/>
      <c r="GI401" s="66"/>
      <c r="GJ401" s="77"/>
    </row>
    <row r="402" spans="1:192" ht="18.600000000000001" customHeight="1" x14ac:dyDescent="0.25">
      <c r="A402" s="89"/>
      <c r="B402" s="17"/>
      <c r="C402" s="50"/>
      <c r="D402" s="140"/>
      <c r="E402" s="51"/>
      <c r="F402" s="139">
        <f t="shared" si="237"/>
        <v>1</v>
      </c>
      <c r="G402" s="49"/>
      <c r="H402" s="50"/>
      <c r="I402" s="122"/>
      <c r="J402" s="49"/>
      <c r="K402" s="50"/>
      <c r="L402" s="50"/>
      <c r="M402" s="90"/>
      <c r="N402" s="50"/>
      <c r="O402" s="50"/>
      <c r="P402" s="90"/>
      <c r="Q402" s="52">
        <f t="shared" si="242"/>
        <v>0</v>
      </c>
      <c r="R402" s="52">
        <f t="shared" si="243"/>
        <v>0</v>
      </c>
      <c r="S402" s="53">
        <f t="shared" si="244"/>
        <v>0</v>
      </c>
      <c r="T402" s="54">
        <f t="shared" si="245"/>
        <v>0</v>
      </c>
      <c r="U402" s="115">
        <f>SUM(Tableau1[[#This Row],[Vente confiserie]:[Vente boisson]])</f>
        <v>0</v>
      </c>
      <c r="V402" s="95"/>
      <c r="W402" s="95"/>
      <c r="X402" s="136">
        <f>SUM(Tableau1[[#This Row],[Vente lunette]:[Location lunette]])</f>
        <v>0</v>
      </c>
      <c r="Y402" s="95"/>
      <c r="Z402" s="95"/>
      <c r="AA402" s="95"/>
      <c r="AB402" s="95"/>
      <c r="AC402" s="56">
        <f t="shared" si="235"/>
        <v>0</v>
      </c>
      <c r="AD402" s="57"/>
      <c r="AE402" s="57"/>
      <c r="AF402" s="57"/>
      <c r="AG402" s="57"/>
      <c r="AH402" s="57"/>
      <c r="AI402" s="57"/>
      <c r="AJ402" s="118">
        <f>(Tableau1[[#This Row],[Recette guichet ]]*1.1275177)-Tableau1[[#This Row],[Recette guichet ]]</f>
        <v>0</v>
      </c>
      <c r="AK402" s="57"/>
      <c r="AL402" s="56">
        <f t="shared" si="236"/>
        <v>0</v>
      </c>
      <c r="AM402" s="58"/>
      <c r="AN402" s="58"/>
      <c r="AO402" s="58"/>
      <c r="AP402" s="115">
        <f t="shared" si="246"/>
        <v>0</v>
      </c>
      <c r="AQ402" s="69"/>
      <c r="AR402" s="69"/>
      <c r="AS402" s="69"/>
      <c r="AT402" s="69"/>
      <c r="AU402" s="59">
        <f t="shared" si="247"/>
        <v>0</v>
      </c>
      <c r="AV402" s="60">
        <f t="shared" si="248"/>
        <v>0</v>
      </c>
      <c r="AW402" s="58"/>
      <c r="AX402" s="58"/>
      <c r="AY402" s="58"/>
      <c r="AZ402" s="60">
        <f t="shared" si="238"/>
        <v>0</v>
      </c>
      <c r="BA402" s="58"/>
      <c r="BB402" s="58"/>
      <c r="BC402" s="58"/>
      <c r="BD402" s="60">
        <f>SUM(Tableau1[[#This Row],[ticket/carte/abonnement périmé]:[Autres ou non précisé 5]])</f>
        <v>0</v>
      </c>
      <c r="BE402" s="58"/>
      <c r="BF402" s="58"/>
      <c r="BG402" s="58"/>
      <c r="BH402" s="61">
        <f t="shared" si="249"/>
        <v>0</v>
      </c>
      <c r="BI402" s="120"/>
      <c r="BJ402" s="120"/>
      <c r="BK402" s="62">
        <f t="shared" si="250"/>
        <v>0</v>
      </c>
      <c r="BL402" s="120"/>
      <c r="BM402" s="120"/>
      <c r="BN402" s="120"/>
      <c r="BO402" s="120"/>
      <c r="BP402" s="120"/>
      <c r="BQ402" s="63"/>
      <c r="BR402" s="52">
        <f t="shared" si="251"/>
        <v>0</v>
      </c>
      <c r="BS402" s="52">
        <f t="shared" si="252"/>
        <v>0</v>
      </c>
      <c r="BT402" s="61">
        <f t="shared" si="253"/>
        <v>0</v>
      </c>
      <c r="BU402" s="64">
        <f t="shared" si="254"/>
        <v>0</v>
      </c>
      <c r="BV402" s="119">
        <f>SUM(Tableau1[[#This Row],[Achats confiserie]:[Achats boisson]])</f>
        <v>0</v>
      </c>
      <c r="BW402" s="58"/>
      <c r="BX402" s="69"/>
      <c r="BY402" s="58"/>
      <c r="BZ402" s="56">
        <f t="shared" si="255"/>
        <v>0</v>
      </c>
      <c r="CA402" s="66"/>
      <c r="CB402" s="66"/>
      <c r="CC402" s="56">
        <f t="shared" si="256"/>
        <v>0</v>
      </c>
      <c r="CD402" s="55"/>
      <c r="CE402" s="65"/>
      <c r="CF402" s="55"/>
      <c r="CG402" s="55"/>
      <c r="CH402" s="67">
        <f t="shared" si="257"/>
        <v>0</v>
      </c>
      <c r="CI402" s="68">
        <f t="shared" si="234"/>
        <v>0</v>
      </c>
      <c r="CJ402" s="55"/>
      <c r="CK402" s="55"/>
      <c r="CL402" s="55"/>
      <c r="CM402" s="55"/>
      <c r="CN402" s="55"/>
      <c r="CO402" s="68">
        <f t="shared" si="258"/>
        <v>0</v>
      </c>
      <c r="CP402" s="75">
        <f>SUM(Tableau1[[#This Row],[Fourniture eau]:[Energie (non précisé)]])</f>
        <v>0</v>
      </c>
      <c r="CQ402" s="55"/>
      <c r="CR402" s="55"/>
      <c r="CS402" s="55"/>
      <c r="CT402" s="55"/>
      <c r="CU402" s="55"/>
      <c r="CV402" s="55">
        <v>0</v>
      </c>
      <c r="CW402" s="55"/>
      <c r="CX402" s="68">
        <f>SUM(Tableau1[[#This Row],[Sous-traitance]:[Autres ou non précisé 12]])</f>
        <v>0</v>
      </c>
      <c r="CY402" s="65"/>
      <c r="CZ402" s="65"/>
      <c r="DA402" s="65"/>
      <c r="DB402" s="65"/>
      <c r="DC402" s="55"/>
      <c r="DD402" s="68">
        <f t="shared" si="239"/>
        <v>0</v>
      </c>
      <c r="DE402" s="55"/>
      <c r="DF402" s="65"/>
      <c r="DG402" s="65"/>
      <c r="DH402" s="65"/>
      <c r="DI402" s="68">
        <f>SUM(Tableau1[[#This Row],[Entretien et réparation matériel de projection]:[Autres ou non précisé 14]])</f>
        <v>0</v>
      </c>
      <c r="DJ402" s="58"/>
      <c r="DK402" s="58"/>
      <c r="DL402" s="69"/>
      <c r="DM402" s="68">
        <f t="shared" si="259"/>
        <v>0</v>
      </c>
      <c r="DN402" s="58"/>
      <c r="DO402" s="58"/>
      <c r="DP402" s="68">
        <f t="shared" si="260"/>
        <v>0</v>
      </c>
      <c r="DQ402" s="65"/>
      <c r="DR402" s="65"/>
      <c r="DS402" s="68">
        <f t="shared" si="261"/>
        <v>0</v>
      </c>
      <c r="DT402" s="65"/>
      <c r="DU402" s="65"/>
      <c r="DV402" s="65"/>
      <c r="DW402" s="68">
        <f>SUM(Tableau1[[#This Row],[Comission et courtage sur achats]:[Autres ou honoraires
 non précisé ]])</f>
        <v>0</v>
      </c>
      <c r="DX402" s="57"/>
      <c r="DY402" s="57"/>
      <c r="DZ402" s="65"/>
      <c r="EA402" s="65"/>
      <c r="EB402" s="65"/>
      <c r="EC402" s="68">
        <f t="shared" si="262"/>
        <v>0</v>
      </c>
      <c r="ED402" s="69"/>
      <c r="EE402" s="69"/>
      <c r="EF402" s="69"/>
      <c r="EG402" s="69"/>
      <c r="EH402" s="69"/>
      <c r="EI402" s="84">
        <f>SUM(Tableau1[[#This Row],[Transports sur films]:[autres ]])</f>
        <v>0</v>
      </c>
      <c r="EJ402" s="132">
        <v>0</v>
      </c>
      <c r="EK402" s="132"/>
      <c r="EL402" s="68">
        <f t="shared" si="263"/>
        <v>0</v>
      </c>
      <c r="EM402" s="65"/>
      <c r="EN402" s="65">
        <v>0</v>
      </c>
      <c r="EO402" s="65"/>
      <c r="EP402" s="65"/>
      <c r="EQ402" s="65"/>
      <c r="ER402" s="65"/>
      <c r="ES402" s="65"/>
      <c r="ET402" s="68">
        <f t="shared" si="264"/>
        <v>0</v>
      </c>
      <c r="EU402" s="65"/>
      <c r="EV402" s="65"/>
      <c r="EW402" s="65"/>
      <c r="EX402" s="65"/>
      <c r="EY402" s="65"/>
      <c r="EZ402" s="68">
        <f t="shared" si="241"/>
        <v>0</v>
      </c>
      <c r="FA402" s="65"/>
      <c r="FB402" s="65"/>
      <c r="FC402" s="70">
        <f t="shared" si="240"/>
        <v>0</v>
      </c>
      <c r="FD402" s="65"/>
      <c r="FE402" s="71">
        <f t="shared" si="265"/>
        <v>0</v>
      </c>
      <c r="FF402" s="72">
        <f t="shared" si="266"/>
        <v>0</v>
      </c>
      <c r="FG402" s="65"/>
      <c r="FH402" s="65"/>
      <c r="FI402" s="65"/>
      <c r="FJ402" s="56">
        <f t="shared" si="267"/>
        <v>0</v>
      </c>
      <c r="FK402" s="65"/>
      <c r="FL402" s="65"/>
      <c r="FM402" s="65"/>
      <c r="FN402" s="65"/>
      <c r="FO402" s="67">
        <f t="shared" si="268"/>
        <v>0</v>
      </c>
      <c r="FP402" s="57"/>
      <c r="FQ402" s="73"/>
      <c r="FR402" s="73"/>
      <c r="FS402" s="71">
        <f t="shared" si="269"/>
        <v>0</v>
      </c>
      <c r="FT402" s="91"/>
      <c r="FU402" s="91"/>
      <c r="FV402" s="67">
        <f>SUM(Tableau1[[#This Row],[Droits d''auteurs SACEM + cotisations SACEM]:[Autres ou non préciés]])</f>
        <v>0</v>
      </c>
      <c r="FW402" s="75">
        <f t="shared" si="270"/>
        <v>0</v>
      </c>
      <c r="FX402" s="74">
        <v>0</v>
      </c>
      <c r="FY402" s="74"/>
      <c r="FZ402" s="74"/>
      <c r="GA402" s="74"/>
      <c r="GB402" s="71">
        <f t="shared" si="271"/>
        <v>0</v>
      </c>
      <c r="GC402" s="92"/>
      <c r="GD402" s="92"/>
      <c r="GE402" s="67">
        <f t="shared" si="272"/>
        <v>0</v>
      </c>
      <c r="GF402" s="66"/>
      <c r="GG402" s="66"/>
      <c r="GH402" s="66"/>
      <c r="GI402" s="66"/>
      <c r="GJ402" s="77"/>
    </row>
    <row r="403" spans="1:192" ht="18.600000000000001" customHeight="1" x14ac:dyDescent="0.25">
      <c r="A403" s="89"/>
      <c r="B403" s="17"/>
      <c r="C403" s="50"/>
      <c r="D403" s="140"/>
      <c r="E403" s="51"/>
      <c r="F403" s="139">
        <f t="shared" si="237"/>
        <v>1</v>
      </c>
      <c r="G403" s="49"/>
      <c r="H403" s="50"/>
      <c r="I403" s="122"/>
      <c r="J403" s="49"/>
      <c r="K403" s="50"/>
      <c r="L403" s="50"/>
      <c r="M403" s="90"/>
      <c r="N403" s="50"/>
      <c r="O403" s="50"/>
      <c r="P403" s="90"/>
      <c r="Q403" s="52">
        <f t="shared" si="242"/>
        <v>0</v>
      </c>
      <c r="R403" s="52">
        <f t="shared" si="243"/>
        <v>0</v>
      </c>
      <c r="S403" s="53">
        <f t="shared" si="244"/>
        <v>0</v>
      </c>
      <c r="T403" s="54">
        <f t="shared" si="245"/>
        <v>0</v>
      </c>
      <c r="U403" s="115">
        <f>SUM(Tableau1[[#This Row],[Vente confiserie]:[Vente boisson]])</f>
        <v>0</v>
      </c>
      <c r="V403" s="95"/>
      <c r="W403" s="95"/>
      <c r="X403" s="136">
        <f>SUM(Tableau1[[#This Row],[Vente lunette]:[Location lunette]])</f>
        <v>0</v>
      </c>
      <c r="Y403" s="95"/>
      <c r="Z403" s="95"/>
      <c r="AA403" s="95"/>
      <c r="AB403" s="95"/>
      <c r="AC403" s="56">
        <f t="shared" si="235"/>
        <v>0</v>
      </c>
      <c r="AD403" s="57"/>
      <c r="AE403" s="57"/>
      <c r="AF403" s="57"/>
      <c r="AG403" s="57"/>
      <c r="AH403" s="57"/>
      <c r="AI403" s="57"/>
      <c r="AJ403" s="118">
        <f>(Tableau1[[#This Row],[Recette guichet ]]*1.1275177)-Tableau1[[#This Row],[Recette guichet ]]</f>
        <v>0</v>
      </c>
      <c r="AK403" s="57"/>
      <c r="AL403" s="56">
        <f t="shared" si="236"/>
        <v>0</v>
      </c>
      <c r="AM403" s="58"/>
      <c r="AN403" s="58"/>
      <c r="AO403" s="58"/>
      <c r="AP403" s="115">
        <f t="shared" si="246"/>
        <v>0</v>
      </c>
      <c r="AQ403" s="69"/>
      <c r="AR403" s="69"/>
      <c r="AS403" s="69"/>
      <c r="AT403" s="69"/>
      <c r="AU403" s="59">
        <f t="shared" si="247"/>
        <v>0</v>
      </c>
      <c r="AV403" s="60">
        <f t="shared" si="248"/>
        <v>0</v>
      </c>
      <c r="AW403" s="58"/>
      <c r="AX403" s="58"/>
      <c r="AY403" s="58"/>
      <c r="AZ403" s="60">
        <f t="shared" si="238"/>
        <v>0</v>
      </c>
      <c r="BA403" s="58"/>
      <c r="BB403" s="58"/>
      <c r="BC403" s="58"/>
      <c r="BD403" s="60">
        <f>SUM(Tableau1[[#This Row],[ticket/carte/abonnement périmé]:[Autres ou non précisé 5]])</f>
        <v>0</v>
      </c>
      <c r="BE403" s="58"/>
      <c r="BF403" s="58"/>
      <c r="BG403" s="58"/>
      <c r="BH403" s="61">
        <f t="shared" si="249"/>
        <v>0</v>
      </c>
      <c r="BI403" s="120"/>
      <c r="BJ403" s="120"/>
      <c r="BK403" s="62">
        <f t="shared" si="250"/>
        <v>0</v>
      </c>
      <c r="BL403" s="120"/>
      <c r="BM403" s="120"/>
      <c r="BN403" s="120"/>
      <c r="BO403" s="120"/>
      <c r="BP403" s="120"/>
      <c r="BQ403" s="63"/>
      <c r="BR403" s="52">
        <f t="shared" si="251"/>
        <v>0</v>
      </c>
      <c r="BS403" s="52">
        <f t="shared" si="252"/>
        <v>0</v>
      </c>
      <c r="BT403" s="61">
        <f t="shared" si="253"/>
        <v>0</v>
      </c>
      <c r="BU403" s="64">
        <f t="shared" si="254"/>
        <v>0</v>
      </c>
      <c r="BV403" s="119">
        <f>SUM(Tableau1[[#This Row],[Achats confiserie]:[Achats boisson]])</f>
        <v>0</v>
      </c>
      <c r="BW403" s="58"/>
      <c r="BX403" s="69"/>
      <c r="BY403" s="58"/>
      <c r="BZ403" s="56">
        <f t="shared" si="255"/>
        <v>0</v>
      </c>
      <c r="CA403" s="66"/>
      <c r="CB403" s="66"/>
      <c r="CC403" s="56">
        <f t="shared" si="256"/>
        <v>0</v>
      </c>
      <c r="CD403" s="55"/>
      <c r="CE403" s="65"/>
      <c r="CF403" s="55"/>
      <c r="CG403" s="55"/>
      <c r="CH403" s="67">
        <f t="shared" si="257"/>
        <v>0</v>
      </c>
      <c r="CI403" s="68">
        <f t="shared" ref="CI403:CI466" si="273">SUM(CJ403:CN403)</f>
        <v>0</v>
      </c>
      <c r="CJ403" s="55"/>
      <c r="CK403" s="55"/>
      <c r="CL403" s="55"/>
      <c r="CM403" s="55"/>
      <c r="CN403" s="55"/>
      <c r="CO403" s="68">
        <f t="shared" si="258"/>
        <v>0</v>
      </c>
      <c r="CP403" s="75">
        <f>SUM(Tableau1[[#This Row],[Fourniture eau]:[Energie (non précisé)]])</f>
        <v>0</v>
      </c>
      <c r="CQ403" s="55"/>
      <c r="CR403" s="55"/>
      <c r="CS403" s="55"/>
      <c r="CT403" s="55"/>
      <c r="CU403" s="55"/>
      <c r="CV403" s="55">
        <v>0</v>
      </c>
      <c r="CW403" s="55"/>
      <c r="CX403" s="68">
        <f>SUM(Tableau1[[#This Row],[Sous-traitance]:[Autres ou non précisé 12]])</f>
        <v>0</v>
      </c>
      <c r="CY403" s="65"/>
      <c r="CZ403" s="65"/>
      <c r="DA403" s="65"/>
      <c r="DB403" s="65"/>
      <c r="DC403" s="55"/>
      <c r="DD403" s="68">
        <f t="shared" si="239"/>
        <v>0</v>
      </c>
      <c r="DE403" s="55"/>
      <c r="DF403" s="65"/>
      <c r="DG403" s="65"/>
      <c r="DH403" s="65"/>
      <c r="DI403" s="68">
        <f>SUM(Tableau1[[#This Row],[Entretien et réparation matériel de projection]:[Autres ou non précisé 14]])</f>
        <v>0</v>
      </c>
      <c r="DJ403" s="58"/>
      <c r="DK403" s="58"/>
      <c r="DL403" s="69"/>
      <c r="DM403" s="68">
        <f t="shared" si="259"/>
        <v>0</v>
      </c>
      <c r="DN403" s="58"/>
      <c r="DO403" s="58"/>
      <c r="DP403" s="68">
        <f t="shared" si="260"/>
        <v>0</v>
      </c>
      <c r="DQ403" s="65"/>
      <c r="DR403" s="65"/>
      <c r="DS403" s="68">
        <f t="shared" si="261"/>
        <v>0</v>
      </c>
      <c r="DT403" s="65"/>
      <c r="DU403" s="65"/>
      <c r="DV403" s="65"/>
      <c r="DW403" s="68">
        <f>SUM(Tableau1[[#This Row],[Comission et courtage sur achats]:[Autres ou honoraires
 non précisé ]])</f>
        <v>0</v>
      </c>
      <c r="DX403" s="57"/>
      <c r="DY403" s="57"/>
      <c r="DZ403" s="65"/>
      <c r="EA403" s="65"/>
      <c r="EB403" s="65"/>
      <c r="EC403" s="68">
        <f t="shared" si="262"/>
        <v>0</v>
      </c>
      <c r="ED403" s="69"/>
      <c r="EE403" s="69"/>
      <c r="EF403" s="69"/>
      <c r="EG403" s="69"/>
      <c r="EH403" s="69"/>
      <c r="EI403" s="84">
        <f>SUM(Tableau1[[#This Row],[Transports sur films]:[autres ]])</f>
        <v>0</v>
      </c>
      <c r="EJ403" s="132">
        <v>0</v>
      </c>
      <c r="EK403" s="132"/>
      <c r="EL403" s="68">
        <f t="shared" si="263"/>
        <v>0</v>
      </c>
      <c r="EM403" s="65"/>
      <c r="EN403" s="65">
        <v>0</v>
      </c>
      <c r="EO403" s="65"/>
      <c r="EP403" s="65"/>
      <c r="EQ403" s="65"/>
      <c r="ER403" s="65"/>
      <c r="ES403" s="65"/>
      <c r="ET403" s="68">
        <f t="shared" si="264"/>
        <v>0</v>
      </c>
      <c r="EU403" s="65"/>
      <c r="EV403" s="65"/>
      <c r="EW403" s="65"/>
      <c r="EX403" s="65"/>
      <c r="EY403" s="65"/>
      <c r="EZ403" s="68">
        <f t="shared" si="241"/>
        <v>0</v>
      </c>
      <c r="FA403" s="65"/>
      <c r="FB403" s="65"/>
      <c r="FC403" s="70">
        <f t="shared" si="240"/>
        <v>0</v>
      </c>
      <c r="FD403" s="65"/>
      <c r="FE403" s="71">
        <f t="shared" si="265"/>
        <v>0</v>
      </c>
      <c r="FF403" s="72">
        <f t="shared" si="266"/>
        <v>0</v>
      </c>
      <c r="FG403" s="65"/>
      <c r="FH403" s="65"/>
      <c r="FI403" s="65"/>
      <c r="FJ403" s="56">
        <f t="shared" si="267"/>
        <v>0</v>
      </c>
      <c r="FK403" s="65"/>
      <c r="FL403" s="65"/>
      <c r="FM403" s="65"/>
      <c r="FN403" s="65"/>
      <c r="FO403" s="67">
        <f t="shared" si="268"/>
        <v>0</v>
      </c>
      <c r="FP403" s="57"/>
      <c r="FQ403" s="73"/>
      <c r="FR403" s="73"/>
      <c r="FS403" s="71">
        <f t="shared" si="269"/>
        <v>0</v>
      </c>
      <c r="FT403" s="91"/>
      <c r="FU403" s="91"/>
      <c r="FV403" s="67">
        <f>SUM(Tableau1[[#This Row],[Droits d''auteurs SACEM + cotisations SACEM]:[Autres ou non préciés]])</f>
        <v>0</v>
      </c>
      <c r="FW403" s="75">
        <f t="shared" si="270"/>
        <v>0</v>
      </c>
      <c r="FX403" s="74">
        <v>0</v>
      </c>
      <c r="FY403" s="74"/>
      <c r="FZ403" s="74"/>
      <c r="GA403" s="74"/>
      <c r="GB403" s="71">
        <f t="shared" si="271"/>
        <v>0</v>
      </c>
      <c r="GC403" s="92"/>
      <c r="GD403" s="92"/>
      <c r="GE403" s="67">
        <f t="shared" si="272"/>
        <v>0</v>
      </c>
      <c r="GF403" s="66"/>
      <c r="GG403" s="66"/>
      <c r="GH403" s="66"/>
      <c r="GI403" s="66"/>
      <c r="GJ403" s="77"/>
    </row>
    <row r="404" spans="1:192" ht="18.600000000000001" customHeight="1" x14ac:dyDescent="0.25">
      <c r="A404" s="89"/>
      <c r="B404" s="17"/>
      <c r="C404" s="50"/>
      <c r="D404" s="140"/>
      <c r="E404" s="51"/>
      <c r="F404" s="139">
        <f t="shared" si="237"/>
        <v>1</v>
      </c>
      <c r="G404" s="49"/>
      <c r="H404" s="50"/>
      <c r="I404" s="122"/>
      <c r="J404" s="49"/>
      <c r="K404" s="50"/>
      <c r="L404" s="50"/>
      <c r="M404" s="90"/>
      <c r="N404" s="50"/>
      <c r="O404" s="50"/>
      <c r="P404" s="90"/>
      <c r="Q404" s="52">
        <f t="shared" si="242"/>
        <v>0</v>
      </c>
      <c r="R404" s="52">
        <f t="shared" si="243"/>
        <v>0</v>
      </c>
      <c r="S404" s="53">
        <f t="shared" si="244"/>
        <v>0</v>
      </c>
      <c r="T404" s="54">
        <f t="shared" si="245"/>
        <v>0</v>
      </c>
      <c r="U404" s="115">
        <f>SUM(Tableau1[[#This Row],[Vente confiserie]:[Vente boisson]])</f>
        <v>0</v>
      </c>
      <c r="V404" s="95"/>
      <c r="W404" s="95"/>
      <c r="X404" s="136">
        <f>SUM(Tableau1[[#This Row],[Vente lunette]:[Location lunette]])</f>
        <v>0</v>
      </c>
      <c r="Y404" s="95"/>
      <c r="Z404" s="95"/>
      <c r="AA404" s="95"/>
      <c r="AB404" s="95"/>
      <c r="AC404" s="56">
        <f t="shared" si="235"/>
        <v>0</v>
      </c>
      <c r="AD404" s="57"/>
      <c r="AE404" s="57"/>
      <c r="AF404" s="57"/>
      <c r="AG404" s="57"/>
      <c r="AH404" s="57"/>
      <c r="AI404" s="57"/>
      <c r="AJ404" s="118">
        <f>(Tableau1[[#This Row],[Recette guichet ]]*1.1275177)-Tableau1[[#This Row],[Recette guichet ]]</f>
        <v>0</v>
      </c>
      <c r="AK404" s="57"/>
      <c r="AL404" s="56">
        <f t="shared" si="236"/>
        <v>0</v>
      </c>
      <c r="AM404" s="58"/>
      <c r="AN404" s="58"/>
      <c r="AO404" s="58"/>
      <c r="AP404" s="115">
        <f t="shared" si="246"/>
        <v>0</v>
      </c>
      <c r="AQ404" s="69"/>
      <c r="AR404" s="69"/>
      <c r="AS404" s="69"/>
      <c r="AT404" s="69"/>
      <c r="AU404" s="59">
        <f t="shared" si="247"/>
        <v>0</v>
      </c>
      <c r="AV404" s="60">
        <f t="shared" si="248"/>
        <v>0</v>
      </c>
      <c r="AW404" s="58"/>
      <c r="AX404" s="58"/>
      <c r="AY404" s="58"/>
      <c r="AZ404" s="60">
        <f t="shared" si="238"/>
        <v>0</v>
      </c>
      <c r="BA404" s="58"/>
      <c r="BB404" s="58"/>
      <c r="BC404" s="58"/>
      <c r="BD404" s="60">
        <f>SUM(Tableau1[[#This Row],[ticket/carte/abonnement périmé]:[Autres ou non précisé 5]])</f>
        <v>0</v>
      </c>
      <c r="BE404" s="58"/>
      <c r="BF404" s="58"/>
      <c r="BG404" s="58"/>
      <c r="BH404" s="61">
        <f t="shared" si="249"/>
        <v>0</v>
      </c>
      <c r="BI404" s="120"/>
      <c r="BJ404" s="120"/>
      <c r="BK404" s="62">
        <f t="shared" si="250"/>
        <v>0</v>
      </c>
      <c r="BL404" s="120"/>
      <c r="BM404" s="120"/>
      <c r="BN404" s="120"/>
      <c r="BO404" s="120"/>
      <c r="BP404" s="120"/>
      <c r="BQ404" s="63"/>
      <c r="BR404" s="52">
        <f t="shared" si="251"/>
        <v>0</v>
      </c>
      <c r="BS404" s="52">
        <f t="shared" si="252"/>
        <v>0</v>
      </c>
      <c r="BT404" s="61">
        <f t="shared" si="253"/>
        <v>0</v>
      </c>
      <c r="BU404" s="64">
        <f t="shared" si="254"/>
        <v>0</v>
      </c>
      <c r="BV404" s="119">
        <f>SUM(Tableau1[[#This Row],[Achats confiserie]:[Achats boisson]])</f>
        <v>0</v>
      </c>
      <c r="BW404" s="58"/>
      <c r="BX404" s="69"/>
      <c r="BY404" s="58"/>
      <c r="BZ404" s="56">
        <f t="shared" si="255"/>
        <v>0</v>
      </c>
      <c r="CA404" s="66"/>
      <c r="CB404" s="66"/>
      <c r="CC404" s="56">
        <f t="shared" si="256"/>
        <v>0</v>
      </c>
      <c r="CD404" s="55"/>
      <c r="CE404" s="65"/>
      <c r="CF404" s="55"/>
      <c r="CG404" s="55"/>
      <c r="CH404" s="67">
        <f t="shared" si="257"/>
        <v>0</v>
      </c>
      <c r="CI404" s="68">
        <f t="shared" si="273"/>
        <v>0</v>
      </c>
      <c r="CJ404" s="55"/>
      <c r="CK404" s="55"/>
      <c r="CL404" s="55"/>
      <c r="CM404" s="55"/>
      <c r="CN404" s="55"/>
      <c r="CO404" s="68">
        <f t="shared" si="258"/>
        <v>0</v>
      </c>
      <c r="CP404" s="75">
        <f>SUM(Tableau1[[#This Row],[Fourniture eau]:[Energie (non précisé)]])</f>
        <v>0</v>
      </c>
      <c r="CQ404" s="55"/>
      <c r="CR404" s="55"/>
      <c r="CS404" s="55"/>
      <c r="CT404" s="55"/>
      <c r="CU404" s="55"/>
      <c r="CV404" s="55">
        <v>0</v>
      </c>
      <c r="CW404" s="55"/>
      <c r="CX404" s="68">
        <f>SUM(Tableau1[[#This Row],[Sous-traitance]:[Autres ou non précisé 12]])</f>
        <v>0</v>
      </c>
      <c r="CY404" s="65"/>
      <c r="CZ404" s="65"/>
      <c r="DA404" s="65"/>
      <c r="DB404" s="65"/>
      <c r="DC404" s="55"/>
      <c r="DD404" s="68">
        <f t="shared" si="239"/>
        <v>0</v>
      </c>
      <c r="DE404" s="55"/>
      <c r="DF404" s="65"/>
      <c r="DG404" s="65"/>
      <c r="DH404" s="65"/>
      <c r="DI404" s="68">
        <f>SUM(Tableau1[[#This Row],[Entretien et réparation matériel de projection]:[Autres ou non précisé 14]])</f>
        <v>0</v>
      </c>
      <c r="DJ404" s="58"/>
      <c r="DK404" s="58"/>
      <c r="DL404" s="69"/>
      <c r="DM404" s="68">
        <f t="shared" si="259"/>
        <v>0</v>
      </c>
      <c r="DN404" s="58"/>
      <c r="DO404" s="58"/>
      <c r="DP404" s="68">
        <f t="shared" si="260"/>
        <v>0</v>
      </c>
      <c r="DQ404" s="65"/>
      <c r="DR404" s="65"/>
      <c r="DS404" s="68">
        <f t="shared" si="261"/>
        <v>0</v>
      </c>
      <c r="DT404" s="65"/>
      <c r="DU404" s="65"/>
      <c r="DV404" s="65"/>
      <c r="DW404" s="68">
        <f>SUM(Tableau1[[#This Row],[Comission et courtage sur achats]:[Autres ou honoraires
 non précisé ]])</f>
        <v>0</v>
      </c>
      <c r="DX404" s="57"/>
      <c r="DY404" s="57"/>
      <c r="DZ404" s="65"/>
      <c r="EA404" s="65"/>
      <c r="EB404" s="65"/>
      <c r="EC404" s="68">
        <f t="shared" si="262"/>
        <v>0</v>
      </c>
      <c r="ED404" s="69"/>
      <c r="EE404" s="69"/>
      <c r="EF404" s="69"/>
      <c r="EG404" s="69"/>
      <c r="EH404" s="69"/>
      <c r="EI404" s="84">
        <f>SUM(Tableau1[[#This Row],[Transports sur films]:[autres ]])</f>
        <v>0</v>
      </c>
      <c r="EJ404" s="132">
        <v>0</v>
      </c>
      <c r="EK404" s="132"/>
      <c r="EL404" s="68">
        <f t="shared" si="263"/>
        <v>0</v>
      </c>
      <c r="EM404" s="65"/>
      <c r="EN404" s="65">
        <v>0</v>
      </c>
      <c r="EO404" s="65"/>
      <c r="EP404" s="65"/>
      <c r="EQ404" s="65"/>
      <c r="ER404" s="65"/>
      <c r="ES404" s="65"/>
      <c r="ET404" s="68">
        <f t="shared" si="264"/>
        <v>0</v>
      </c>
      <c r="EU404" s="65"/>
      <c r="EV404" s="65"/>
      <c r="EW404" s="65"/>
      <c r="EX404" s="65"/>
      <c r="EY404" s="65"/>
      <c r="EZ404" s="68">
        <f t="shared" si="241"/>
        <v>0</v>
      </c>
      <c r="FA404" s="65"/>
      <c r="FB404" s="65"/>
      <c r="FC404" s="70">
        <f t="shared" si="240"/>
        <v>0</v>
      </c>
      <c r="FD404" s="65"/>
      <c r="FE404" s="71">
        <f t="shared" si="265"/>
        <v>0</v>
      </c>
      <c r="FF404" s="72">
        <f t="shared" si="266"/>
        <v>0</v>
      </c>
      <c r="FG404" s="65"/>
      <c r="FH404" s="65"/>
      <c r="FI404" s="65"/>
      <c r="FJ404" s="56">
        <f t="shared" si="267"/>
        <v>0</v>
      </c>
      <c r="FK404" s="65"/>
      <c r="FL404" s="65"/>
      <c r="FM404" s="65"/>
      <c r="FN404" s="65"/>
      <c r="FO404" s="67">
        <f t="shared" si="268"/>
        <v>0</v>
      </c>
      <c r="FP404" s="57"/>
      <c r="FQ404" s="73"/>
      <c r="FR404" s="73"/>
      <c r="FS404" s="71">
        <f t="shared" si="269"/>
        <v>0</v>
      </c>
      <c r="FT404" s="91"/>
      <c r="FU404" s="91"/>
      <c r="FV404" s="67">
        <f>SUM(Tableau1[[#This Row],[Droits d''auteurs SACEM + cotisations SACEM]:[Autres ou non préciés]])</f>
        <v>0</v>
      </c>
      <c r="FW404" s="75">
        <f t="shared" si="270"/>
        <v>0</v>
      </c>
      <c r="FX404" s="74">
        <v>0</v>
      </c>
      <c r="FY404" s="74"/>
      <c r="FZ404" s="74"/>
      <c r="GA404" s="74"/>
      <c r="GB404" s="71">
        <f t="shared" si="271"/>
        <v>0</v>
      </c>
      <c r="GC404" s="92"/>
      <c r="GD404" s="92"/>
      <c r="GE404" s="67">
        <f t="shared" si="272"/>
        <v>0</v>
      </c>
      <c r="GF404" s="66"/>
      <c r="GG404" s="66"/>
      <c r="GH404" s="66"/>
      <c r="GI404" s="66"/>
      <c r="GJ404" s="77"/>
    </row>
    <row r="405" spans="1:192" ht="18.600000000000001" customHeight="1" x14ac:dyDescent="0.25">
      <c r="A405" s="89"/>
      <c r="B405" s="17"/>
      <c r="C405" s="50"/>
      <c r="D405" s="140"/>
      <c r="E405" s="51"/>
      <c r="F405" s="139">
        <f t="shared" si="237"/>
        <v>1</v>
      </c>
      <c r="G405" s="49"/>
      <c r="H405" s="50"/>
      <c r="I405" s="122"/>
      <c r="J405" s="49"/>
      <c r="K405" s="50"/>
      <c r="L405" s="50"/>
      <c r="M405" s="90"/>
      <c r="N405" s="50"/>
      <c r="O405" s="50"/>
      <c r="P405" s="90"/>
      <c r="Q405" s="52">
        <f t="shared" si="242"/>
        <v>0</v>
      </c>
      <c r="R405" s="52">
        <f t="shared" si="243"/>
        <v>0</v>
      </c>
      <c r="S405" s="53">
        <f t="shared" si="244"/>
        <v>0</v>
      </c>
      <c r="T405" s="54">
        <f t="shared" si="245"/>
        <v>0</v>
      </c>
      <c r="U405" s="115">
        <f>SUM(Tableau1[[#This Row],[Vente confiserie]:[Vente boisson]])</f>
        <v>0</v>
      </c>
      <c r="V405" s="95"/>
      <c r="W405" s="95"/>
      <c r="X405" s="136">
        <f>SUM(Tableau1[[#This Row],[Vente lunette]:[Location lunette]])</f>
        <v>0</v>
      </c>
      <c r="Y405" s="95"/>
      <c r="Z405" s="95"/>
      <c r="AA405" s="95"/>
      <c r="AB405" s="95"/>
      <c r="AC405" s="56">
        <f t="shared" ref="AC405:AC468" si="274">SUM(AD405:AI405,AK405)</f>
        <v>0</v>
      </c>
      <c r="AD405" s="57"/>
      <c r="AE405" s="57"/>
      <c r="AF405" s="57"/>
      <c r="AG405" s="57"/>
      <c r="AH405" s="57"/>
      <c r="AI405" s="57"/>
      <c r="AJ405" s="118">
        <f>(Tableau1[[#This Row],[Recette guichet ]]*1.1275177)-Tableau1[[#This Row],[Recette guichet ]]</f>
        <v>0</v>
      </c>
      <c r="AK405" s="57"/>
      <c r="AL405" s="56">
        <f t="shared" si="236"/>
        <v>0</v>
      </c>
      <c r="AM405" s="58"/>
      <c r="AN405" s="58"/>
      <c r="AO405" s="58"/>
      <c r="AP405" s="115">
        <f t="shared" si="246"/>
        <v>0</v>
      </c>
      <c r="AQ405" s="69"/>
      <c r="AR405" s="69"/>
      <c r="AS405" s="69"/>
      <c r="AT405" s="69"/>
      <c r="AU405" s="59">
        <f t="shared" si="247"/>
        <v>0</v>
      </c>
      <c r="AV405" s="60">
        <f t="shared" si="248"/>
        <v>0</v>
      </c>
      <c r="AW405" s="58"/>
      <c r="AX405" s="58"/>
      <c r="AY405" s="58"/>
      <c r="AZ405" s="60">
        <f t="shared" si="238"/>
        <v>0</v>
      </c>
      <c r="BA405" s="58"/>
      <c r="BB405" s="58"/>
      <c r="BC405" s="58"/>
      <c r="BD405" s="60">
        <f>SUM(Tableau1[[#This Row],[ticket/carte/abonnement périmé]:[Autres ou non précisé 5]])</f>
        <v>0</v>
      </c>
      <c r="BE405" s="58"/>
      <c r="BF405" s="58"/>
      <c r="BG405" s="58"/>
      <c r="BH405" s="61">
        <f t="shared" si="249"/>
        <v>0</v>
      </c>
      <c r="BI405" s="120"/>
      <c r="BJ405" s="120"/>
      <c r="BK405" s="62">
        <f t="shared" si="250"/>
        <v>0</v>
      </c>
      <c r="BL405" s="120"/>
      <c r="BM405" s="120"/>
      <c r="BN405" s="120"/>
      <c r="BO405" s="120"/>
      <c r="BP405" s="120"/>
      <c r="BQ405" s="63"/>
      <c r="BR405" s="52">
        <f t="shared" si="251"/>
        <v>0</v>
      </c>
      <c r="BS405" s="52">
        <f t="shared" si="252"/>
        <v>0</v>
      </c>
      <c r="BT405" s="61">
        <f t="shared" si="253"/>
        <v>0</v>
      </c>
      <c r="BU405" s="64">
        <f t="shared" si="254"/>
        <v>0</v>
      </c>
      <c r="BV405" s="119">
        <f>SUM(Tableau1[[#This Row],[Achats confiserie]:[Achats boisson]])</f>
        <v>0</v>
      </c>
      <c r="BW405" s="58"/>
      <c r="BX405" s="69"/>
      <c r="BY405" s="58"/>
      <c r="BZ405" s="56">
        <f t="shared" si="255"/>
        <v>0</v>
      </c>
      <c r="CA405" s="66"/>
      <c r="CB405" s="66"/>
      <c r="CC405" s="56">
        <f t="shared" si="256"/>
        <v>0</v>
      </c>
      <c r="CD405" s="55"/>
      <c r="CE405" s="65"/>
      <c r="CF405" s="55"/>
      <c r="CG405" s="55"/>
      <c r="CH405" s="67">
        <f t="shared" si="257"/>
        <v>0</v>
      </c>
      <c r="CI405" s="68">
        <f t="shared" si="273"/>
        <v>0</v>
      </c>
      <c r="CJ405" s="55"/>
      <c r="CK405" s="55"/>
      <c r="CL405" s="55"/>
      <c r="CM405" s="55"/>
      <c r="CN405" s="55"/>
      <c r="CO405" s="68">
        <f t="shared" si="258"/>
        <v>0</v>
      </c>
      <c r="CP405" s="75">
        <f>SUM(Tableau1[[#This Row],[Fourniture eau]:[Energie (non précisé)]])</f>
        <v>0</v>
      </c>
      <c r="CQ405" s="55"/>
      <c r="CR405" s="55"/>
      <c r="CS405" s="55"/>
      <c r="CT405" s="55"/>
      <c r="CU405" s="55"/>
      <c r="CV405" s="55">
        <v>0</v>
      </c>
      <c r="CW405" s="55"/>
      <c r="CX405" s="68">
        <f>SUM(Tableau1[[#This Row],[Sous-traitance]:[Autres ou non précisé 12]])</f>
        <v>0</v>
      </c>
      <c r="CY405" s="65"/>
      <c r="CZ405" s="65"/>
      <c r="DA405" s="65"/>
      <c r="DB405" s="65"/>
      <c r="DC405" s="55"/>
      <c r="DD405" s="68">
        <f t="shared" si="239"/>
        <v>0</v>
      </c>
      <c r="DE405" s="55"/>
      <c r="DF405" s="65"/>
      <c r="DG405" s="65"/>
      <c r="DH405" s="65"/>
      <c r="DI405" s="68">
        <f>SUM(Tableau1[[#This Row],[Entretien et réparation matériel de projection]:[Autres ou non précisé 14]])</f>
        <v>0</v>
      </c>
      <c r="DJ405" s="58"/>
      <c r="DK405" s="58"/>
      <c r="DL405" s="69"/>
      <c r="DM405" s="68">
        <f t="shared" si="259"/>
        <v>0</v>
      </c>
      <c r="DN405" s="58"/>
      <c r="DO405" s="58"/>
      <c r="DP405" s="68">
        <f t="shared" si="260"/>
        <v>0</v>
      </c>
      <c r="DQ405" s="65"/>
      <c r="DR405" s="65"/>
      <c r="DS405" s="68">
        <f t="shared" si="261"/>
        <v>0</v>
      </c>
      <c r="DT405" s="65"/>
      <c r="DU405" s="65"/>
      <c r="DV405" s="65"/>
      <c r="DW405" s="68">
        <f>SUM(Tableau1[[#This Row],[Comission et courtage sur achats]:[Autres ou honoraires
 non précisé ]])</f>
        <v>0</v>
      </c>
      <c r="DX405" s="57"/>
      <c r="DY405" s="57"/>
      <c r="DZ405" s="65"/>
      <c r="EA405" s="65"/>
      <c r="EB405" s="65"/>
      <c r="EC405" s="68">
        <f t="shared" si="262"/>
        <v>0</v>
      </c>
      <c r="ED405" s="69"/>
      <c r="EE405" s="69"/>
      <c r="EF405" s="69"/>
      <c r="EG405" s="69"/>
      <c r="EH405" s="69"/>
      <c r="EI405" s="84">
        <f>SUM(Tableau1[[#This Row],[Transports sur films]:[autres ]])</f>
        <v>0</v>
      </c>
      <c r="EJ405" s="132">
        <v>0</v>
      </c>
      <c r="EK405" s="132"/>
      <c r="EL405" s="68">
        <f t="shared" si="263"/>
        <v>0</v>
      </c>
      <c r="EM405" s="65"/>
      <c r="EN405" s="65">
        <v>0</v>
      </c>
      <c r="EO405" s="65"/>
      <c r="EP405" s="65"/>
      <c r="EQ405" s="65"/>
      <c r="ER405" s="65"/>
      <c r="ES405" s="65"/>
      <c r="ET405" s="68">
        <f t="shared" si="264"/>
        <v>0</v>
      </c>
      <c r="EU405" s="65"/>
      <c r="EV405" s="65"/>
      <c r="EW405" s="65"/>
      <c r="EX405" s="65"/>
      <c r="EY405" s="65"/>
      <c r="EZ405" s="68">
        <f t="shared" si="241"/>
        <v>0</v>
      </c>
      <c r="FA405" s="65"/>
      <c r="FB405" s="65"/>
      <c r="FC405" s="70">
        <f t="shared" si="240"/>
        <v>0</v>
      </c>
      <c r="FD405" s="65"/>
      <c r="FE405" s="71">
        <f t="shared" si="265"/>
        <v>0</v>
      </c>
      <c r="FF405" s="72">
        <f t="shared" si="266"/>
        <v>0</v>
      </c>
      <c r="FG405" s="65"/>
      <c r="FH405" s="65"/>
      <c r="FI405" s="65"/>
      <c r="FJ405" s="56">
        <f t="shared" si="267"/>
        <v>0</v>
      </c>
      <c r="FK405" s="65"/>
      <c r="FL405" s="65"/>
      <c r="FM405" s="65"/>
      <c r="FN405" s="65"/>
      <c r="FO405" s="67">
        <f t="shared" si="268"/>
        <v>0</v>
      </c>
      <c r="FP405" s="57"/>
      <c r="FQ405" s="73"/>
      <c r="FR405" s="73"/>
      <c r="FS405" s="71">
        <f t="shared" si="269"/>
        <v>0</v>
      </c>
      <c r="FT405" s="91"/>
      <c r="FU405" s="91"/>
      <c r="FV405" s="67">
        <f>SUM(Tableau1[[#This Row],[Droits d''auteurs SACEM + cotisations SACEM]:[Autres ou non préciés]])</f>
        <v>0</v>
      </c>
      <c r="FW405" s="75">
        <f t="shared" si="270"/>
        <v>0</v>
      </c>
      <c r="FX405" s="74">
        <v>0</v>
      </c>
      <c r="FY405" s="74"/>
      <c r="FZ405" s="74"/>
      <c r="GA405" s="74"/>
      <c r="GB405" s="71">
        <f t="shared" si="271"/>
        <v>0</v>
      </c>
      <c r="GC405" s="92"/>
      <c r="GD405" s="92"/>
      <c r="GE405" s="67">
        <f t="shared" si="272"/>
        <v>0</v>
      </c>
      <c r="GF405" s="66"/>
      <c r="GG405" s="66"/>
      <c r="GH405" s="66"/>
      <c r="GI405" s="66"/>
      <c r="GJ405" s="77"/>
    </row>
    <row r="406" spans="1:192" ht="18.600000000000001" customHeight="1" x14ac:dyDescent="0.25">
      <c r="A406" s="89"/>
      <c r="B406" s="17"/>
      <c r="C406" s="50"/>
      <c r="D406" s="140"/>
      <c r="E406" s="51"/>
      <c r="F406" s="139">
        <f t="shared" si="237"/>
        <v>1</v>
      </c>
      <c r="G406" s="49"/>
      <c r="H406" s="50"/>
      <c r="I406" s="122"/>
      <c r="J406" s="49"/>
      <c r="K406" s="50"/>
      <c r="L406" s="50"/>
      <c r="M406" s="90"/>
      <c r="N406" s="50"/>
      <c r="O406" s="50"/>
      <c r="P406" s="90"/>
      <c r="Q406" s="52">
        <f t="shared" si="242"/>
        <v>0</v>
      </c>
      <c r="R406" s="52">
        <f t="shared" si="243"/>
        <v>0</v>
      </c>
      <c r="S406" s="53">
        <f t="shared" si="244"/>
        <v>0</v>
      </c>
      <c r="T406" s="54">
        <f t="shared" si="245"/>
        <v>0</v>
      </c>
      <c r="U406" s="115">
        <f>SUM(Tableau1[[#This Row],[Vente confiserie]:[Vente boisson]])</f>
        <v>0</v>
      </c>
      <c r="V406" s="95"/>
      <c r="W406" s="95"/>
      <c r="X406" s="136">
        <f>SUM(Tableau1[[#This Row],[Vente lunette]:[Location lunette]])</f>
        <v>0</v>
      </c>
      <c r="Y406" s="95"/>
      <c r="Z406" s="95"/>
      <c r="AA406" s="95"/>
      <c r="AB406" s="95"/>
      <c r="AC406" s="56">
        <f t="shared" si="274"/>
        <v>0</v>
      </c>
      <c r="AD406" s="57"/>
      <c r="AE406" s="57"/>
      <c r="AF406" s="57"/>
      <c r="AG406" s="57"/>
      <c r="AH406" s="57"/>
      <c r="AI406" s="57"/>
      <c r="AJ406" s="118">
        <f>(Tableau1[[#This Row],[Recette guichet ]]*1.1275177)-Tableau1[[#This Row],[Recette guichet ]]</f>
        <v>0</v>
      </c>
      <c r="AK406" s="57"/>
      <c r="AL406" s="56">
        <f t="shared" si="236"/>
        <v>0</v>
      </c>
      <c r="AM406" s="58"/>
      <c r="AN406" s="58"/>
      <c r="AO406" s="58"/>
      <c r="AP406" s="115">
        <f t="shared" si="246"/>
        <v>0</v>
      </c>
      <c r="AQ406" s="69"/>
      <c r="AR406" s="69"/>
      <c r="AS406" s="69"/>
      <c r="AT406" s="69"/>
      <c r="AU406" s="59">
        <f t="shared" si="247"/>
        <v>0</v>
      </c>
      <c r="AV406" s="60">
        <f t="shared" si="248"/>
        <v>0</v>
      </c>
      <c r="AW406" s="58"/>
      <c r="AX406" s="58"/>
      <c r="AY406" s="58"/>
      <c r="AZ406" s="60">
        <f t="shared" si="238"/>
        <v>0</v>
      </c>
      <c r="BA406" s="58"/>
      <c r="BB406" s="58"/>
      <c r="BC406" s="58"/>
      <c r="BD406" s="60">
        <f>SUM(Tableau1[[#This Row],[ticket/carte/abonnement périmé]:[Autres ou non précisé 5]])</f>
        <v>0</v>
      </c>
      <c r="BE406" s="58"/>
      <c r="BF406" s="58"/>
      <c r="BG406" s="58"/>
      <c r="BH406" s="61">
        <f t="shared" si="249"/>
        <v>0</v>
      </c>
      <c r="BI406" s="120"/>
      <c r="BJ406" s="120"/>
      <c r="BK406" s="62">
        <f t="shared" si="250"/>
        <v>0</v>
      </c>
      <c r="BL406" s="120"/>
      <c r="BM406" s="120"/>
      <c r="BN406" s="120"/>
      <c r="BO406" s="120"/>
      <c r="BP406" s="120"/>
      <c r="BQ406" s="63"/>
      <c r="BR406" s="52">
        <f t="shared" si="251"/>
        <v>0</v>
      </c>
      <c r="BS406" s="52">
        <f t="shared" si="252"/>
        <v>0</v>
      </c>
      <c r="BT406" s="61">
        <f t="shared" si="253"/>
        <v>0</v>
      </c>
      <c r="BU406" s="64">
        <f t="shared" si="254"/>
        <v>0</v>
      </c>
      <c r="BV406" s="119">
        <f>SUM(Tableau1[[#This Row],[Achats confiserie]:[Achats boisson]])</f>
        <v>0</v>
      </c>
      <c r="BW406" s="58"/>
      <c r="BX406" s="69"/>
      <c r="BY406" s="58"/>
      <c r="BZ406" s="56">
        <f t="shared" si="255"/>
        <v>0</v>
      </c>
      <c r="CA406" s="66"/>
      <c r="CB406" s="66"/>
      <c r="CC406" s="56">
        <f t="shared" si="256"/>
        <v>0</v>
      </c>
      <c r="CD406" s="55"/>
      <c r="CE406" s="65"/>
      <c r="CF406" s="55"/>
      <c r="CG406" s="55"/>
      <c r="CH406" s="67">
        <f t="shared" si="257"/>
        <v>0</v>
      </c>
      <c r="CI406" s="68">
        <f t="shared" si="273"/>
        <v>0</v>
      </c>
      <c r="CJ406" s="55"/>
      <c r="CK406" s="55"/>
      <c r="CL406" s="55"/>
      <c r="CM406" s="55"/>
      <c r="CN406" s="55"/>
      <c r="CO406" s="68">
        <f t="shared" si="258"/>
        <v>0</v>
      </c>
      <c r="CP406" s="75">
        <f>SUM(Tableau1[[#This Row],[Fourniture eau]:[Energie (non précisé)]])</f>
        <v>0</v>
      </c>
      <c r="CQ406" s="55"/>
      <c r="CR406" s="55"/>
      <c r="CS406" s="55"/>
      <c r="CT406" s="55"/>
      <c r="CU406" s="55"/>
      <c r="CV406" s="55">
        <v>0</v>
      </c>
      <c r="CW406" s="55"/>
      <c r="CX406" s="68">
        <f>SUM(Tableau1[[#This Row],[Sous-traitance]:[Autres ou non précisé 12]])</f>
        <v>0</v>
      </c>
      <c r="CY406" s="65"/>
      <c r="CZ406" s="65"/>
      <c r="DA406" s="65"/>
      <c r="DB406" s="65"/>
      <c r="DC406" s="55"/>
      <c r="DD406" s="68">
        <f t="shared" si="239"/>
        <v>0</v>
      </c>
      <c r="DE406" s="55"/>
      <c r="DF406" s="65"/>
      <c r="DG406" s="65"/>
      <c r="DH406" s="65"/>
      <c r="DI406" s="68">
        <f>SUM(Tableau1[[#This Row],[Entretien et réparation matériel de projection]:[Autres ou non précisé 14]])</f>
        <v>0</v>
      </c>
      <c r="DJ406" s="58"/>
      <c r="DK406" s="58"/>
      <c r="DL406" s="69"/>
      <c r="DM406" s="68">
        <f t="shared" si="259"/>
        <v>0</v>
      </c>
      <c r="DN406" s="58"/>
      <c r="DO406" s="58"/>
      <c r="DP406" s="68">
        <f t="shared" si="260"/>
        <v>0</v>
      </c>
      <c r="DQ406" s="65"/>
      <c r="DR406" s="65"/>
      <c r="DS406" s="68">
        <f t="shared" si="261"/>
        <v>0</v>
      </c>
      <c r="DT406" s="65"/>
      <c r="DU406" s="65"/>
      <c r="DV406" s="65"/>
      <c r="DW406" s="68">
        <f>SUM(Tableau1[[#This Row],[Comission et courtage sur achats]:[Autres ou honoraires
 non précisé ]])</f>
        <v>0</v>
      </c>
      <c r="DX406" s="57"/>
      <c r="DY406" s="57"/>
      <c r="DZ406" s="65"/>
      <c r="EA406" s="65"/>
      <c r="EB406" s="65"/>
      <c r="EC406" s="68">
        <f t="shared" si="262"/>
        <v>0</v>
      </c>
      <c r="ED406" s="69"/>
      <c r="EE406" s="69"/>
      <c r="EF406" s="69"/>
      <c r="EG406" s="69"/>
      <c r="EH406" s="69"/>
      <c r="EI406" s="84">
        <f>SUM(Tableau1[[#This Row],[Transports sur films]:[autres ]])</f>
        <v>0</v>
      </c>
      <c r="EJ406" s="132">
        <v>0</v>
      </c>
      <c r="EK406" s="132"/>
      <c r="EL406" s="68">
        <f t="shared" si="263"/>
        <v>0</v>
      </c>
      <c r="EM406" s="65"/>
      <c r="EN406" s="65">
        <v>0</v>
      </c>
      <c r="EO406" s="65"/>
      <c r="EP406" s="65"/>
      <c r="EQ406" s="65"/>
      <c r="ER406" s="65"/>
      <c r="ES406" s="65"/>
      <c r="ET406" s="68">
        <f t="shared" si="264"/>
        <v>0</v>
      </c>
      <c r="EU406" s="65"/>
      <c r="EV406" s="65"/>
      <c r="EW406" s="65"/>
      <c r="EX406" s="65"/>
      <c r="EY406" s="65"/>
      <c r="EZ406" s="68">
        <f t="shared" si="241"/>
        <v>0</v>
      </c>
      <c r="FA406" s="65"/>
      <c r="FB406" s="65"/>
      <c r="FC406" s="70">
        <f t="shared" si="240"/>
        <v>0</v>
      </c>
      <c r="FD406" s="65"/>
      <c r="FE406" s="71">
        <f t="shared" si="265"/>
        <v>0</v>
      </c>
      <c r="FF406" s="72">
        <f t="shared" si="266"/>
        <v>0</v>
      </c>
      <c r="FG406" s="65"/>
      <c r="FH406" s="65"/>
      <c r="FI406" s="65"/>
      <c r="FJ406" s="56">
        <f t="shared" si="267"/>
        <v>0</v>
      </c>
      <c r="FK406" s="65"/>
      <c r="FL406" s="65"/>
      <c r="FM406" s="65"/>
      <c r="FN406" s="65"/>
      <c r="FO406" s="67">
        <f t="shared" si="268"/>
        <v>0</v>
      </c>
      <c r="FP406" s="57"/>
      <c r="FQ406" s="73"/>
      <c r="FR406" s="73"/>
      <c r="FS406" s="71">
        <f t="shared" si="269"/>
        <v>0</v>
      </c>
      <c r="FT406" s="91"/>
      <c r="FU406" s="91"/>
      <c r="FV406" s="67">
        <f>SUM(Tableau1[[#This Row],[Droits d''auteurs SACEM + cotisations SACEM]:[Autres ou non préciés]])</f>
        <v>0</v>
      </c>
      <c r="FW406" s="75">
        <f t="shared" si="270"/>
        <v>0</v>
      </c>
      <c r="FX406" s="74">
        <v>0</v>
      </c>
      <c r="FY406" s="74"/>
      <c r="FZ406" s="74"/>
      <c r="GA406" s="74"/>
      <c r="GB406" s="71">
        <f t="shared" si="271"/>
        <v>0</v>
      </c>
      <c r="GC406" s="92"/>
      <c r="GD406" s="92"/>
      <c r="GE406" s="67">
        <f t="shared" si="272"/>
        <v>0</v>
      </c>
      <c r="GF406" s="66"/>
      <c r="GG406" s="66"/>
      <c r="GH406" s="66"/>
      <c r="GI406" s="66"/>
      <c r="GJ406" s="77"/>
    </row>
    <row r="407" spans="1:192" ht="18.600000000000001" customHeight="1" x14ac:dyDescent="0.25">
      <c r="A407" s="89"/>
      <c r="B407" s="17"/>
      <c r="C407" s="50"/>
      <c r="D407" s="140"/>
      <c r="E407" s="51"/>
      <c r="F407" s="139">
        <f t="shared" si="237"/>
        <v>1</v>
      </c>
      <c r="G407" s="49"/>
      <c r="H407" s="50"/>
      <c r="I407" s="122"/>
      <c r="J407" s="49"/>
      <c r="K407" s="50"/>
      <c r="L407" s="50"/>
      <c r="M407" s="90"/>
      <c r="N407" s="50"/>
      <c r="O407" s="50"/>
      <c r="P407" s="90"/>
      <c r="Q407" s="52">
        <f t="shared" si="242"/>
        <v>0</v>
      </c>
      <c r="R407" s="52">
        <f t="shared" si="243"/>
        <v>0</v>
      </c>
      <c r="S407" s="53">
        <f t="shared" si="244"/>
        <v>0</v>
      </c>
      <c r="T407" s="54">
        <f t="shared" si="245"/>
        <v>0</v>
      </c>
      <c r="U407" s="115">
        <f>SUM(Tableau1[[#This Row],[Vente confiserie]:[Vente boisson]])</f>
        <v>0</v>
      </c>
      <c r="V407" s="95"/>
      <c r="W407" s="95"/>
      <c r="X407" s="136">
        <f>SUM(Tableau1[[#This Row],[Vente lunette]:[Location lunette]])</f>
        <v>0</v>
      </c>
      <c r="Y407" s="95"/>
      <c r="Z407" s="95"/>
      <c r="AA407" s="95"/>
      <c r="AB407" s="95"/>
      <c r="AC407" s="56">
        <f t="shared" si="274"/>
        <v>0</v>
      </c>
      <c r="AD407" s="57"/>
      <c r="AE407" s="57"/>
      <c r="AF407" s="57"/>
      <c r="AG407" s="57"/>
      <c r="AH407" s="57"/>
      <c r="AI407" s="57"/>
      <c r="AJ407" s="118">
        <f>(Tableau1[[#This Row],[Recette guichet ]]*1.1275177)-Tableau1[[#This Row],[Recette guichet ]]</f>
        <v>0</v>
      </c>
      <c r="AK407" s="57"/>
      <c r="AL407" s="56">
        <f t="shared" ref="AL407:AL470" si="275">SUM(AM407:AO407,AQ407:AT407)</f>
        <v>0</v>
      </c>
      <c r="AM407" s="58"/>
      <c r="AN407" s="58"/>
      <c r="AO407" s="58"/>
      <c r="AP407" s="115">
        <f t="shared" si="246"/>
        <v>0</v>
      </c>
      <c r="AQ407" s="69"/>
      <c r="AR407" s="69"/>
      <c r="AS407" s="69"/>
      <c r="AT407" s="69"/>
      <c r="AU407" s="59">
        <f t="shared" si="247"/>
        <v>0</v>
      </c>
      <c r="AV407" s="60">
        <f t="shared" si="248"/>
        <v>0</v>
      </c>
      <c r="AW407" s="58"/>
      <c r="AX407" s="58"/>
      <c r="AY407" s="58"/>
      <c r="AZ407" s="60">
        <f t="shared" si="238"/>
        <v>0</v>
      </c>
      <c r="BA407" s="58"/>
      <c r="BB407" s="58"/>
      <c r="BC407" s="58"/>
      <c r="BD407" s="60">
        <f>SUM(Tableau1[[#This Row],[ticket/carte/abonnement périmé]:[Autres ou non précisé 5]])</f>
        <v>0</v>
      </c>
      <c r="BE407" s="58"/>
      <c r="BF407" s="58"/>
      <c r="BG407" s="58"/>
      <c r="BH407" s="61">
        <f t="shared" si="249"/>
        <v>0</v>
      </c>
      <c r="BI407" s="120"/>
      <c r="BJ407" s="120"/>
      <c r="BK407" s="62">
        <f t="shared" si="250"/>
        <v>0</v>
      </c>
      <c r="BL407" s="120"/>
      <c r="BM407" s="120"/>
      <c r="BN407" s="120"/>
      <c r="BO407" s="120"/>
      <c r="BP407" s="120"/>
      <c r="BQ407" s="63"/>
      <c r="BR407" s="52">
        <f t="shared" si="251"/>
        <v>0</v>
      </c>
      <c r="BS407" s="52">
        <f t="shared" si="252"/>
        <v>0</v>
      </c>
      <c r="BT407" s="61">
        <f t="shared" si="253"/>
        <v>0</v>
      </c>
      <c r="BU407" s="64">
        <f t="shared" si="254"/>
        <v>0</v>
      </c>
      <c r="BV407" s="119">
        <f>SUM(Tableau1[[#This Row],[Achats confiserie]:[Achats boisson]])</f>
        <v>0</v>
      </c>
      <c r="BW407" s="58"/>
      <c r="BX407" s="69"/>
      <c r="BY407" s="58"/>
      <c r="BZ407" s="56">
        <f t="shared" si="255"/>
        <v>0</v>
      </c>
      <c r="CA407" s="66"/>
      <c r="CB407" s="66"/>
      <c r="CC407" s="56">
        <f t="shared" si="256"/>
        <v>0</v>
      </c>
      <c r="CD407" s="55"/>
      <c r="CE407" s="65"/>
      <c r="CF407" s="55"/>
      <c r="CG407" s="55"/>
      <c r="CH407" s="67">
        <f t="shared" si="257"/>
        <v>0</v>
      </c>
      <c r="CI407" s="68">
        <f t="shared" si="273"/>
        <v>0</v>
      </c>
      <c r="CJ407" s="55"/>
      <c r="CK407" s="55"/>
      <c r="CL407" s="55"/>
      <c r="CM407" s="55"/>
      <c r="CN407" s="55"/>
      <c r="CO407" s="68">
        <f t="shared" si="258"/>
        <v>0</v>
      </c>
      <c r="CP407" s="75">
        <f>SUM(Tableau1[[#This Row],[Fourniture eau]:[Energie (non précisé)]])</f>
        <v>0</v>
      </c>
      <c r="CQ407" s="55"/>
      <c r="CR407" s="55"/>
      <c r="CS407" s="55"/>
      <c r="CT407" s="55"/>
      <c r="CU407" s="55"/>
      <c r="CV407" s="55">
        <v>0</v>
      </c>
      <c r="CW407" s="55"/>
      <c r="CX407" s="68">
        <f>SUM(Tableau1[[#This Row],[Sous-traitance]:[Autres ou non précisé 12]])</f>
        <v>0</v>
      </c>
      <c r="CY407" s="65"/>
      <c r="CZ407" s="65"/>
      <c r="DA407" s="65"/>
      <c r="DB407" s="65"/>
      <c r="DC407" s="55"/>
      <c r="DD407" s="68">
        <f t="shared" si="239"/>
        <v>0</v>
      </c>
      <c r="DE407" s="55"/>
      <c r="DF407" s="65"/>
      <c r="DG407" s="65"/>
      <c r="DH407" s="65"/>
      <c r="DI407" s="68">
        <f>SUM(Tableau1[[#This Row],[Entretien et réparation matériel de projection]:[Autres ou non précisé 14]])</f>
        <v>0</v>
      </c>
      <c r="DJ407" s="58"/>
      <c r="DK407" s="58"/>
      <c r="DL407" s="69"/>
      <c r="DM407" s="68">
        <f t="shared" si="259"/>
        <v>0</v>
      </c>
      <c r="DN407" s="58"/>
      <c r="DO407" s="58"/>
      <c r="DP407" s="68">
        <f t="shared" si="260"/>
        <v>0</v>
      </c>
      <c r="DQ407" s="65"/>
      <c r="DR407" s="65"/>
      <c r="DS407" s="68">
        <f t="shared" si="261"/>
        <v>0</v>
      </c>
      <c r="DT407" s="65"/>
      <c r="DU407" s="65"/>
      <c r="DV407" s="65"/>
      <c r="DW407" s="68">
        <f>SUM(Tableau1[[#This Row],[Comission et courtage sur achats]:[Autres ou honoraires
 non précisé ]])</f>
        <v>0</v>
      </c>
      <c r="DX407" s="57"/>
      <c r="DY407" s="57"/>
      <c r="DZ407" s="65"/>
      <c r="EA407" s="65"/>
      <c r="EB407" s="65"/>
      <c r="EC407" s="68">
        <f t="shared" si="262"/>
        <v>0</v>
      </c>
      <c r="ED407" s="69"/>
      <c r="EE407" s="69"/>
      <c r="EF407" s="69"/>
      <c r="EG407" s="69"/>
      <c r="EH407" s="69"/>
      <c r="EI407" s="84">
        <f>SUM(Tableau1[[#This Row],[Transports sur films]:[autres ]])</f>
        <v>0</v>
      </c>
      <c r="EJ407" s="132">
        <v>0</v>
      </c>
      <c r="EK407" s="132"/>
      <c r="EL407" s="68">
        <f t="shared" si="263"/>
        <v>0</v>
      </c>
      <c r="EM407" s="65"/>
      <c r="EN407" s="65">
        <v>0</v>
      </c>
      <c r="EO407" s="65"/>
      <c r="EP407" s="65"/>
      <c r="EQ407" s="65"/>
      <c r="ER407" s="65"/>
      <c r="ES407" s="65"/>
      <c r="ET407" s="68">
        <f t="shared" si="264"/>
        <v>0</v>
      </c>
      <c r="EU407" s="65"/>
      <c r="EV407" s="65"/>
      <c r="EW407" s="65"/>
      <c r="EX407" s="65"/>
      <c r="EY407" s="65"/>
      <c r="EZ407" s="68">
        <f t="shared" si="241"/>
        <v>0</v>
      </c>
      <c r="FA407" s="65"/>
      <c r="FB407" s="65"/>
      <c r="FC407" s="70">
        <f t="shared" si="240"/>
        <v>0</v>
      </c>
      <c r="FD407" s="65"/>
      <c r="FE407" s="71">
        <f t="shared" si="265"/>
        <v>0</v>
      </c>
      <c r="FF407" s="72">
        <f t="shared" si="266"/>
        <v>0</v>
      </c>
      <c r="FG407" s="65"/>
      <c r="FH407" s="65"/>
      <c r="FI407" s="65"/>
      <c r="FJ407" s="56">
        <f t="shared" si="267"/>
        <v>0</v>
      </c>
      <c r="FK407" s="65"/>
      <c r="FL407" s="65"/>
      <c r="FM407" s="65"/>
      <c r="FN407" s="65"/>
      <c r="FO407" s="67">
        <f t="shared" si="268"/>
        <v>0</v>
      </c>
      <c r="FP407" s="57"/>
      <c r="FQ407" s="73"/>
      <c r="FR407" s="73"/>
      <c r="FS407" s="71">
        <f t="shared" si="269"/>
        <v>0</v>
      </c>
      <c r="FT407" s="91"/>
      <c r="FU407" s="91"/>
      <c r="FV407" s="67">
        <f>SUM(Tableau1[[#This Row],[Droits d''auteurs SACEM + cotisations SACEM]:[Autres ou non préciés]])</f>
        <v>0</v>
      </c>
      <c r="FW407" s="75">
        <f t="shared" si="270"/>
        <v>0</v>
      </c>
      <c r="FX407" s="74">
        <v>0</v>
      </c>
      <c r="FY407" s="74"/>
      <c r="FZ407" s="74"/>
      <c r="GA407" s="74"/>
      <c r="GB407" s="71">
        <f t="shared" si="271"/>
        <v>0</v>
      </c>
      <c r="GC407" s="92"/>
      <c r="GD407" s="92"/>
      <c r="GE407" s="67">
        <f t="shared" si="272"/>
        <v>0</v>
      </c>
      <c r="GF407" s="66"/>
      <c r="GG407" s="66"/>
      <c r="GH407" s="66"/>
      <c r="GI407" s="66"/>
      <c r="GJ407" s="77"/>
    </row>
    <row r="408" spans="1:192" ht="18.600000000000001" customHeight="1" x14ac:dyDescent="0.25">
      <c r="A408" s="89"/>
      <c r="B408" s="17"/>
      <c r="C408" s="50"/>
      <c r="D408" s="140"/>
      <c r="E408" s="51"/>
      <c r="F408" s="139">
        <f t="shared" si="237"/>
        <v>1</v>
      </c>
      <c r="G408" s="49"/>
      <c r="H408" s="50"/>
      <c r="I408" s="122"/>
      <c r="J408" s="49"/>
      <c r="K408" s="50"/>
      <c r="L408" s="50"/>
      <c r="M408" s="90"/>
      <c r="N408" s="50"/>
      <c r="O408" s="50"/>
      <c r="P408" s="90"/>
      <c r="Q408" s="52">
        <f t="shared" si="242"/>
        <v>0</v>
      </c>
      <c r="R408" s="52">
        <f t="shared" si="243"/>
        <v>0</v>
      </c>
      <c r="S408" s="53">
        <f t="shared" si="244"/>
        <v>0</v>
      </c>
      <c r="T408" s="54">
        <f t="shared" si="245"/>
        <v>0</v>
      </c>
      <c r="U408" s="115">
        <f>SUM(Tableau1[[#This Row],[Vente confiserie]:[Vente boisson]])</f>
        <v>0</v>
      </c>
      <c r="V408" s="95"/>
      <c r="W408" s="95"/>
      <c r="X408" s="136">
        <f>SUM(Tableau1[[#This Row],[Vente lunette]:[Location lunette]])</f>
        <v>0</v>
      </c>
      <c r="Y408" s="95"/>
      <c r="Z408" s="95"/>
      <c r="AA408" s="95"/>
      <c r="AB408" s="95"/>
      <c r="AC408" s="56">
        <f t="shared" si="274"/>
        <v>0</v>
      </c>
      <c r="AD408" s="57"/>
      <c r="AE408" s="57"/>
      <c r="AF408" s="57"/>
      <c r="AG408" s="57"/>
      <c r="AH408" s="57"/>
      <c r="AI408" s="57"/>
      <c r="AJ408" s="118">
        <f>(Tableau1[[#This Row],[Recette guichet ]]*1.1275177)-Tableau1[[#This Row],[Recette guichet ]]</f>
        <v>0</v>
      </c>
      <c r="AK408" s="57"/>
      <c r="AL408" s="56">
        <f t="shared" si="275"/>
        <v>0</v>
      </c>
      <c r="AM408" s="58"/>
      <c r="AN408" s="58"/>
      <c r="AO408" s="58"/>
      <c r="AP408" s="115">
        <f t="shared" si="246"/>
        <v>0</v>
      </c>
      <c r="AQ408" s="69"/>
      <c r="AR408" s="69"/>
      <c r="AS408" s="69"/>
      <c r="AT408" s="69"/>
      <c r="AU408" s="59">
        <f t="shared" si="247"/>
        <v>0</v>
      </c>
      <c r="AV408" s="60">
        <f t="shared" si="248"/>
        <v>0</v>
      </c>
      <c r="AW408" s="58"/>
      <c r="AX408" s="58"/>
      <c r="AY408" s="58"/>
      <c r="AZ408" s="60">
        <f t="shared" si="238"/>
        <v>0</v>
      </c>
      <c r="BA408" s="58"/>
      <c r="BB408" s="58"/>
      <c r="BC408" s="58"/>
      <c r="BD408" s="60">
        <f>SUM(Tableau1[[#This Row],[ticket/carte/abonnement périmé]:[Autres ou non précisé 5]])</f>
        <v>0</v>
      </c>
      <c r="BE408" s="58"/>
      <c r="BF408" s="58"/>
      <c r="BG408" s="58"/>
      <c r="BH408" s="61">
        <f t="shared" si="249"/>
        <v>0</v>
      </c>
      <c r="BI408" s="120"/>
      <c r="BJ408" s="120"/>
      <c r="BK408" s="62">
        <f t="shared" si="250"/>
        <v>0</v>
      </c>
      <c r="BL408" s="120"/>
      <c r="BM408" s="120"/>
      <c r="BN408" s="120"/>
      <c r="BO408" s="120"/>
      <c r="BP408" s="120"/>
      <c r="BQ408" s="63"/>
      <c r="BR408" s="52">
        <f t="shared" si="251"/>
        <v>0</v>
      </c>
      <c r="BS408" s="52">
        <f t="shared" si="252"/>
        <v>0</v>
      </c>
      <c r="BT408" s="61">
        <f t="shared" si="253"/>
        <v>0</v>
      </c>
      <c r="BU408" s="64">
        <f t="shared" si="254"/>
        <v>0</v>
      </c>
      <c r="BV408" s="119">
        <f>SUM(Tableau1[[#This Row],[Achats confiserie]:[Achats boisson]])</f>
        <v>0</v>
      </c>
      <c r="BW408" s="58"/>
      <c r="BX408" s="69"/>
      <c r="BY408" s="58"/>
      <c r="BZ408" s="56">
        <f t="shared" si="255"/>
        <v>0</v>
      </c>
      <c r="CA408" s="66"/>
      <c r="CB408" s="66"/>
      <c r="CC408" s="56">
        <f t="shared" si="256"/>
        <v>0</v>
      </c>
      <c r="CD408" s="55"/>
      <c r="CE408" s="65"/>
      <c r="CF408" s="55"/>
      <c r="CG408" s="55"/>
      <c r="CH408" s="67">
        <f t="shared" si="257"/>
        <v>0</v>
      </c>
      <c r="CI408" s="68">
        <f t="shared" si="273"/>
        <v>0</v>
      </c>
      <c r="CJ408" s="55"/>
      <c r="CK408" s="55"/>
      <c r="CL408" s="55"/>
      <c r="CM408" s="55"/>
      <c r="CN408" s="55"/>
      <c r="CO408" s="68">
        <f t="shared" si="258"/>
        <v>0</v>
      </c>
      <c r="CP408" s="75">
        <f>SUM(Tableau1[[#This Row],[Fourniture eau]:[Energie (non précisé)]])</f>
        <v>0</v>
      </c>
      <c r="CQ408" s="55"/>
      <c r="CR408" s="55"/>
      <c r="CS408" s="55"/>
      <c r="CT408" s="55"/>
      <c r="CU408" s="55"/>
      <c r="CV408" s="55">
        <v>0</v>
      </c>
      <c r="CW408" s="55"/>
      <c r="CX408" s="68">
        <f>SUM(Tableau1[[#This Row],[Sous-traitance]:[Autres ou non précisé 12]])</f>
        <v>0</v>
      </c>
      <c r="CY408" s="65"/>
      <c r="CZ408" s="65"/>
      <c r="DA408" s="65"/>
      <c r="DB408" s="65"/>
      <c r="DC408" s="55"/>
      <c r="DD408" s="68">
        <f t="shared" si="239"/>
        <v>0</v>
      </c>
      <c r="DE408" s="55"/>
      <c r="DF408" s="65"/>
      <c r="DG408" s="65"/>
      <c r="DH408" s="65"/>
      <c r="DI408" s="68">
        <f>SUM(Tableau1[[#This Row],[Entretien et réparation matériel de projection]:[Autres ou non précisé 14]])</f>
        <v>0</v>
      </c>
      <c r="DJ408" s="58"/>
      <c r="DK408" s="58"/>
      <c r="DL408" s="69"/>
      <c r="DM408" s="68">
        <f t="shared" si="259"/>
        <v>0</v>
      </c>
      <c r="DN408" s="58"/>
      <c r="DO408" s="58"/>
      <c r="DP408" s="68">
        <f t="shared" si="260"/>
        <v>0</v>
      </c>
      <c r="DQ408" s="65"/>
      <c r="DR408" s="65"/>
      <c r="DS408" s="68">
        <f t="shared" si="261"/>
        <v>0</v>
      </c>
      <c r="DT408" s="65"/>
      <c r="DU408" s="65"/>
      <c r="DV408" s="65"/>
      <c r="DW408" s="68">
        <f>SUM(Tableau1[[#This Row],[Comission et courtage sur achats]:[Autres ou honoraires
 non précisé ]])</f>
        <v>0</v>
      </c>
      <c r="DX408" s="57"/>
      <c r="DY408" s="57"/>
      <c r="DZ408" s="65"/>
      <c r="EA408" s="65"/>
      <c r="EB408" s="65"/>
      <c r="EC408" s="68">
        <f t="shared" si="262"/>
        <v>0</v>
      </c>
      <c r="ED408" s="69"/>
      <c r="EE408" s="69"/>
      <c r="EF408" s="69"/>
      <c r="EG408" s="69"/>
      <c r="EH408" s="69"/>
      <c r="EI408" s="84">
        <f>SUM(Tableau1[[#This Row],[Transports sur films]:[autres ]])</f>
        <v>0</v>
      </c>
      <c r="EJ408" s="132">
        <v>0</v>
      </c>
      <c r="EK408" s="132"/>
      <c r="EL408" s="68">
        <f t="shared" si="263"/>
        <v>0</v>
      </c>
      <c r="EM408" s="65"/>
      <c r="EN408" s="65">
        <v>0</v>
      </c>
      <c r="EO408" s="65"/>
      <c r="EP408" s="65"/>
      <c r="EQ408" s="65"/>
      <c r="ER408" s="65"/>
      <c r="ES408" s="65"/>
      <c r="ET408" s="68">
        <f t="shared" si="264"/>
        <v>0</v>
      </c>
      <c r="EU408" s="65"/>
      <c r="EV408" s="65"/>
      <c r="EW408" s="65"/>
      <c r="EX408" s="65"/>
      <c r="EY408" s="65"/>
      <c r="EZ408" s="68">
        <f t="shared" si="241"/>
        <v>0</v>
      </c>
      <c r="FA408" s="65"/>
      <c r="FB408" s="65"/>
      <c r="FC408" s="70">
        <f t="shared" si="240"/>
        <v>0</v>
      </c>
      <c r="FD408" s="65"/>
      <c r="FE408" s="71">
        <f t="shared" si="265"/>
        <v>0</v>
      </c>
      <c r="FF408" s="72">
        <f t="shared" si="266"/>
        <v>0</v>
      </c>
      <c r="FG408" s="65"/>
      <c r="FH408" s="65"/>
      <c r="FI408" s="65"/>
      <c r="FJ408" s="56">
        <f t="shared" si="267"/>
        <v>0</v>
      </c>
      <c r="FK408" s="65"/>
      <c r="FL408" s="65"/>
      <c r="FM408" s="65"/>
      <c r="FN408" s="65"/>
      <c r="FO408" s="67">
        <f t="shared" si="268"/>
        <v>0</v>
      </c>
      <c r="FP408" s="57"/>
      <c r="FQ408" s="73"/>
      <c r="FR408" s="73"/>
      <c r="FS408" s="71">
        <f t="shared" si="269"/>
        <v>0</v>
      </c>
      <c r="FT408" s="91"/>
      <c r="FU408" s="91"/>
      <c r="FV408" s="67">
        <f>SUM(Tableau1[[#This Row],[Droits d''auteurs SACEM + cotisations SACEM]:[Autres ou non préciés]])</f>
        <v>0</v>
      </c>
      <c r="FW408" s="75">
        <f t="shared" si="270"/>
        <v>0</v>
      </c>
      <c r="FX408" s="74">
        <v>0</v>
      </c>
      <c r="FY408" s="74"/>
      <c r="FZ408" s="74"/>
      <c r="GA408" s="74"/>
      <c r="GB408" s="71">
        <f t="shared" si="271"/>
        <v>0</v>
      </c>
      <c r="GC408" s="92"/>
      <c r="GD408" s="92"/>
      <c r="GE408" s="67">
        <f t="shared" si="272"/>
        <v>0</v>
      </c>
      <c r="GF408" s="66"/>
      <c r="GG408" s="66"/>
      <c r="GH408" s="66"/>
      <c r="GI408" s="66"/>
      <c r="GJ408" s="77"/>
    </row>
    <row r="409" spans="1:192" ht="18.600000000000001" customHeight="1" x14ac:dyDescent="0.25">
      <c r="A409" s="89"/>
      <c r="B409" s="17"/>
      <c r="C409" s="50"/>
      <c r="D409" s="140"/>
      <c r="E409" s="51"/>
      <c r="F409" s="139">
        <f t="shared" si="237"/>
        <v>1</v>
      </c>
      <c r="G409" s="49"/>
      <c r="H409" s="50"/>
      <c r="I409" s="122"/>
      <c r="J409" s="49"/>
      <c r="K409" s="50"/>
      <c r="L409" s="50"/>
      <c r="M409" s="90"/>
      <c r="N409" s="50"/>
      <c r="O409" s="50"/>
      <c r="P409" s="90"/>
      <c r="Q409" s="52">
        <f t="shared" si="242"/>
        <v>0</v>
      </c>
      <c r="R409" s="52">
        <f t="shared" si="243"/>
        <v>0</v>
      </c>
      <c r="S409" s="53">
        <f t="shared" si="244"/>
        <v>0</v>
      </c>
      <c r="T409" s="54">
        <f t="shared" si="245"/>
        <v>0</v>
      </c>
      <c r="U409" s="115">
        <f>SUM(Tableau1[[#This Row],[Vente confiserie]:[Vente boisson]])</f>
        <v>0</v>
      </c>
      <c r="V409" s="95"/>
      <c r="W409" s="95"/>
      <c r="X409" s="136">
        <f>SUM(Tableau1[[#This Row],[Vente lunette]:[Location lunette]])</f>
        <v>0</v>
      </c>
      <c r="Y409" s="95"/>
      <c r="Z409" s="95"/>
      <c r="AA409" s="95"/>
      <c r="AB409" s="95"/>
      <c r="AC409" s="56">
        <f t="shared" si="274"/>
        <v>0</v>
      </c>
      <c r="AD409" s="57"/>
      <c r="AE409" s="57"/>
      <c r="AF409" s="57"/>
      <c r="AG409" s="57"/>
      <c r="AH409" s="57"/>
      <c r="AI409" s="57"/>
      <c r="AJ409" s="118">
        <f>(Tableau1[[#This Row],[Recette guichet ]]*1.1275177)-Tableau1[[#This Row],[Recette guichet ]]</f>
        <v>0</v>
      </c>
      <c r="AK409" s="57"/>
      <c r="AL409" s="56">
        <f t="shared" si="275"/>
        <v>0</v>
      </c>
      <c r="AM409" s="58"/>
      <c r="AN409" s="58"/>
      <c r="AO409" s="58"/>
      <c r="AP409" s="115">
        <f t="shared" si="246"/>
        <v>0</v>
      </c>
      <c r="AQ409" s="69"/>
      <c r="AR409" s="69"/>
      <c r="AS409" s="69"/>
      <c r="AT409" s="69"/>
      <c r="AU409" s="59">
        <f t="shared" si="247"/>
        <v>0</v>
      </c>
      <c r="AV409" s="60">
        <f t="shared" si="248"/>
        <v>0</v>
      </c>
      <c r="AW409" s="58"/>
      <c r="AX409" s="58"/>
      <c r="AY409" s="58"/>
      <c r="AZ409" s="60">
        <f t="shared" si="238"/>
        <v>0</v>
      </c>
      <c r="BA409" s="58"/>
      <c r="BB409" s="58"/>
      <c r="BC409" s="58"/>
      <c r="BD409" s="60">
        <f>SUM(Tableau1[[#This Row],[ticket/carte/abonnement périmé]:[Autres ou non précisé 5]])</f>
        <v>0</v>
      </c>
      <c r="BE409" s="58"/>
      <c r="BF409" s="58"/>
      <c r="BG409" s="58"/>
      <c r="BH409" s="61">
        <f t="shared" si="249"/>
        <v>0</v>
      </c>
      <c r="BI409" s="120"/>
      <c r="BJ409" s="120"/>
      <c r="BK409" s="62">
        <f t="shared" si="250"/>
        <v>0</v>
      </c>
      <c r="BL409" s="120"/>
      <c r="BM409" s="120"/>
      <c r="BN409" s="120"/>
      <c r="BO409" s="120"/>
      <c r="BP409" s="120"/>
      <c r="BQ409" s="63"/>
      <c r="BR409" s="52">
        <f t="shared" si="251"/>
        <v>0</v>
      </c>
      <c r="BS409" s="52">
        <f t="shared" si="252"/>
        <v>0</v>
      </c>
      <c r="BT409" s="61">
        <f t="shared" si="253"/>
        <v>0</v>
      </c>
      <c r="BU409" s="64">
        <f t="shared" si="254"/>
        <v>0</v>
      </c>
      <c r="BV409" s="119">
        <f>SUM(Tableau1[[#This Row],[Achats confiserie]:[Achats boisson]])</f>
        <v>0</v>
      </c>
      <c r="BW409" s="58"/>
      <c r="BX409" s="69"/>
      <c r="BY409" s="58"/>
      <c r="BZ409" s="56">
        <f t="shared" si="255"/>
        <v>0</v>
      </c>
      <c r="CA409" s="66"/>
      <c r="CB409" s="66"/>
      <c r="CC409" s="56">
        <f t="shared" si="256"/>
        <v>0</v>
      </c>
      <c r="CD409" s="55"/>
      <c r="CE409" s="65"/>
      <c r="CF409" s="55"/>
      <c r="CG409" s="55"/>
      <c r="CH409" s="67">
        <f t="shared" si="257"/>
        <v>0</v>
      </c>
      <c r="CI409" s="68">
        <f t="shared" si="273"/>
        <v>0</v>
      </c>
      <c r="CJ409" s="55"/>
      <c r="CK409" s="55"/>
      <c r="CL409" s="55"/>
      <c r="CM409" s="55"/>
      <c r="CN409" s="55"/>
      <c r="CO409" s="68">
        <f t="shared" si="258"/>
        <v>0</v>
      </c>
      <c r="CP409" s="75">
        <f>SUM(Tableau1[[#This Row],[Fourniture eau]:[Energie (non précisé)]])</f>
        <v>0</v>
      </c>
      <c r="CQ409" s="55"/>
      <c r="CR409" s="55"/>
      <c r="CS409" s="55"/>
      <c r="CT409" s="55"/>
      <c r="CU409" s="55"/>
      <c r="CV409" s="55">
        <v>0</v>
      </c>
      <c r="CW409" s="55"/>
      <c r="CX409" s="68">
        <f>SUM(Tableau1[[#This Row],[Sous-traitance]:[Autres ou non précisé 12]])</f>
        <v>0</v>
      </c>
      <c r="CY409" s="65"/>
      <c r="CZ409" s="65"/>
      <c r="DA409" s="65"/>
      <c r="DB409" s="65"/>
      <c r="DC409" s="55"/>
      <c r="DD409" s="68">
        <f t="shared" si="239"/>
        <v>0</v>
      </c>
      <c r="DE409" s="55"/>
      <c r="DF409" s="65"/>
      <c r="DG409" s="65"/>
      <c r="DH409" s="65"/>
      <c r="DI409" s="68">
        <f>SUM(Tableau1[[#This Row],[Entretien et réparation matériel de projection]:[Autres ou non précisé 14]])</f>
        <v>0</v>
      </c>
      <c r="DJ409" s="58"/>
      <c r="DK409" s="58"/>
      <c r="DL409" s="69"/>
      <c r="DM409" s="68">
        <f t="shared" si="259"/>
        <v>0</v>
      </c>
      <c r="DN409" s="58"/>
      <c r="DO409" s="58"/>
      <c r="DP409" s="68">
        <f t="shared" si="260"/>
        <v>0</v>
      </c>
      <c r="DQ409" s="65"/>
      <c r="DR409" s="65"/>
      <c r="DS409" s="68">
        <f t="shared" si="261"/>
        <v>0</v>
      </c>
      <c r="DT409" s="65"/>
      <c r="DU409" s="65"/>
      <c r="DV409" s="65"/>
      <c r="DW409" s="68">
        <f>SUM(Tableau1[[#This Row],[Comission et courtage sur achats]:[Autres ou honoraires
 non précisé ]])</f>
        <v>0</v>
      </c>
      <c r="DX409" s="57"/>
      <c r="DY409" s="57"/>
      <c r="DZ409" s="65"/>
      <c r="EA409" s="65"/>
      <c r="EB409" s="65"/>
      <c r="EC409" s="68">
        <f t="shared" si="262"/>
        <v>0</v>
      </c>
      <c r="ED409" s="69"/>
      <c r="EE409" s="69"/>
      <c r="EF409" s="69"/>
      <c r="EG409" s="69"/>
      <c r="EH409" s="69"/>
      <c r="EI409" s="84">
        <f>SUM(Tableau1[[#This Row],[Transports sur films]:[autres ]])</f>
        <v>0</v>
      </c>
      <c r="EJ409" s="132">
        <v>0</v>
      </c>
      <c r="EK409" s="132"/>
      <c r="EL409" s="68">
        <f t="shared" si="263"/>
        <v>0</v>
      </c>
      <c r="EM409" s="65"/>
      <c r="EN409" s="65">
        <v>0</v>
      </c>
      <c r="EO409" s="65"/>
      <c r="EP409" s="65"/>
      <c r="EQ409" s="65"/>
      <c r="ER409" s="65"/>
      <c r="ES409" s="65"/>
      <c r="ET409" s="68">
        <f t="shared" si="264"/>
        <v>0</v>
      </c>
      <c r="EU409" s="65"/>
      <c r="EV409" s="65"/>
      <c r="EW409" s="65"/>
      <c r="EX409" s="65"/>
      <c r="EY409" s="65"/>
      <c r="EZ409" s="68">
        <f t="shared" si="241"/>
        <v>0</v>
      </c>
      <c r="FA409" s="65"/>
      <c r="FB409" s="65"/>
      <c r="FC409" s="70">
        <f t="shared" si="240"/>
        <v>0</v>
      </c>
      <c r="FD409" s="65"/>
      <c r="FE409" s="71">
        <f t="shared" si="265"/>
        <v>0</v>
      </c>
      <c r="FF409" s="72">
        <f t="shared" si="266"/>
        <v>0</v>
      </c>
      <c r="FG409" s="65"/>
      <c r="FH409" s="65"/>
      <c r="FI409" s="65"/>
      <c r="FJ409" s="56">
        <f t="shared" si="267"/>
        <v>0</v>
      </c>
      <c r="FK409" s="65"/>
      <c r="FL409" s="65"/>
      <c r="FM409" s="65"/>
      <c r="FN409" s="65"/>
      <c r="FO409" s="67">
        <f t="shared" si="268"/>
        <v>0</v>
      </c>
      <c r="FP409" s="57"/>
      <c r="FQ409" s="73"/>
      <c r="FR409" s="73"/>
      <c r="FS409" s="71">
        <f t="shared" si="269"/>
        <v>0</v>
      </c>
      <c r="FT409" s="91"/>
      <c r="FU409" s="91"/>
      <c r="FV409" s="67">
        <f>SUM(Tableau1[[#This Row],[Droits d''auteurs SACEM + cotisations SACEM]:[Autres ou non préciés]])</f>
        <v>0</v>
      </c>
      <c r="FW409" s="75">
        <f t="shared" si="270"/>
        <v>0</v>
      </c>
      <c r="FX409" s="74">
        <v>0</v>
      </c>
      <c r="FY409" s="74"/>
      <c r="FZ409" s="74"/>
      <c r="GA409" s="74"/>
      <c r="GB409" s="71">
        <f t="shared" si="271"/>
        <v>0</v>
      </c>
      <c r="GC409" s="92"/>
      <c r="GD409" s="92"/>
      <c r="GE409" s="67">
        <f t="shared" si="272"/>
        <v>0</v>
      </c>
      <c r="GF409" s="66"/>
      <c r="GG409" s="66"/>
      <c r="GH409" s="66"/>
      <c r="GI409" s="66"/>
      <c r="GJ409" s="77"/>
    </row>
    <row r="410" spans="1:192" ht="18.600000000000001" customHeight="1" x14ac:dyDescent="0.25">
      <c r="A410" s="89"/>
      <c r="B410" s="17"/>
      <c r="C410" s="50"/>
      <c r="D410" s="140"/>
      <c r="E410" s="51"/>
      <c r="F410" s="139">
        <f t="shared" si="237"/>
        <v>1</v>
      </c>
      <c r="G410" s="49"/>
      <c r="H410" s="50"/>
      <c r="I410" s="122"/>
      <c r="J410" s="49"/>
      <c r="K410" s="50"/>
      <c r="L410" s="50"/>
      <c r="M410" s="90"/>
      <c r="N410" s="50"/>
      <c r="O410" s="50"/>
      <c r="P410" s="90"/>
      <c r="Q410" s="52">
        <f t="shared" si="242"/>
        <v>0</v>
      </c>
      <c r="R410" s="52">
        <f t="shared" si="243"/>
        <v>0</v>
      </c>
      <c r="S410" s="53">
        <f t="shared" si="244"/>
        <v>0</v>
      </c>
      <c r="T410" s="54">
        <f t="shared" si="245"/>
        <v>0</v>
      </c>
      <c r="U410" s="115">
        <f>SUM(Tableau1[[#This Row],[Vente confiserie]:[Vente boisson]])</f>
        <v>0</v>
      </c>
      <c r="V410" s="95"/>
      <c r="W410" s="95"/>
      <c r="X410" s="136">
        <f>SUM(Tableau1[[#This Row],[Vente lunette]:[Location lunette]])</f>
        <v>0</v>
      </c>
      <c r="Y410" s="95"/>
      <c r="Z410" s="95"/>
      <c r="AA410" s="95"/>
      <c r="AB410" s="95"/>
      <c r="AC410" s="56">
        <f t="shared" si="274"/>
        <v>0</v>
      </c>
      <c r="AD410" s="57"/>
      <c r="AE410" s="57"/>
      <c r="AF410" s="57"/>
      <c r="AG410" s="57"/>
      <c r="AH410" s="57"/>
      <c r="AI410" s="57"/>
      <c r="AJ410" s="118">
        <f>(Tableau1[[#This Row],[Recette guichet ]]*1.1275177)-Tableau1[[#This Row],[Recette guichet ]]</f>
        <v>0</v>
      </c>
      <c r="AK410" s="57"/>
      <c r="AL410" s="56">
        <f t="shared" si="275"/>
        <v>0</v>
      </c>
      <c r="AM410" s="58"/>
      <c r="AN410" s="58"/>
      <c r="AO410" s="58"/>
      <c r="AP410" s="115">
        <f t="shared" si="246"/>
        <v>0</v>
      </c>
      <c r="AQ410" s="69"/>
      <c r="AR410" s="69"/>
      <c r="AS410" s="69"/>
      <c r="AT410" s="69"/>
      <c r="AU410" s="59">
        <f t="shared" si="247"/>
        <v>0</v>
      </c>
      <c r="AV410" s="60">
        <f t="shared" si="248"/>
        <v>0</v>
      </c>
      <c r="AW410" s="58"/>
      <c r="AX410" s="58"/>
      <c r="AY410" s="58"/>
      <c r="AZ410" s="60">
        <f t="shared" si="238"/>
        <v>0</v>
      </c>
      <c r="BA410" s="58"/>
      <c r="BB410" s="58"/>
      <c r="BC410" s="58"/>
      <c r="BD410" s="60">
        <f>SUM(Tableau1[[#This Row],[ticket/carte/abonnement périmé]:[Autres ou non précisé 5]])</f>
        <v>0</v>
      </c>
      <c r="BE410" s="58"/>
      <c r="BF410" s="58"/>
      <c r="BG410" s="58"/>
      <c r="BH410" s="61">
        <f t="shared" si="249"/>
        <v>0</v>
      </c>
      <c r="BI410" s="120"/>
      <c r="BJ410" s="120"/>
      <c r="BK410" s="62">
        <f t="shared" si="250"/>
        <v>0</v>
      </c>
      <c r="BL410" s="120"/>
      <c r="BM410" s="120"/>
      <c r="BN410" s="120"/>
      <c r="BO410" s="120"/>
      <c r="BP410" s="120"/>
      <c r="BQ410" s="63"/>
      <c r="BR410" s="52">
        <f t="shared" si="251"/>
        <v>0</v>
      </c>
      <c r="BS410" s="52">
        <f t="shared" si="252"/>
        <v>0</v>
      </c>
      <c r="BT410" s="61">
        <f t="shared" si="253"/>
        <v>0</v>
      </c>
      <c r="BU410" s="64">
        <f t="shared" si="254"/>
        <v>0</v>
      </c>
      <c r="BV410" s="119">
        <f>SUM(Tableau1[[#This Row],[Achats confiserie]:[Achats boisson]])</f>
        <v>0</v>
      </c>
      <c r="BW410" s="58"/>
      <c r="BX410" s="69"/>
      <c r="BY410" s="58"/>
      <c r="BZ410" s="56">
        <f t="shared" si="255"/>
        <v>0</v>
      </c>
      <c r="CA410" s="66"/>
      <c r="CB410" s="66"/>
      <c r="CC410" s="56">
        <f t="shared" si="256"/>
        <v>0</v>
      </c>
      <c r="CD410" s="55"/>
      <c r="CE410" s="65"/>
      <c r="CF410" s="55"/>
      <c r="CG410" s="55"/>
      <c r="CH410" s="67">
        <f t="shared" si="257"/>
        <v>0</v>
      </c>
      <c r="CI410" s="68">
        <f t="shared" si="273"/>
        <v>0</v>
      </c>
      <c r="CJ410" s="55"/>
      <c r="CK410" s="55"/>
      <c r="CL410" s="55"/>
      <c r="CM410" s="55"/>
      <c r="CN410" s="55"/>
      <c r="CO410" s="68">
        <f t="shared" si="258"/>
        <v>0</v>
      </c>
      <c r="CP410" s="75">
        <f>SUM(Tableau1[[#This Row],[Fourniture eau]:[Energie (non précisé)]])</f>
        <v>0</v>
      </c>
      <c r="CQ410" s="55"/>
      <c r="CR410" s="55"/>
      <c r="CS410" s="55"/>
      <c r="CT410" s="55"/>
      <c r="CU410" s="55"/>
      <c r="CV410" s="55">
        <v>0</v>
      </c>
      <c r="CW410" s="55"/>
      <c r="CX410" s="68">
        <f>SUM(Tableau1[[#This Row],[Sous-traitance]:[Autres ou non précisé 12]])</f>
        <v>0</v>
      </c>
      <c r="CY410" s="65"/>
      <c r="CZ410" s="65"/>
      <c r="DA410" s="65"/>
      <c r="DB410" s="65"/>
      <c r="DC410" s="55"/>
      <c r="DD410" s="68">
        <f t="shared" si="239"/>
        <v>0</v>
      </c>
      <c r="DE410" s="55"/>
      <c r="DF410" s="65"/>
      <c r="DG410" s="65"/>
      <c r="DH410" s="65"/>
      <c r="DI410" s="68">
        <f>SUM(Tableau1[[#This Row],[Entretien et réparation matériel de projection]:[Autres ou non précisé 14]])</f>
        <v>0</v>
      </c>
      <c r="DJ410" s="58"/>
      <c r="DK410" s="58"/>
      <c r="DL410" s="69"/>
      <c r="DM410" s="68">
        <f t="shared" si="259"/>
        <v>0</v>
      </c>
      <c r="DN410" s="58"/>
      <c r="DO410" s="58"/>
      <c r="DP410" s="68">
        <f t="shared" si="260"/>
        <v>0</v>
      </c>
      <c r="DQ410" s="65"/>
      <c r="DR410" s="65"/>
      <c r="DS410" s="68">
        <f t="shared" si="261"/>
        <v>0</v>
      </c>
      <c r="DT410" s="65"/>
      <c r="DU410" s="65"/>
      <c r="DV410" s="65"/>
      <c r="DW410" s="68">
        <f>SUM(Tableau1[[#This Row],[Comission et courtage sur achats]:[Autres ou honoraires
 non précisé ]])</f>
        <v>0</v>
      </c>
      <c r="DX410" s="57"/>
      <c r="DY410" s="57"/>
      <c r="DZ410" s="65"/>
      <c r="EA410" s="65"/>
      <c r="EB410" s="65"/>
      <c r="EC410" s="68">
        <f t="shared" si="262"/>
        <v>0</v>
      </c>
      <c r="ED410" s="69"/>
      <c r="EE410" s="69"/>
      <c r="EF410" s="69"/>
      <c r="EG410" s="69"/>
      <c r="EH410" s="69"/>
      <c r="EI410" s="84">
        <f>SUM(Tableau1[[#This Row],[Transports sur films]:[autres ]])</f>
        <v>0</v>
      </c>
      <c r="EJ410" s="132">
        <v>0</v>
      </c>
      <c r="EK410" s="132"/>
      <c r="EL410" s="68">
        <f t="shared" si="263"/>
        <v>0</v>
      </c>
      <c r="EM410" s="65"/>
      <c r="EN410" s="65">
        <v>0</v>
      </c>
      <c r="EO410" s="65"/>
      <c r="EP410" s="65"/>
      <c r="EQ410" s="65"/>
      <c r="ER410" s="65"/>
      <c r="ES410" s="65"/>
      <c r="ET410" s="68">
        <f t="shared" si="264"/>
        <v>0</v>
      </c>
      <c r="EU410" s="65"/>
      <c r="EV410" s="65"/>
      <c r="EW410" s="65"/>
      <c r="EX410" s="65"/>
      <c r="EY410" s="65"/>
      <c r="EZ410" s="68">
        <f t="shared" si="241"/>
        <v>0</v>
      </c>
      <c r="FA410" s="65"/>
      <c r="FB410" s="65"/>
      <c r="FC410" s="70">
        <f t="shared" si="240"/>
        <v>0</v>
      </c>
      <c r="FD410" s="65"/>
      <c r="FE410" s="71">
        <f t="shared" si="265"/>
        <v>0</v>
      </c>
      <c r="FF410" s="72">
        <f t="shared" si="266"/>
        <v>0</v>
      </c>
      <c r="FG410" s="65"/>
      <c r="FH410" s="65"/>
      <c r="FI410" s="65"/>
      <c r="FJ410" s="56">
        <f t="shared" si="267"/>
        <v>0</v>
      </c>
      <c r="FK410" s="65"/>
      <c r="FL410" s="65"/>
      <c r="FM410" s="65"/>
      <c r="FN410" s="65"/>
      <c r="FO410" s="67">
        <f t="shared" si="268"/>
        <v>0</v>
      </c>
      <c r="FP410" s="57"/>
      <c r="FQ410" s="73"/>
      <c r="FR410" s="73"/>
      <c r="FS410" s="71">
        <f t="shared" si="269"/>
        <v>0</v>
      </c>
      <c r="FT410" s="91"/>
      <c r="FU410" s="91"/>
      <c r="FV410" s="67">
        <f>SUM(Tableau1[[#This Row],[Droits d''auteurs SACEM + cotisations SACEM]:[Autres ou non préciés]])</f>
        <v>0</v>
      </c>
      <c r="FW410" s="75">
        <f t="shared" si="270"/>
        <v>0</v>
      </c>
      <c r="FX410" s="74">
        <v>0</v>
      </c>
      <c r="FY410" s="74"/>
      <c r="FZ410" s="74"/>
      <c r="GA410" s="74"/>
      <c r="GB410" s="71">
        <f t="shared" si="271"/>
        <v>0</v>
      </c>
      <c r="GC410" s="92"/>
      <c r="GD410" s="92"/>
      <c r="GE410" s="67">
        <f t="shared" si="272"/>
        <v>0</v>
      </c>
      <c r="GF410" s="66"/>
      <c r="GG410" s="66"/>
      <c r="GH410" s="66"/>
      <c r="GI410" s="66"/>
      <c r="GJ410" s="77"/>
    </row>
    <row r="411" spans="1:192" ht="18.600000000000001" customHeight="1" x14ac:dyDescent="0.25">
      <c r="A411" s="89"/>
      <c r="B411" s="17"/>
      <c r="C411" s="50"/>
      <c r="D411" s="140"/>
      <c r="E411" s="51"/>
      <c r="F411" s="139">
        <f t="shared" si="237"/>
        <v>1</v>
      </c>
      <c r="G411" s="49"/>
      <c r="H411" s="50"/>
      <c r="I411" s="122"/>
      <c r="J411" s="49"/>
      <c r="K411" s="50"/>
      <c r="L411" s="50"/>
      <c r="M411" s="90"/>
      <c r="N411" s="50"/>
      <c r="O411" s="50"/>
      <c r="P411" s="90"/>
      <c r="Q411" s="52">
        <f t="shared" si="242"/>
        <v>0</v>
      </c>
      <c r="R411" s="52">
        <f t="shared" si="243"/>
        <v>0</v>
      </c>
      <c r="S411" s="53">
        <f t="shared" si="244"/>
        <v>0</v>
      </c>
      <c r="T411" s="54">
        <f t="shared" si="245"/>
        <v>0</v>
      </c>
      <c r="U411" s="115">
        <f>SUM(Tableau1[[#This Row],[Vente confiserie]:[Vente boisson]])</f>
        <v>0</v>
      </c>
      <c r="V411" s="95"/>
      <c r="W411" s="95"/>
      <c r="X411" s="136">
        <f>SUM(Tableau1[[#This Row],[Vente lunette]:[Location lunette]])</f>
        <v>0</v>
      </c>
      <c r="Y411" s="95"/>
      <c r="Z411" s="95"/>
      <c r="AA411" s="95"/>
      <c r="AB411" s="95"/>
      <c r="AC411" s="56">
        <f t="shared" si="274"/>
        <v>0</v>
      </c>
      <c r="AD411" s="57"/>
      <c r="AE411" s="57"/>
      <c r="AF411" s="57"/>
      <c r="AG411" s="57"/>
      <c r="AH411" s="57"/>
      <c r="AI411" s="57"/>
      <c r="AJ411" s="118">
        <f>(Tableau1[[#This Row],[Recette guichet ]]*1.1275177)-Tableau1[[#This Row],[Recette guichet ]]</f>
        <v>0</v>
      </c>
      <c r="AK411" s="57"/>
      <c r="AL411" s="56">
        <f t="shared" si="275"/>
        <v>0</v>
      </c>
      <c r="AM411" s="58"/>
      <c r="AN411" s="58"/>
      <c r="AO411" s="58"/>
      <c r="AP411" s="115">
        <f t="shared" si="246"/>
        <v>0</v>
      </c>
      <c r="AQ411" s="69"/>
      <c r="AR411" s="69"/>
      <c r="AS411" s="69"/>
      <c r="AT411" s="69"/>
      <c r="AU411" s="59">
        <f t="shared" si="247"/>
        <v>0</v>
      </c>
      <c r="AV411" s="60">
        <f t="shared" si="248"/>
        <v>0</v>
      </c>
      <c r="AW411" s="58"/>
      <c r="AX411" s="58"/>
      <c r="AY411" s="58"/>
      <c r="AZ411" s="60">
        <f t="shared" si="238"/>
        <v>0</v>
      </c>
      <c r="BA411" s="58"/>
      <c r="BB411" s="58"/>
      <c r="BC411" s="58"/>
      <c r="BD411" s="60">
        <f>SUM(Tableau1[[#This Row],[ticket/carte/abonnement périmé]:[Autres ou non précisé 5]])</f>
        <v>0</v>
      </c>
      <c r="BE411" s="58"/>
      <c r="BF411" s="58"/>
      <c r="BG411" s="58"/>
      <c r="BH411" s="61">
        <f t="shared" si="249"/>
        <v>0</v>
      </c>
      <c r="BI411" s="120"/>
      <c r="BJ411" s="120"/>
      <c r="BK411" s="62">
        <f t="shared" si="250"/>
        <v>0</v>
      </c>
      <c r="BL411" s="120"/>
      <c r="BM411" s="120"/>
      <c r="BN411" s="120"/>
      <c r="BO411" s="120"/>
      <c r="BP411" s="120"/>
      <c r="BQ411" s="63"/>
      <c r="BR411" s="52">
        <f t="shared" si="251"/>
        <v>0</v>
      </c>
      <c r="BS411" s="52">
        <f t="shared" si="252"/>
        <v>0</v>
      </c>
      <c r="BT411" s="61">
        <f t="shared" si="253"/>
        <v>0</v>
      </c>
      <c r="BU411" s="64">
        <f t="shared" si="254"/>
        <v>0</v>
      </c>
      <c r="BV411" s="119">
        <f>SUM(Tableau1[[#This Row],[Achats confiserie]:[Achats boisson]])</f>
        <v>0</v>
      </c>
      <c r="BW411" s="58"/>
      <c r="BX411" s="69"/>
      <c r="BY411" s="58"/>
      <c r="BZ411" s="56">
        <f t="shared" si="255"/>
        <v>0</v>
      </c>
      <c r="CA411" s="66"/>
      <c r="CB411" s="66"/>
      <c r="CC411" s="56">
        <f t="shared" si="256"/>
        <v>0</v>
      </c>
      <c r="CD411" s="55"/>
      <c r="CE411" s="65"/>
      <c r="CF411" s="55"/>
      <c r="CG411" s="55"/>
      <c r="CH411" s="67">
        <f t="shared" si="257"/>
        <v>0</v>
      </c>
      <c r="CI411" s="68">
        <f t="shared" si="273"/>
        <v>0</v>
      </c>
      <c r="CJ411" s="55"/>
      <c r="CK411" s="55"/>
      <c r="CL411" s="55"/>
      <c r="CM411" s="55"/>
      <c r="CN411" s="55"/>
      <c r="CO411" s="68">
        <f t="shared" si="258"/>
        <v>0</v>
      </c>
      <c r="CP411" s="75">
        <f>SUM(Tableau1[[#This Row],[Fourniture eau]:[Energie (non précisé)]])</f>
        <v>0</v>
      </c>
      <c r="CQ411" s="55"/>
      <c r="CR411" s="55"/>
      <c r="CS411" s="55"/>
      <c r="CT411" s="55"/>
      <c r="CU411" s="55"/>
      <c r="CV411" s="55">
        <v>0</v>
      </c>
      <c r="CW411" s="55"/>
      <c r="CX411" s="68">
        <f>SUM(Tableau1[[#This Row],[Sous-traitance]:[Autres ou non précisé 12]])</f>
        <v>0</v>
      </c>
      <c r="CY411" s="65"/>
      <c r="CZ411" s="65"/>
      <c r="DA411" s="65"/>
      <c r="DB411" s="65"/>
      <c r="DC411" s="55"/>
      <c r="DD411" s="68">
        <f t="shared" si="239"/>
        <v>0</v>
      </c>
      <c r="DE411" s="55"/>
      <c r="DF411" s="65"/>
      <c r="DG411" s="65"/>
      <c r="DH411" s="65"/>
      <c r="DI411" s="68">
        <f>SUM(Tableau1[[#This Row],[Entretien et réparation matériel de projection]:[Autres ou non précisé 14]])</f>
        <v>0</v>
      </c>
      <c r="DJ411" s="58"/>
      <c r="DK411" s="58"/>
      <c r="DL411" s="69"/>
      <c r="DM411" s="68">
        <f t="shared" si="259"/>
        <v>0</v>
      </c>
      <c r="DN411" s="58"/>
      <c r="DO411" s="58"/>
      <c r="DP411" s="68">
        <f t="shared" si="260"/>
        <v>0</v>
      </c>
      <c r="DQ411" s="65"/>
      <c r="DR411" s="65"/>
      <c r="DS411" s="68">
        <f t="shared" si="261"/>
        <v>0</v>
      </c>
      <c r="DT411" s="65"/>
      <c r="DU411" s="65"/>
      <c r="DV411" s="65"/>
      <c r="DW411" s="68">
        <f>SUM(Tableau1[[#This Row],[Comission et courtage sur achats]:[Autres ou honoraires
 non précisé ]])</f>
        <v>0</v>
      </c>
      <c r="DX411" s="57"/>
      <c r="DY411" s="57"/>
      <c r="DZ411" s="65"/>
      <c r="EA411" s="65"/>
      <c r="EB411" s="65"/>
      <c r="EC411" s="68">
        <f t="shared" si="262"/>
        <v>0</v>
      </c>
      <c r="ED411" s="69"/>
      <c r="EE411" s="69"/>
      <c r="EF411" s="69"/>
      <c r="EG411" s="69"/>
      <c r="EH411" s="69"/>
      <c r="EI411" s="84">
        <f>SUM(Tableau1[[#This Row],[Transports sur films]:[autres ]])</f>
        <v>0</v>
      </c>
      <c r="EJ411" s="132">
        <v>0</v>
      </c>
      <c r="EK411" s="132"/>
      <c r="EL411" s="68">
        <f t="shared" si="263"/>
        <v>0</v>
      </c>
      <c r="EM411" s="65"/>
      <c r="EN411" s="65">
        <v>0</v>
      </c>
      <c r="EO411" s="65"/>
      <c r="EP411" s="65"/>
      <c r="EQ411" s="65"/>
      <c r="ER411" s="65"/>
      <c r="ES411" s="65"/>
      <c r="ET411" s="68">
        <f t="shared" si="264"/>
        <v>0</v>
      </c>
      <c r="EU411" s="65"/>
      <c r="EV411" s="65"/>
      <c r="EW411" s="65"/>
      <c r="EX411" s="65"/>
      <c r="EY411" s="65"/>
      <c r="EZ411" s="68">
        <f t="shared" si="241"/>
        <v>0</v>
      </c>
      <c r="FA411" s="65"/>
      <c r="FB411" s="65"/>
      <c r="FC411" s="70">
        <f t="shared" si="240"/>
        <v>0</v>
      </c>
      <c r="FD411" s="65"/>
      <c r="FE411" s="71">
        <f t="shared" si="265"/>
        <v>0</v>
      </c>
      <c r="FF411" s="72">
        <f t="shared" si="266"/>
        <v>0</v>
      </c>
      <c r="FG411" s="65"/>
      <c r="FH411" s="65"/>
      <c r="FI411" s="65"/>
      <c r="FJ411" s="56">
        <f t="shared" si="267"/>
        <v>0</v>
      </c>
      <c r="FK411" s="65"/>
      <c r="FL411" s="65"/>
      <c r="FM411" s="65"/>
      <c r="FN411" s="65"/>
      <c r="FO411" s="67">
        <f t="shared" si="268"/>
        <v>0</v>
      </c>
      <c r="FP411" s="57"/>
      <c r="FQ411" s="73"/>
      <c r="FR411" s="73"/>
      <c r="FS411" s="71">
        <f t="shared" si="269"/>
        <v>0</v>
      </c>
      <c r="FT411" s="91"/>
      <c r="FU411" s="91"/>
      <c r="FV411" s="67">
        <f>SUM(Tableau1[[#This Row],[Droits d''auteurs SACEM + cotisations SACEM]:[Autres ou non préciés]])</f>
        <v>0</v>
      </c>
      <c r="FW411" s="75">
        <f t="shared" si="270"/>
        <v>0</v>
      </c>
      <c r="FX411" s="74">
        <v>0</v>
      </c>
      <c r="FY411" s="74"/>
      <c r="FZ411" s="74"/>
      <c r="GA411" s="74"/>
      <c r="GB411" s="71">
        <f t="shared" si="271"/>
        <v>0</v>
      </c>
      <c r="GC411" s="92"/>
      <c r="GD411" s="92"/>
      <c r="GE411" s="67">
        <f t="shared" si="272"/>
        <v>0</v>
      </c>
      <c r="GF411" s="66"/>
      <c r="GG411" s="66"/>
      <c r="GH411" s="66"/>
      <c r="GI411" s="66"/>
      <c r="GJ411" s="77"/>
    </row>
    <row r="412" spans="1:192" ht="18.600000000000001" customHeight="1" x14ac:dyDescent="0.25">
      <c r="A412" s="89"/>
      <c r="B412" s="17"/>
      <c r="C412" s="50"/>
      <c r="D412" s="140"/>
      <c r="E412" s="51"/>
      <c r="F412" s="139">
        <f t="shared" si="237"/>
        <v>1</v>
      </c>
      <c r="G412" s="49"/>
      <c r="H412" s="50"/>
      <c r="I412" s="122"/>
      <c r="J412" s="49"/>
      <c r="K412" s="50"/>
      <c r="L412" s="50"/>
      <c r="M412" s="90"/>
      <c r="N412" s="50"/>
      <c r="O412" s="50"/>
      <c r="P412" s="90"/>
      <c r="Q412" s="52">
        <f t="shared" si="242"/>
        <v>0</v>
      </c>
      <c r="R412" s="52">
        <f t="shared" si="243"/>
        <v>0</v>
      </c>
      <c r="S412" s="53">
        <f t="shared" si="244"/>
        <v>0</v>
      </c>
      <c r="T412" s="54">
        <f t="shared" si="245"/>
        <v>0</v>
      </c>
      <c r="U412" s="115">
        <f>SUM(Tableau1[[#This Row],[Vente confiserie]:[Vente boisson]])</f>
        <v>0</v>
      </c>
      <c r="V412" s="95"/>
      <c r="W412" s="95"/>
      <c r="X412" s="136">
        <f>SUM(Tableau1[[#This Row],[Vente lunette]:[Location lunette]])</f>
        <v>0</v>
      </c>
      <c r="Y412" s="95"/>
      <c r="Z412" s="95"/>
      <c r="AA412" s="95"/>
      <c r="AB412" s="95"/>
      <c r="AC412" s="56">
        <f t="shared" si="274"/>
        <v>0</v>
      </c>
      <c r="AD412" s="57"/>
      <c r="AE412" s="57"/>
      <c r="AF412" s="57"/>
      <c r="AG412" s="57"/>
      <c r="AH412" s="57"/>
      <c r="AI412" s="57"/>
      <c r="AJ412" s="118">
        <f>(Tableau1[[#This Row],[Recette guichet ]]*1.1275177)-Tableau1[[#This Row],[Recette guichet ]]</f>
        <v>0</v>
      </c>
      <c r="AK412" s="57"/>
      <c r="AL412" s="56">
        <f t="shared" si="275"/>
        <v>0</v>
      </c>
      <c r="AM412" s="58"/>
      <c r="AN412" s="58"/>
      <c r="AO412" s="58"/>
      <c r="AP412" s="115">
        <f t="shared" si="246"/>
        <v>0</v>
      </c>
      <c r="AQ412" s="69"/>
      <c r="AR412" s="69"/>
      <c r="AS412" s="69"/>
      <c r="AT412" s="69"/>
      <c r="AU412" s="59">
        <f t="shared" si="247"/>
        <v>0</v>
      </c>
      <c r="AV412" s="60">
        <f t="shared" si="248"/>
        <v>0</v>
      </c>
      <c r="AW412" s="58"/>
      <c r="AX412" s="58"/>
      <c r="AY412" s="58"/>
      <c r="AZ412" s="60">
        <f t="shared" si="238"/>
        <v>0</v>
      </c>
      <c r="BA412" s="58"/>
      <c r="BB412" s="58"/>
      <c r="BC412" s="58"/>
      <c r="BD412" s="60">
        <f>SUM(Tableau1[[#This Row],[ticket/carte/abonnement périmé]:[Autres ou non précisé 5]])</f>
        <v>0</v>
      </c>
      <c r="BE412" s="58"/>
      <c r="BF412" s="58"/>
      <c r="BG412" s="58"/>
      <c r="BH412" s="61">
        <f t="shared" si="249"/>
        <v>0</v>
      </c>
      <c r="BI412" s="120"/>
      <c r="BJ412" s="120"/>
      <c r="BK412" s="62">
        <f t="shared" si="250"/>
        <v>0</v>
      </c>
      <c r="BL412" s="120"/>
      <c r="BM412" s="120"/>
      <c r="BN412" s="120"/>
      <c r="BO412" s="120"/>
      <c r="BP412" s="120"/>
      <c r="BQ412" s="63"/>
      <c r="BR412" s="52">
        <f t="shared" si="251"/>
        <v>0</v>
      </c>
      <c r="BS412" s="52">
        <f t="shared" si="252"/>
        <v>0</v>
      </c>
      <c r="BT412" s="61">
        <f t="shared" si="253"/>
        <v>0</v>
      </c>
      <c r="BU412" s="64">
        <f t="shared" si="254"/>
        <v>0</v>
      </c>
      <c r="BV412" s="119">
        <f>SUM(Tableau1[[#This Row],[Achats confiserie]:[Achats boisson]])</f>
        <v>0</v>
      </c>
      <c r="BW412" s="58"/>
      <c r="BX412" s="69"/>
      <c r="BY412" s="58"/>
      <c r="BZ412" s="56">
        <f t="shared" si="255"/>
        <v>0</v>
      </c>
      <c r="CA412" s="66"/>
      <c r="CB412" s="66"/>
      <c r="CC412" s="56">
        <f t="shared" si="256"/>
        <v>0</v>
      </c>
      <c r="CD412" s="55"/>
      <c r="CE412" s="65"/>
      <c r="CF412" s="55"/>
      <c r="CG412" s="55"/>
      <c r="CH412" s="67">
        <f t="shared" si="257"/>
        <v>0</v>
      </c>
      <c r="CI412" s="68">
        <f t="shared" si="273"/>
        <v>0</v>
      </c>
      <c r="CJ412" s="55"/>
      <c r="CK412" s="55"/>
      <c r="CL412" s="55"/>
      <c r="CM412" s="55"/>
      <c r="CN412" s="55"/>
      <c r="CO412" s="68">
        <f t="shared" si="258"/>
        <v>0</v>
      </c>
      <c r="CP412" s="75">
        <f>SUM(Tableau1[[#This Row],[Fourniture eau]:[Energie (non précisé)]])</f>
        <v>0</v>
      </c>
      <c r="CQ412" s="55"/>
      <c r="CR412" s="55"/>
      <c r="CS412" s="55"/>
      <c r="CT412" s="55"/>
      <c r="CU412" s="55"/>
      <c r="CV412" s="55">
        <v>0</v>
      </c>
      <c r="CW412" s="55"/>
      <c r="CX412" s="68">
        <f>SUM(Tableau1[[#This Row],[Sous-traitance]:[Autres ou non précisé 12]])</f>
        <v>0</v>
      </c>
      <c r="CY412" s="65"/>
      <c r="CZ412" s="65"/>
      <c r="DA412" s="65"/>
      <c r="DB412" s="65"/>
      <c r="DC412" s="55"/>
      <c r="DD412" s="68">
        <f t="shared" si="239"/>
        <v>0</v>
      </c>
      <c r="DE412" s="55"/>
      <c r="DF412" s="65"/>
      <c r="DG412" s="65"/>
      <c r="DH412" s="65"/>
      <c r="DI412" s="68">
        <f>SUM(Tableau1[[#This Row],[Entretien et réparation matériel de projection]:[Autres ou non précisé 14]])</f>
        <v>0</v>
      </c>
      <c r="DJ412" s="58"/>
      <c r="DK412" s="58"/>
      <c r="DL412" s="69"/>
      <c r="DM412" s="68">
        <f t="shared" si="259"/>
        <v>0</v>
      </c>
      <c r="DN412" s="58"/>
      <c r="DO412" s="58"/>
      <c r="DP412" s="68">
        <f t="shared" si="260"/>
        <v>0</v>
      </c>
      <c r="DQ412" s="65"/>
      <c r="DR412" s="65"/>
      <c r="DS412" s="68">
        <f t="shared" si="261"/>
        <v>0</v>
      </c>
      <c r="DT412" s="65"/>
      <c r="DU412" s="65"/>
      <c r="DV412" s="65"/>
      <c r="DW412" s="68">
        <f>SUM(Tableau1[[#This Row],[Comission et courtage sur achats]:[Autres ou honoraires
 non précisé ]])</f>
        <v>0</v>
      </c>
      <c r="DX412" s="57"/>
      <c r="DY412" s="57"/>
      <c r="DZ412" s="65"/>
      <c r="EA412" s="65"/>
      <c r="EB412" s="65"/>
      <c r="EC412" s="68">
        <f t="shared" si="262"/>
        <v>0</v>
      </c>
      <c r="ED412" s="69"/>
      <c r="EE412" s="69"/>
      <c r="EF412" s="69"/>
      <c r="EG412" s="69"/>
      <c r="EH412" s="69"/>
      <c r="EI412" s="84">
        <f>SUM(Tableau1[[#This Row],[Transports sur films]:[autres ]])</f>
        <v>0</v>
      </c>
      <c r="EJ412" s="132">
        <v>0</v>
      </c>
      <c r="EK412" s="132"/>
      <c r="EL412" s="68">
        <f t="shared" si="263"/>
        <v>0</v>
      </c>
      <c r="EM412" s="65"/>
      <c r="EN412" s="65">
        <v>0</v>
      </c>
      <c r="EO412" s="65"/>
      <c r="EP412" s="65"/>
      <c r="EQ412" s="65"/>
      <c r="ER412" s="65"/>
      <c r="ES412" s="65"/>
      <c r="ET412" s="68">
        <f t="shared" si="264"/>
        <v>0</v>
      </c>
      <c r="EU412" s="65"/>
      <c r="EV412" s="65"/>
      <c r="EW412" s="65"/>
      <c r="EX412" s="65"/>
      <c r="EY412" s="65"/>
      <c r="EZ412" s="68">
        <f t="shared" si="241"/>
        <v>0</v>
      </c>
      <c r="FA412" s="65"/>
      <c r="FB412" s="65"/>
      <c r="FC412" s="70">
        <f t="shared" si="240"/>
        <v>0</v>
      </c>
      <c r="FD412" s="65"/>
      <c r="FE412" s="71">
        <f t="shared" si="265"/>
        <v>0</v>
      </c>
      <c r="FF412" s="72">
        <f t="shared" si="266"/>
        <v>0</v>
      </c>
      <c r="FG412" s="65"/>
      <c r="FH412" s="65"/>
      <c r="FI412" s="65"/>
      <c r="FJ412" s="56">
        <f t="shared" si="267"/>
        <v>0</v>
      </c>
      <c r="FK412" s="65"/>
      <c r="FL412" s="65"/>
      <c r="FM412" s="65"/>
      <c r="FN412" s="65"/>
      <c r="FO412" s="67">
        <f t="shared" si="268"/>
        <v>0</v>
      </c>
      <c r="FP412" s="57"/>
      <c r="FQ412" s="73"/>
      <c r="FR412" s="73"/>
      <c r="FS412" s="71">
        <f t="shared" si="269"/>
        <v>0</v>
      </c>
      <c r="FT412" s="91"/>
      <c r="FU412" s="91"/>
      <c r="FV412" s="67">
        <f>SUM(Tableau1[[#This Row],[Droits d''auteurs SACEM + cotisations SACEM]:[Autres ou non préciés]])</f>
        <v>0</v>
      </c>
      <c r="FW412" s="75">
        <f t="shared" si="270"/>
        <v>0</v>
      </c>
      <c r="FX412" s="74">
        <v>0</v>
      </c>
      <c r="FY412" s="74"/>
      <c r="FZ412" s="74"/>
      <c r="GA412" s="74"/>
      <c r="GB412" s="71">
        <f t="shared" si="271"/>
        <v>0</v>
      </c>
      <c r="GC412" s="92"/>
      <c r="GD412" s="92"/>
      <c r="GE412" s="67">
        <f t="shared" si="272"/>
        <v>0</v>
      </c>
      <c r="GF412" s="66"/>
      <c r="GG412" s="66"/>
      <c r="GH412" s="66"/>
      <c r="GI412" s="66"/>
      <c r="GJ412" s="77"/>
    </row>
    <row r="413" spans="1:192" ht="18.600000000000001" customHeight="1" x14ac:dyDescent="0.25">
      <c r="A413" s="89"/>
      <c r="B413" s="17"/>
      <c r="C413" s="50"/>
      <c r="D413" s="140"/>
      <c r="E413" s="51"/>
      <c r="F413" s="139">
        <f t="shared" si="237"/>
        <v>1</v>
      </c>
      <c r="G413" s="49"/>
      <c r="H413" s="50"/>
      <c r="I413" s="122"/>
      <c r="J413" s="49"/>
      <c r="K413" s="50"/>
      <c r="L413" s="50"/>
      <c r="M413" s="90"/>
      <c r="N413" s="50"/>
      <c r="O413" s="50"/>
      <c r="P413" s="90"/>
      <c r="Q413" s="52">
        <f t="shared" si="242"/>
        <v>0</v>
      </c>
      <c r="R413" s="52">
        <f t="shared" si="243"/>
        <v>0</v>
      </c>
      <c r="S413" s="53">
        <f t="shared" si="244"/>
        <v>0</v>
      </c>
      <c r="T413" s="54">
        <f t="shared" si="245"/>
        <v>0</v>
      </c>
      <c r="U413" s="115">
        <f>SUM(Tableau1[[#This Row],[Vente confiserie]:[Vente boisson]])</f>
        <v>0</v>
      </c>
      <c r="V413" s="95"/>
      <c r="W413" s="95"/>
      <c r="X413" s="136">
        <f>SUM(Tableau1[[#This Row],[Vente lunette]:[Location lunette]])</f>
        <v>0</v>
      </c>
      <c r="Y413" s="95"/>
      <c r="Z413" s="95"/>
      <c r="AA413" s="95"/>
      <c r="AB413" s="95"/>
      <c r="AC413" s="56">
        <f t="shared" si="274"/>
        <v>0</v>
      </c>
      <c r="AD413" s="57"/>
      <c r="AE413" s="57"/>
      <c r="AF413" s="57"/>
      <c r="AG413" s="57"/>
      <c r="AH413" s="57"/>
      <c r="AI413" s="57"/>
      <c r="AJ413" s="118">
        <f>(Tableau1[[#This Row],[Recette guichet ]]*1.1275177)-Tableau1[[#This Row],[Recette guichet ]]</f>
        <v>0</v>
      </c>
      <c r="AK413" s="57"/>
      <c r="AL413" s="56">
        <f t="shared" si="275"/>
        <v>0</v>
      </c>
      <c r="AM413" s="58"/>
      <c r="AN413" s="58"/>
      <c r="AO413" s="58"/>
      <c r="AP413" s="115">
        <f t="shared" si="246"/>
        <v>0</v>
      </c>
      <c r="AQ413" s="69"/>
      <c r="AR413" s="69"/>
      <c r="AS413" s="69"/>
      <c r="AT413" s="69"/>
      <c r="AU413" s="59">
        <f t="shared" si="247"/>
        <v>0</v>
      </c>
      <c r="AV413" s="60">
        <f t="shared" si="248"/>
        <v>0</v>
      </c>
      <c r="AW413" s="58"/>
      <c r="AX413" s="58"/>
      <c r="AY413" s="58"/>
      <c r="AZ413" s="60">
        <f t="shared" si="238"/>
        <v>0</v>
      </c>
      <c r="BA413" s="58"/>
      <c r="BB413" s="58"/>
      <c r="BC413" s="58"/>
      <c r="BD413" s="60">
        <f>SUM(Tableau1[[#This Row],[ticket/carte/abonnement périmé]:[Autres ou non précisé 5]])</f>
        <v>0</v>
      </c>
      <c r="BE413" s="58"/>
      <c r="BF413" s="58"/>
      <c r="BG413" s="58"/>
      <c r="BH413" s="61">
        <f t="shared" si="249"/>
        <v>0</v>
      </c>
      <c r="BI413" s="120"/>
      <c r="BJ413" s="120"/>
      <c r="BK413" s="62">
        <f t="shared" si="250"/>
        <v>0</v>
      </c>
      <c r="BL413" s="120"/>
      <c r="BM413" s="120"/>
      <c r="BN413" s="120"/>
      <c r="BO413" s="120"/>
      <c r="BP413" s="120"/>
      <c r="BQ413" s="63"/>
      <c r="BR413" s="52">
        <f t="shared" si="251"/>
        <v>0</v>
      </c>
      <c r="BS413" s="52">
        <f t="shared" si="252"/>
        <v>0</v>
      </c>
      <c r="BT413" s="61">
        <f t="shared" si="253"/>
        <v>0</v>
      </c>
      <c r="BU413" s="64">
        <f t="shared" si="254"/>
        <v>0</v>
      </c>
      <c r="BV413" s="119">
        <f>SUM(Tableau1[[#This Row],[Achats confiserie]:[Achats boisson]])</f>
        <v>0</v>
      </c>
      <c r="BW413" s="58"/>
      <c r="BX413" s="69"/>
      <c r="BY413" s="58"/>
      <c r="BZ413" s="56">
        <f t="shared" si="255"/>
        <v>0</v>
      </c>
      <c r="CA413" s="66"/>
      <c r="CB413" s="66"/>
      <c r="CC413" s="56">
        <f t="shared" si="256"/>
        <v>0</v>
      </c>
      <c r="CD413" s="55"/>
      <c r="CE413" s="65"/>
      <c r="CF413" s="55"/>
      <c r="CG413" s="55"/>
      <c r="CH413" s="67">
        <f t="shared" si="257"/>
        <v>0</v>
      </c>
      <c r="CI413" s="68">
        <f t="shared" si="273"/>
        <v>0</v>
      </c>
      <c r="CJ413" s="55"/>
      <c r="CK413" s="55"/>
      <c r="CL413" s="55"/>
      <c r="CM413" s="55"/>
      <c r="CN413" s="55"/>
      <c r="CO413" s="68">
        <f t="shared" si="258"/>
        <v>0</v>
      </c>
      <c r="CP413" s="75">
        <f>SUM(Tableau1[[#This Row],[Fourniture eau]:[Energie (non précisé)]])</f>
        <v>0</v>
      </c>
      <c r="CQ413" s="55"/>
      <c r="CR413" s="55"/>
      <c r="CS413" s="55"/>
      <c r="CT413" s="55"/>
      <c r="CU413" s="55"/>
      <c r="CV413" s="55">
        <v>0</v>
      </c>
      <c r="CW413" s="55"/>
      <c r="CX413" s="68">
        <f>SUM(Tableau1[[#This Row],[Sous-traitance]:[Autres ou non précisé 12]])</f>
        <v>0</v>
      </c>
      <c r="CY413" s="65"/>
      <c r="CZ413" s="65"/>
      <c r="DA413" s="65"/>
      <c r="DB413" s="65"/>
      <c r="DC413" s="55"/>
      <c r="DD413" s="68">
        <f t="shared" si="239"/>
        <v>0</v>
      </c>
      <c r="DE413" s="55"/>
      <c r="DF413" s="65"/>
      <c r="DG413" s="65"/>
      <c r="DH413" s="65"/>
      <c r="DI413" s="68">
        <f>SUM(Tableau1[[#This Row],[Entretien et réparation matériel de projection]:[Autres ou non précisé 14]])</f>
        <v>0</v>
      </c>
      <c r="DJ413" s="58"/>
      <c r="DK413" s="58"/>
      <c r="DL413" s="69"/>
      <c r="DM413" s="68">
        <f t="shared" si="259"/>
        <v>0</v>
      </c>
      <c r="DN413" s="58"/>
      <c r="DO413" s="58"/>
      <c r="DP413" s="68">
        <f t="shared" si="260"/>
        <v>0</v>
      </c>
      <c r="DQ413" s="65"/>
      <c r="DR413" s="65"/>
      <c r="DS413" s="68">
        <f t="shared" si="261"/>
        <v>0</v>
      </c>
      <c r="DT413" s="65"/>
      <c r="DU413" s="65"/>
      <c r="DV413" s="65"/>
      <c r="DW413" s="68">
        <f>SUM(Tableau1[[#This Row],[Comission et courtage sur achats]:[Autres ou honoraires
 non précisé ]])</f>
        <v>0</v>
      </c>
      <c r="DX413" s="57"/>
      <c r="DY413" s="57"/>
      <c r="DZ413" s="65"/>
      <c r="EA413" s="65"/>
      <c r="EB413" s="65"/>
      <c r="EC413" s="68">
        <f t="shared" si="262"/>
        <v>0</v>
      </c>
      <c r="ED413" s="69"/>
      <c r="EE413" s="69"/>
      <c r="EF413" s="69"/>
      <c r="EG413" s="69"/>
      <c r="EH413" s="69"/>
      <c r="EI413" s="84">
        <f>SUM(Tableau1[[#This Row],[Transports sur films]:[autres ]])</f>
        <v>0</v>
      </c>
      <c r="EJ413" s="132">
        <v>0</v>
      </c>
      <c r="EK413" s="132"/>
      <c r="EL413" s="68">
        <f t="shared" si="263"/>
        <v>0</v>
      </c>
      <c r="EM413" s="65"/>
      <c r="EN413" s="65">
        <v>0</v>
      </c>
      <c r="EO413" s="65"/>
      <c r="EP413" s="65"/>
      <c r="EQ413" s="65"/>
      <c r="ER413" s="65"/>
      <c r="ES413" s="65"/>
      <c r="ET413" s="68">
        <f t="shared" si="264"/>
        <v>0</v>
      </c>
      <c r="EU413" s="65"/>
      <c r="EV413" s="65"/>
      <c r="EW413" s="65"/>
      <c r="EX413" s="65"/>
      <c r="EY413" s="65"/>
      <c r="EZ413" s="68">
        <f t="shared" si="241"/>
        <v>0</v>
      </c>
      <c r="FA413" s="65"/>
      <c r="FB413" s="65"/>
      <c r="FC413" s="70">
        <f t="shared" si="240"/>
        <v>0</v>
      </c>
      <c r="FD413" s="65"/>
      <c r="FE413" s="71">
        <f t="shared" si="265"/>
        <v>0</v>
      </c>
      <c r="FF413" s="72">
        <f t="shared" si="266"/>
        <v>0</v>
      </c>
      <c r="FG413" s="65"/>
      <c r="FH413" s="65"/>
      <c r="FI413" s="65"/>
      <c r="FJ413" s="56">
        <f t="shared" si="267"/>
        <v>0</v>
      </c>
      <c r="FK413" s="65"/>
      <c r="FL413" s="65"/>
      <c r="FM413" s="65"/>
      <c r="FN413" s="65"/>
      <c r="FO413" s="67">
        <f t="shared" si="268"/>
        <v>0</v>
      </c>
      <c r="FP413" s="57"/>
      <c r="FQ413" s="73"/>
      <c r="FR413" s="73"/>
      <c r="FS413" s="71">
        <f t="shared" si="269"/>
        <v>0</v>
      </c>
      <c r="FT413" s="91"/>
      <c r="FU413" s="91"/>
      <c r="FV413" s="67">
        <f>SUM(Tableau1[[#This Row],[Droits d''auteurs SACEM + cotisations SACEM]:[Autres ou non préciés]])</f>
        <v>0</v>
      </c>
      <c r="FW413" s="75">
        <f t="shared" si="270"/>
        <v>0</v>
      </c>
      <c r="FX413" s="74">
        <v>0</v>
      </c>
      <c r="FY413" s="74"/>
      <c r="FZ413" s="74"/>
      <c r="GA413" s="74"/>
      <c r="GB413" s="71">
        <f t="shared" si="271"/>
        <v>0</v>
      </c>
      <c r="GC413" s="92"/>
      <c r="GD413" s="92"/>
      <c r="GE413" s="67">
        <f t="shared" si="272"/>
        <v>0</v>
      </c>
      <c r="GF413" s="66"/>
      <c r="GG413" s="66"/>
      <c r="GH413" s="66"/>
      <c r="GI413" s="66"/>
      <c r="GJ413" s="77"/>
    </row>
    <row r="414" spans="1:192" ht="18.600000000000001" customHeight="1" x14ac:dyDescent="0.25">
      <c r="A414" s="89"/>
      <c r="B414" s="17"/>
      <c r="C414" s="50"/>
      <c r="D414" s="140"/>
      <c r="E414" s="51"/>
      <c r="F414" s="139">
        <f t="shared" si="237"/>
        <v>1</v>
      </c>
      <c r="G414" s="49"/>
      <c r="H414" s="50"/>
      <c r="I414" s="122"/>
      <c r="J414" s="49"/>
      <c r="K414" s="50"/>
      <c r="L414" s="50"/>
      <c r="M414" s="90"/>
      <c r="N414" s="50"/>
      <c r="O414" s="50"/>
      <c r="P414" s="90"/>
      <c r="Q414" s="52">
        <f t="shared" si="242"/>
        <v>0</v>
      </c>
      <c r="R414" s="52">
        <f t="shared" si="243"/>
        <v>0</v>
      </c>
      <c r="S414" s="53">
        <f t="shared" si="244"/>
        <v>0</v>
      </c>
      <c r="T414" s="54">
        <f t="shared" si="245"/>
        <v>0</v>
      </c>
      <c r="U414" s="115">
        <f>SUM(Tableau1[[#This Row],[Vente confiserie]:[Vente boisson]])</f>
        <v>0</v>
      </c>
      <c r="V414" s="95"/>
      <c r="W414" s="95"/>
      <c r="X414" s="136">
        <f>SUM(Tableau1[[#This Row],[Vente lunette]:[Location lunette]])</f>
        <v>0</v>
      </c>
      <c r="Y414" s="95"/>
      <c r="Z414" s="95"/>
      <c r="AA414" s="95"/>
      <c r="AB414" s="95"/>
      <c r="AC414" s="56">
        <f t="shared" si="274"/>
        <v>0</v>
      </c>
      <c r="AD414" s="57"/>
      <c r="AE414" s="57"/>
      <c r="AF414" s="57"/>
      <c r="AG414" s="57"/>
      <c r="AH414" s="57"/>
      <c r="AI414" s="57"/>
      <c r="AJ414" s="118">
        <f>(Tableau1[[#This Row],[Recette guichet ]]*1.1275177)-Tableau1[[#This Row],[Recette guichet ]]</f>
        <v>0</v>
      </c>
      <c r="AK414" s="57"/>
      <c r="AL414" s="56">
        <f t="shared" si="275"/>
        <v>0</v>
      </c>
      <c r="AM414" s="58"/>
      <c r="AN414" s="58"/>
      <c r="AO414" s="58"/>
      <c r="AP414" s="115">
        <f t="shared" si="246"/>
        <v>0</v>
      </c>
      <c r="AQ414" s="69"/>
      <c r="AR414" s="69"/>
      <c r="AS414" s="69"/>
      <c r="AT414" s="69"/>
      <c r="AU414" s="59">
        <f t="shared" si="247"/>
        <v>0</v>
      </c>
      <c r="AV414" s="60">
        <f t="shared" si="248"/>
        <v>0</v>
      </c>
      <c r="AW414" s="58"/>
      <c r="AX414" s="58"/>
      <c r="AY414" s="58"/>
      <c r="AZ414" s="60">
        <f t="shared" si="238"/>
        <v>0</v>
      </c>
      <c r="BA414" s="58"/>
      <c r="BB414" s="58"/>
      <c r="BC414" s="58"/>
      <c r="BD414" s="60">
        <f>SUM(Tableau1[[#This Row],[ticket/carte/abonnement périmé]:[Autres ou non précisé 5]])</f>
        <v>0</v>
      </c>
      <c r="BE414" s="58"/>
      <c r="BF414" s="58"/>
      <c r="BG414" s="58"/>
      <c r="BH414" s="61">
        <f t="shared" si="249"/>
        <v>0</v>
      </c>
      <c r="BI414" s="120"/>
      <c r="BJ414" s="120"/>
      <c r="BK414" s="62">
        <f t="shared" si="250"/>
        <v>0</v>
      </c>
      <c r="BL414" s="120"/>
      <c r="BM414" s="120"/>
      <c r="BN414" s="120"/>
      <c r="BO414" s="120"/>
      <c r="BP414" s="120"/>
      <c r="BQ414" s="63"/>
      <c r="BR414" s="52">
        <f t="shared" si="251"/>
        <v>0</v>
      </c>
      <c r="BS414" s="52">
        <f t="shared" si="252"/>
        <v>0</v>
      </c>
      <c r="BT414" s="61">
        <f t="shared" si="253"/>
        <v>0</v>
      </c>
      <c r="BU414" s="64">
        <f t="shared" si="254"/>
        <v>0</v>
      </c>
      <c r="BV414" s="119">
        <f>SUM(Tableau1[[#This Row],[Achats confiserie]:[Achats boisson]])</f>
        <v>0</v>
      </c>
      <c r="BW414" s="58"/>
      <c r="BX414" s="69"/>
      <c r="BY414" s="58"/>
      <c r="BZ414" s="56">
        <f t="shared" si="255"/>
        <v>0</v>
      </c>
      <c r="CA414" s="66"/>
      <c r="CB414" s="66"/>
      <c r="CC414" s="56">
        <f t="shared" si="256"/>
        <v>0</v>
      </c>
      <c r="CD414" s="55"/>
      <c r="CE414" s="65"/>
      <c r="CF414" s="55"/>
      <c r="CG414" s="55"/>
      <c r="CH414" s="67">
        <f t="shared" si="257"/>
        <v>0</v>
      </c>
      <c r="CI414" s="68">
        <f t="shared" si="273"/>
        <v>0</v>
      </c>
      <c r="CJ414" s="55"/>
      <c r="CK414" s="55"/>
      <c r="CL414" s="55"/>
      <c r="CM414" s="55"/>
      <c r="CN414" s="55"/>
      <c r="CO414" s="68">
        <f t="shared" si="258"/>
        <v>0</v>
      </c>
      <c r="CP414" s="75">
        <f>SUM(Tableau1[[#This Row],[Fourniture eau]:[Energie (non précisé)]])</f>
        <v>0</v>
      </c>
      <c r="CQ414" s="55"/>
      <c r="CR414" s="55"/>
      <c r="CS414" s="55"/>
      <c r="CT414" s="55"/>
      <c r="CU414" s="55"/>
      <c r="CV414" s="55">
        <v>0</v>
      </c>
      <c r="CW414" s="55"/>
      <c r="CX414" s="68">
        <f>SUM(Tableau1[[#This Row],[Sous-traitance]:[Autres ou non précisé 12]])</f>
        <v>0</v>
      </c>
      <c r="CY414" s="65"/>
      <c r="CZ414" s="65"/>
      <c r="DA414" s="65"/>
      <c r="DB414" s="65"/>
      <c r="DC414" s="55"/>
      <c r="DD414" s="68">
        <f t="shared" si="239"/>
        <v>0</v>
      </c>
      <c r="DE414" s="55"/>
      <c r="DF414" s="65"/>
      <c r="DG414" s="65"/>
      <c r="DH414" s="65"/>
      <c r="DI414" s="68">
        <f>SUM(Tableau1[[#This Row],[Entretien et réparation matériel de projection]:[Autres ou non précisé 14]])</f>
        <v>0</v>
      </c>
      <c r="DJ414" s="58"/>
      <c r="DK414" s="58"/>
      <c r="DL414" s="69"/>
      <c r="DM414" s="68">
        <f t="shared" si="259"/>
        <v>0</v>
      </c>
      <c r="DN414" s="58"/>
      <c r="DO414" s="58"/>
      <c r="DP414" s="68">
        <f t="shared" si="260"/>
        <v>0</v>
      </c>
      <c r="DQ414" s="65"/>
      <c r="DR414" s="65"/>
      <c r="DS414" s="68">
        <f t="shared" si="261"/>
        <v>0</v>
      </c>
      <c r="DT414" s="65"/>
      <c r="DU414" s="65"/>
      <c r="DV414" s="65"/>
      <c r="DW414" s="68">
        <f>SUM(Tableau1[[#This Row],[Comission et courtage sur achats]:[Autres ou honoraires
 non précisé ]])</f>
        <v>0</v>
      </c>
      <c r="DX414" s="57"/>
      <c r="DY414" s="57"/>
      <c r="DZ414" s="65"/>
      <c r="EA414" s="65"/>
      <c r="EB414" s="65"/>
      <c r="EC414" s="68">
        <f t="shared" si="262"/>
        <v>0</v>
      </c>
      <c r="ED414" s="69"/>
      <c r="EE414" s="69"/>
      <c r="EF414" s="69"/>
      <c r="EG414" s="69"/>
      <c r="EH414" s="69"/>
      <c r="EI414" s="84">
        <f>SUM(Tableau1[[#This Row],[Transports sur films]:[autres ]])</f>
        <v>0</v>
      </c>
      <c r="EJ414" s="132">
        <v>0</v>
      </c>
      <c r="EK414" s="132"/>
      <c r="EL414" s="68">
        <f t="shared" si="263"/>
        <v>0</v>
      </c>
      <c r="EM414" s="65"/>
      <c r="EN414" s="65">
        <v>0</v>
      </c>
      <c r="EO414" s="65"/>
      <c r="EP414" s="65"/>
      <c r="EQ414" s="65"/>
      <c r="ER414" s="65"/>
      <c r="ES414" s="65"/>
      <c r="ET414" s="68">
        <f t="shared" si="264"/>
        <v>0</v>
      </c>
      <c r="EU414" s="65"/>
      <c r="EV414" s="65"/>
      <c r="EW414" s="65"/>
      <c r="EX414" s="65"/>
      <c r="EY414" s="65"/>
      <c r="EZ414" s="68">
        <f t="shared" si="241"/>
        <v>0</v>
      </c>
      <c r="FA414" s="65"/>
      <c r="FB414" s="65"/>
      <c r="FC414" s="70">
        <f t="shared" si="240"/>
        <v>0</v>
      </c>
      <c r="FD414" s="65"/>
      <c r="FE414" s="71">
        <f t="shared" si="265"/>
        <v>0</v>
      </c>
      <c r="FF414" s="72">
        <f t="shared" si="266"/>
        <v>0</v>
      </c>
      <c r="FG414" s="65"/>
      <c r="FH414" s="65"/>
      <c r="FI414" s="65"/>
      <c r="FJ414" s="56">
        <f t="shared" si="267"/>
        <v>0</v>
      </c>
      <c r="FK414" s="65"/>
      <c r="FL414" s="65"/>
      <c r="FM414" s="65"/>
      <c r="FN414" s="65"/>
      <c r="FO414" s="67">
        <f t="shared" si="268"/>
        <v>0</v>
      </c>
      <c r="FP414" s="57"/>
      <c r="FQ414" s="73"/>
      <c r="FR414" s="73"/>
      <c r="FS414" s="71">
        <f t="shared" si="269"/>
        <v>0</v>
      </c>
      <c r="FT414" s="91"/>
      <c r="FU414" s="91"/>
      <c r="FV414" s="67">
        <f>SUM(Tableau1[[#This Row],[Droits d''auteurs SACEM + cotisations SACEM]:[Autres ou non préciés]])</f>
        <v>0</v>
      </c>
      <c r="FW414" s="75">
        <f t="shared" si="270"/>
        <v>0</v>
      </c>
      <c r="FX414" s="74">
        <v>0</v>
      </c>
      <c r="FY414" s="74"/>
      <c r="FZ414" s="74"/>
      <c r="GA414" s="74"/>
      <c r="GB414" s="71">
        <f t="shared" si="271"/>
        <v>0</v>
      </c>
      <c r="GC414" s="92"/>
      <c r="GD414" s="92"/>
      <c r="GE414" s="67">
        <f t="shared" si="272"/>
        <v>0</v>
      </c>
      <c r="GF414" s="66"/>
      <c r="GG414" s="66"/>
      <c r="GH414" s="66"/>
      <c r="GI414" s="66"/>
      <c r="GJ414" s="77"/>
    </row>
    <row r="415" spans="1:192" ht="18.600000000000001" customHeight="1" x14ac:dyDescent="0.25">
      <c r="A415" s="89"/>
      <c r="B415" s="17"/>
      <c r="C415" s="50"/>
      <c r="D415" s="140"/>
      <c r="E415" s="51"/>
      <c r="F415" s="139">
        <f t="shared" si="237"/>
        <v>1</v>
      </c>
      <c r="G415" s="49"/>
      <c r="H415" s="50"/>
      <c r="I415" s="122"/>
      <c r="J415" s="49"/>
      <c r="K415" s="50"/>
      <c r="L415" s="50"/>
      <c r="M415" s="90"/>
      <c r="N415" s="50"/>
      <c r="O415" s="50"/>
      <c r="P415" s="90"/>
      <c r="Q415" s="52">
        <f t="shared" si="242"/>
        <v>0</v>
      </c>
      <c r="R415" s="52">
        <f t="shared" si="243"/>
        <v>0</v>
      </c>
      <c r="S415" s="53">
        <f t="shared" si="244"/>
        <v>0</v>
      </c>
      <c r="T415" s="54">
        <f t="shared" si="245"/>
        <v>0</v>
      </c>
      <c r="U415" s="115">
        <f>SUM(Tableau1[[#This Row],[Vente confiserie]:[Vente boisson]])</f>
        <v>0</v>
      </c>
      <c r="V415" s="95"/>
      <c r="W415" s="95"/>
      <c r="X415" s="136">
        <f>SUM(Tableau1[[#This Row],[Vente lunette]:[Location lunette]])</f>
        <v>0</v>
      </c>
      <c r="Y415" s="95"/>
      <c r="Z415" s="95"/>
      <c r="AA415" s="95"/>
      <c r="AB415" s="95"/>
      <c r="AC415" s="56">
        <f t="shared" si="274"/>
        <v>0</v>
      </c>
      <c r="AD415" s="57"/>
      <c r="AE415" s="57"/>
      <c r="AF415" s="57"/>
      <c r="AG415" s="57"/>
      <c r="AH415" s="57"/>
      <c r="AI415" s="57"/>
      <c r="AJ415" s="118">
        <f>(Tableau1[[#This Row],[Recette guichet ]]*1.1275177)-Tableau1[[#This Row],[Recette guichet ]]</f>
        <v>0</v>
      </c>
      <c r="AK415" s="57"/>
      <c r="AL415" s="56">
        <f t="shared" si="275"/>
        <v>0</v>
      </c>
      <c r="AM415" s="58"/>
      <c r="AN415" s="58"/>
      <c r="AO415" s="58"/>
      <c r="AP415" s="115">
        <f t="shared" si="246"/>
        <v>0</v>
      </c>
      <c r="AQ415" s="69"/>
      <c r="AR415" s="69"/>
      <c r="AS415" s="69"/>
      <c r="AT415" s="69"/>
      <c r="AU415" s="59">
        <f t="shared" si="247"/>
        <v>0</v>
      </c>
      <c r="AV415" s="60">
        <f t="shared" si="248"/>
        <v>0</v>
      </c>
      <c r="AW415" s="58"/>
      <c r="AX415" s="58"/>
      <c r="AY415" s="58"/>
      <c r="AZ415" s="60">
        <f t="shared" si="238"/>
        <v>0</v>
      </c>
      <c r="BA415" s="58"/>
      <c r="BB415" s="58"/>
      <c r="BC415" s="58"/>
      <c r="BD415" s="60">
        <f>SUM(Tableau1[[#This Row],[ticket/carte/abonnement périmé]:[Autres ou non précisé 5]])</f>
        <v>0</v>
      </c>
      <c r="BE415" s="58"/>
      <c r="BF415" s="58"/>
      <c r="BG415" s="58"/>
      <c r="BH415" s="61">
        <f t="shared" si="249"/>
        <v>0</v>
      </c>
      <c r="BI415" s="120"/>
      <c r="BJ415" s="120"/>
      <c r="BK415" s="62">
        <f t="shared" si="250"/>
        <v>0</v>
      </c>
      <c r="BL415" s="120"/>
      <c r="BM415" s="120"/>
      <c r="BN415" s="120"/>
      <c r="BO415" s="120"/>
      <c r="BP415" s="120"/>
      <c r="BQ415" s="63"/>
      <c r="BR415" s="52">
        <f t="shared" si="251"/>
        <v>0</v>
      </c>
      <c r="BS415" s="52">
        <f t="shared" si="252"/>
        <v>0</v>
      </c>
      <c r="BT415" s="61">
        <f t="shared" si="253"/>
        <v>0</v>
      </c>
      <c r="BU415" s="64">
        <f t="shared" si="254"/>
        <v>0</v>
      </c>
      <c r="BV415" s="119">
        <f>SUM(Tableau1[[#This Row],[Achats confiserie]:[Achats boisson]])</f>
        <v>0</v>
      </c>
      <c r="BW415" s="58"/>
      <c r="BX415" s="69"/>
      <c r="BY415" s="58"/>
      <c r="BZ415" s="56">
        <f t="shared" si="255"/>
        <v>0</v>
      </c>
      <c r="CA415" s="66"/>
      <c r="CB415" s="66"/>
      <c r="CC415" s="56">
        <f t="shared" si="256"/>
        <v>0</v>
      </c>
      <c r="CD415" s="55"/>
      <c r="CE415" s="65"/>
      <c r="CF415" s="55"/>
      <c r="CG415" s="55"/>
      <c r="CH415" s="67">
        <f t="shared" si="257"/>
        <v>0</v>
      </c>
      <c r="CI415" s="68">
        <f t="shared" si="273"/>
        <v>0</v>
      </c>
      <c r="CJ415" s="55"/>
      <c r="CK415" s="55"/>
      <c r="CL415" s="55"/>
      <c r="CM415" s="55"/>
      <c r="CN415" s="55"/>
      <c r="CO415" s="68">
        <f t="shared" si="258"/>
        <v>0</v>
      </c>
      <c r="CP415" s="75">
        <f>SUM(Tableau1[[#This Row],[Fourniture eau]:[Energie (non précisé)]])</f>
        <v>0</v>
      </c>
      <c r="CQ415" s="55"/>
      <c r="CR415" s="55"/>
      <c r="CS415" s="55"/>
      <c r="CT415" s="55"/>
      <c r="CU415" s="55"/>
      <c r="CV415" s="55">
        <v>0</v>
      </c>
      <c r="CW415" s="55"/>
      <c r="CX415" s="68">
        <f>SUM(Tableau1[[#This Row],[Sous-traitance]:[Autres ou non précisé 12]])</f>
        <v>0</v>
      </c>
      <c r="CY415" s="65"/>
      <c r="CZ415" s="65"/>
      <c r="DA415" s="65"/>
      <c r="DB415" s="65"/>
      <c r="DC415" s="55"/>
      <c r="DD415" s="68">
        <f t="shared" si="239"/>
        <v>0</v>
      </c>
      <c r="DE415" s="55"/>
      <c r="DF415" s="65"/>
      <c r="DG415" s="65"/>
      <c r="DH415" s="65"/>
      <c r="DI415" s="68">
        <f>SUM(Tableau1[[#This Row],[Entretien et réparation matériel de projection]:[Autres ou non précisé 14]])</f>
        <v>0</v>
      </c>
      <c r="DJ415" s="58"/>
      <c r="DK415" s="58"/>
      <c r="DL415" s="69"/>
      <c r="DM415" s="68">
        <f t="shared" si="259"/>
        <v>0</v>
      </c>
      <c r="DN415" s="58"/>
      <c r="DO415" s="58"/>
      <c r="DP415" s="68">
        <f t="shared" si="260"/>
        <v>0</v>
      </c>
      <c r="DQ415" s="65"/>
      <c r="DR415" s="65"/>
      <c r="DS415" s="68">
        <f t="shared" si="261"/>
        <v>0</v>
      </c>
      <c r="DT415" s="65"/>
      <c r="DU415" s="65"/>
      <c r="DV415" s="65"/>
      <c r="DW415" s="68">
        <f>SUM(Tableau1[[#This Row],[Comission et courtage sur achats]:[Autres ou honoraires
 non précisé ]])</f>
        <v>0</v>
      </c>
      <c r="DX415" s="57"/>
      <c r="DY415" s="57"/>
      <c r="DZ415" s="65"/>
      <c r="EA415" s="65"/>
      <c r="EB415" s="65"/>
      <c r="EC415" s="68">
        <f t="shared" si="262"/>
        <v>0</v>
      </c>
      <c r="ED415" s="69"/>
      <c r="EE415" s="69"/>
      <c r="EF415" s="69"/>
      <c r="EG415" s="69"/>
      <c r="EH415" s="69"/>
      <c r="EI415" s="84">
        <f>SUM(Tableau1[[#This Row],[Transports sur films]:[autres ]])</f>
        <v>0</v>
      </c>
      <c r="EJ415" s="132">
        <v>0</v>
      </c>
      <c r="EK415" s="132"/>
      <c r="EL415" s="68">
        <f t="shared" si="263"/>
        <v>0</v>
      </c>
      <c r="EM415" s="65"/>
      <c r="EN415" s="65">
        <v>0</v>
      </c>
      <c r="EO415" s="65"/>
      <c r="EP415" s="65"/>
      <c r="EQ415" s="65"/>
      <c r="ER415" s="65"/>
      <c r="ES415" s="65"/>
      <c r="ET415" s="68">
        <f t="shared" si="264"/>
        <v>0</v>
      </c>
      <c r="EU415" s="65"/>
      <c r="EV415" s="65"/>
      <c r="EW415" s="65"/>
      <c r="EX415" s="65"/>
      <c r="EY415" s="65"/>
      <c r="EZ415" s="68">
        <f t="shared" si="241"/>
        <v>0</v>
      </c>
      <c r="FA415" s="65"/>
      <c r="FB415" s="65"/>
      <c r="FC415" s="70">
        <f t="shared" si="240"/>
        <v>0</v>
      </c>
      <c r="FD415" s="65"/>
      <c r="FE415" s="71">
        <f t="shared" si="265"/>
        <v>0</v>
      </c>
      <c r="FF415" s="72">
        <f t="shared" si="266"/>
        <v>0</v>
      </c>
      <c r="FG415" s="65"/>
      <c r="FH415" s="65"/>
      <c r="FI415" s="65"/>
      <c r="FJ415" s="56">
        <f t="shared" si="267"/>
        <v>0</v>
      </c>
      <c r="FK415" s="65"/>
      <c r="FL415" s="65"/>
      <c r="FM415" s="65"/>
      <c r="FN415" s="65"/>
      <c r="FO415" s="67">
        <f t="shared" si="268"/>
        <v>0</v>
      </c>
      <c r="FP415" s="57"/>
      <c r="FQ415" s="73"/>
      <c r="FR415" s="73"/>
      <c r="FS415" s="71">
        <f t="shared" si="269"/>
        <v>0</v>
      </c>
      <c r="FT415" s="91"/>
      <c r="FU415" s="91"/>
      <c r="FV415" s="67">
        <f>SUM(Tableau1[[#This Row],[Droits d''auteurs SACEM + cotisations SACEM]:[Autres ou non préciés]])</f>
        <v>0</v>
      </c>
      <c r="FW415" s="75">
        <f t="shared" si="270"/>
        <v>0</v>
      </c>
      <c r="FX415" s="74">
        <v>0</v>
      </c>
      <c r="FY415" s="74"/>
      <c r="FZ415" s="74"/>
      <c r="GA415" s="74"/>
      <c r="GB415" s="71">
        <f t="shared" si="271"/>
        <v>0</v>
      </c>
      <c r="GC415" s="92"/>
      <c r="GD415" s="92"/>
      <c r="GE415" s="67">
        <f t="shared" si="272"/>
        <v>0</v>
      </c>
      <c r="GF415" s="66"/>
      <c r="GG415" s="66"/>
      <c r="GH415" s="66"/>
      <c r="GI415" s="66"/>
      <c r="GJ415" s="77"/>
    </row>
    <row r="416" spans="1:192" ht="18.600000000000001" customHeight="1" x14ac:dyDescent="0.25">
      <c r="A416" s="89"/>
      <c r="B416" s="17"/>
      <c r="C416" s="50"/>
      <c r="D416" s="140"/>
      <c r="E416" s="51"/>
      <c r="F416" s="139">
        <f t="shared" si="237"/>
        <v>1</v>
      </c>
      <c r="G416" s="49"/>
      <c r="H416" s="50"/>
      <c r="I416" s="122"/>
      <c r="J416" s="49"/>
      <c r="K416" s="50"/>
      <c r="L416" s="50"/>
      <c r="M416" s="90"/>
      <c r="N416" s="50"/>
      <c r="O416" s="50"/>
      <c r="P416" s="90"/>
      <c r="Q416" s="52">
        <f t="shared" si="242"/>
        <v>0</v>
      </c>
      <c r="R416" s="52">
        <f t="shared" si="243"/>
        <v>0</v>
      </c>
      <c r="S416" s="53">
        <f t="shared" si="244"/>
        <v>0</v>
      </c>
      <c r="T416" s="54">
        <f t="shared" si="245"/>
        <v>0</v>
      </c>
      <c r="U416" s="115">
        <f>SUM(Tableau1[[#This Row],[Vente confiserie]:[Vente boisson]])</f>
        <v>0</v>
      </c>
      <c r="V416" s="95"/>
      <c r="W416" s="95"/>
      <c r="X416" s="136">
        <f>SUM(Tableau1[[#This Row],[Vente lunette]:[Location lunette]])</f>
        <v>0</v>
      </c>
      <c r="Y416" s="95"/>
      <c r="Z416" s="95"/>
      <c r="AA416" s="95"/>
      <c r="AB416" s="95"/>
      <c r="AC416" s="56">
        <f t="shared" si="274"/>
        <v>0</v>
      </c>
      <c r="AD416" s="57"/>
      <c r="AE416" s="57"/>
      <c r="AF416" s="57"/>
      <c r="AG416" s="57"/>
      <c r="AH416" s="57"/>
      <c r="AI416" s="57"/>
      <c r="AJ416" s="118">
        <f>(Tableau1[[#This Row],[Recette guichet ]]*1.1275177)-Tableau1[[#This Row],[Recette guichet ]]</f>
        <v>0</v>
      </c>
      <c r="AK416" s="57"/>
      <c r="AL416" s="56">
        <f t="shared" si="275"/>
        <v>0</v>
      </c>
      <c r="AM416" s="58"/>
      <c r="AN416" s="58"/>
      <c r="AO416" s="58"/>
      <c r="AP416" s="115">
        <f t="shared" si="246"/>
        <v>0</v>
      </c>
      <c r="AQ416" s="69"/>
      <c r="AR416" s="69"/>
      <c r="AS416" s="69"/>
      <c r="AT416" s="69"/>
      <c r="AU416" s="59">
        <f t="shared" si="247"/>
        <v>0</v>
      </c>
      <c r="AV416" s="60">
        <f t="shared" si="248"/>
        <v>0</v>
      </c>
      <c r="AW416" s="58"/>
      <c r="AX416" s="58"/>
      <c r="AY416" s="58"/>
      <c r="AZ416" s="60">
        <f t="shared" si="238"/>
        <v>0</v>
      </c>
      <c r="BA416" s="58"/>
      <c r="BB416" s="58"/>
      <c r="BC416" s="58"/>
      <c r="BD416" s="60">
        <f>SUM(Tableau1[[#This Row],[ticket/carte/abonnement périmé]:[Autres ou non précisé 5]])</f>
        <v>0</v>
      </c>
      <c r="BE416" s="58"/>
      <c r="BF416" s="58"/>
      <c r="BG416" s="58"/>
      <c r="BH416" s="61">
        <f t="shared" si="249"/>
        <v>0</v>
      </c>
      <c r="BI416" s="120"/>
      <c r="BJ416" s="120"/>
      <c r="BK416" s="62">
        <f t="shared" si="250"/>
        <v>0</v>
      </c>
      <c r="BL416" s="120"/>
      <c r="BM416" s="120"/>
      <c r="BN416" s="120"/>
      <c r="BO416" s="120"/>
      <c r="BP416" s="120"/>
      <c r="BQ416" s="63"/>
      <c r="BR416" s="52">
        <f t="shared" si="251"/>
        <v>0</v>
      </c>
      <c r="BS416" s="52">
        <f t="shared" si="252"/>
        <v>0</v>
      </c>
      <c r="BT416" s="61">
        <f t="shared" si="253"/>
        <v>0</v>
      </c>
      <c r="BU416" s="64">
        <f t="shared" si="254"/>
        <v>0</v>
      </c>
      <c r="BV416" s="119">
        <f>SUM(Tableau1[[#This Row],[Achats confiserie]:[Achats boisson]])</f>
        <v>0</v>
      </c>
      <c r="BW416" s="58"/>
      <c r="BX416" s="69"/>
      <c r="BY416" s="58"/>
      <c r="BZ416" s="56">
        <f t="shared" si="255"/>
        <v>0</v>
      </c>
      <c r="CA416" s="66"/>
      <c r="CB416" s="66"/>
      <c r="CC416" s="56">
        <f t="shared" si="256"/>
        <v>0</v>
      </c>
      <c r="CD416" s="55"/>
      <c r="CE416" s="65"/>
      <c r="CF416" s="55"/>
      <c r="CG416" s="55"/>
      <c r="CH416" s="67">
        <f t="shared" si="257"/>
        <v>0</v>
      </c>
      <c r="CI416" s="68">
        <f t="shared" si="273"/>
        <v>0</v>
      </c>
      <c r="CJ416" s="55"/>
      <c r="CK416" s="55"/>
      <c r="CL416" s="55"/>
      <c r="CM416" s="55"/>
      <c r="CN416" s="55"/>
      <c r="CO416" s="68">
        <f t="shared" si="258"/>
        <v>0</v>
      </c>
      <c r="CP416" s="75">
        <f>SUM(Tableau1[[#This Row],[Fourniture eau]:[Energie (non précisé)]])</f>
        <v>0</v>
      </c>
      <c r="CQ416" s="55"/>
      <c r="CR416" s="55"/>
      <c r="CS416" s="55"/>
      <c r="CT416" s="55"/>
      <c r="CU416" s="55"/>
      <c r="CV416" s="55">
        <v>0</v>
      </c>
      <c r="CW416" s="55"/>
      <c r="CX416" s="68">
        <f>SUM(Tableau1[[#This Row],[Sous-traitance]:[Autres ou non précisé 12]])</f>
        <v>0</v>
      </c>
      <c r="CY416" s="65"/>
      <c r="CZ416" s="65"/>
      <c r="DA416" s="65"/>
      <c r="DB416" s="65"/>
      <c r="DC416" s="55"/>
      <c r="DD416" s="68">
        <f t="shared" si="239"/>
        <v>0</v>
      </c>
      <c r="DE416" s="55"/>
      <c r="DF416" s="65"/>
      <c r="DG416" s="65"/>
      <c r="DH416" s="65"/>
      <c r="DI416" s="68">
        <f>SUM(Tableau1[[#This Row],[Entretien et réparation matériel de projection]:[Autres ou non précisé 14]])</f>
        <v>0</v>
      </c>
      <c r="DJ416" s="58"/>
      <c r="DK416" s="58"/>
      <c r="DL416" s="69"/>
      <c r="DM416" s="68">
        <f t="shared" si="259"/>
        <v>0</v>
      </c>
      <c r="DN416" s="58"/>
      <c r="DO416" s="58"/>
      <c r="DP416" s="68">
        <f t="shared" si="260"/>
        <v>0</v>
      </c>
      <c r="DQ416" s="65"/>
      <c r="DR416" s="65"/>
      <c r="DS416" s="68">
        <f t="shared" si="261"/>
        <v>0</v>
      </c>
      <c r="DT416" s="65"/>
      <c r="DU416" s="65"/>
      <c r="DV416" s="65"/>
      <c r="DW416" s="68">
        <f>SUM(Tableau1[[#This Row],[Comission et courtage sur achats]:[Autres ou honoraires
 non précisé ]])</f>
        <v>0</v>
      </c>
      <c r="DX416" s="57"/>
      <c r="DY416" s="57"/>
      <c r="DZ416" s="65"/>
      <c r="EA416" s="65"/>
      <c r="EB416" s="65"/>
      <c r="EC416" s="68">
        <f t="shared" si="262"/>
        <v>0</v>
      </c>
      <c r="ED416" s="69"/>
      <c r="EE416" s="69"/>
      <c r="EF416" s="69"/>
      <c r="EG416" s="69"/>
      <c r="EH416" s="69"/>
      <c r="EI416" s="84">
        <f>SUM(Tableau1[[#This Row],[Transports sur films]:[autres ]])</f>
        <v>0</v>
      </c>
      <c r="EJ416" s="132">
        <v>0</v>
      </c>
      <c r="EK416" s="132"/>
      <c r="EL416" s="68">
        <f t="shared" si="263"/>
        <v>0</v>
      </c>
      <c r="EM416" s="65"/>
      <c r="EN416" s="65">
        <v>0</v>
      </c>
      <c r="EO416" s="65"/>
      <c r="EP416" s="65"/>
      <c r="EQ416" s="65"/>
      <c r="ER416" s="65"/>
      <c r="ES416" s="65"/>
      <c r="ET416" s="68">
        <f t="shared" si="264"/>
        <v>0</v>
      </c>
      <c r="EU416" s="65"/>
      <c r="EV416" s="65"/>
      <c r="EW416" s="65"/>
      <c r="EX416" s="65"/>
      <c r="EY416" s="65"/>
      <c r="EZ416" s="68">
        <f t="shared" si="241"/>
        <v>0</v>
      </c>
      <c r="FA416" s="65"/>
      <c r="FB416" s="65"/>
      <c r="FC416" s="70">
        <f t="shared" si="240"/>
        <v>0</v>
      </c>
      <c r="FD416" s="65"/>
      <c r="FE416" s="71">
        <f t="shared" si="265"/>
        <v>0</v>
      </c>
      <c r="FF416" s="72">
        <f t="shared" si="266"/>
        <v>0</v>
      </c>
      <c r="FG416" s="65"/>
      <c r="FH416" s="65"/>
      <c r="FI416" s="65"/>
      <c r="FJ416" s="56">
        <f t="shared" si="267"/>
        <v>0</v>
      </c>
      <c r="FK416" s="65"/>
      <c r="FL416" s="65"/>
      <c r="FM416" s="65"/>
      <c r="FN416" s="65"/>
      <c r="FO416" s="67">
        <f t="shared" si="268"/>
        <v>0</v>
      </c>
      <c r="FP416" s="57"/>
      <c r="FQ416" s="73"/>
      <c r="FR416" s="73"/>
      <c r="FS416" s="71">
        <f t="shared" si="269"/>
        <v>0</v>
      </c>
      <c r="FT416" s="91"/>
      <c r="FU416" s="91"/>
      <c r="FV416" s="67">
        <f>SUM(Tableau1[[#This Row],[Droits d''auteurs SACEM + cotisations SACEM]:[Autres ou non préciés]])</f>
        <v>0</v>
      </c>
      <c r="FW416" s="75">
        <f t="shared" si="270"/>
        <v>0</v>
      </c>
      <c r="FX416" s="74">
        <v>0</v>
      </c>
      <c r="FY416" s="74"/>
      <c r="FZ416" s="74"/>
      <c r="GA416" s="74"/>
      <c r="GB416" s="71">
        <f t="shared" si="271"/>
        <v>0</v>
      </c>
      <c r="GC416" s="92"/>
      <c r="GD416" s="92"/>
      <c r="GE416" s="67">
        <f t="shared" si="272"/>
        <v>0</v>
      </c>
      <c r="GF416" s="66"/>
      <c r="GG416" s="66"/>
      <c r="GH416" s="66"/>
      <c r="GI416" s="66"/>
      <c r="GJ416" s="77"/>
    </row>
    <row r="417" spans="1:192" ht="18.600000000000001" customHeight="1" x14ac:dyDescent="0.25">
      <c r="A417" s="89"/>
      <c r="B417" s="17"/>
      <c r="C417" s="50"/>
      <c r="D417" s="140"/>
      <c r="E417" s="51"/>
      <c r="F417" s="139">
        <f t="shared" si="237"/>
        <v>1</v>
      </c>
      <c r="G417" s="49"/>
      <c r="H417" s="50"/>
      <c r="I417" s="122"/>
      <c r="J417" s="49"/>
      <c r="K417" s="50"/>
      <c r="L417" s="50"/>
      <c r="M417" s="90"/>
      <c r="N417" s="50"/>
      <c r="O417" s="50"/>
      <c r="P417" s="90"/>
      <c r="Q417" s="52">
        <f t="shared" si="242"/>
        <v>0</v>
      </c>
      <c r="R417" s="52">
        <f t="shared" si="243"/>
        <v>0</v>
      </c>
      <c r="S417" s="53">
        <f t="shared" si="244"/>
        <v>0</v>
      </c>
      <c r="T417" s="54">
        <f t="shared" si="245"/>
        <v>0</v>
      </c>
      <c r="U417" s="115">
        <f>SUM(Tableau1[[#This Row],[Vente confiserie]:[Vente boisson]])</f>
        <v>0</v>
      </c>
      <c r="V417" s="95"/>
      <c r="W417" s="95"/>
      <c r="X417" s="136">
        <f>SUM(Tableau1[[#This Row],[Vente lunette]:[Location lunette]])</f>
        <v>0</v>
      </c>
      <c r="Y417" s="95"/>
      <c r="Z417" s="95"/>
      <c r="AA417" s="95"/>
      <c r="AB417" s="95"/>
      <c r="AC417" s="56">
        <f t="shared" si="274"/>
        <v>0</v>
      </c>
      <c r="AD417" s="57"/>
      <c r="AE417" s="57"/>
      <c r="AF417" s="57"/>
      <c r="AG417" s="57"/>
      <c r="AH417" s="57"/>
      <c r="AI417" s="57"/>
      <c r="AJ417" s="118">
        <f>(Tableau1[[#This Row],[Recette guichet ]]*1.1275177)-Tableau1[[#This Row],[Recette guichet ]]</f>
        <v>0</v>
      </c>
      <c r="AK417" s="57"/>
      <c r="AL417" s="56">
        <f t="shared" si="275"/>
        <v>0</v>
      </c>
      <c r="AM417" s="58"/>
      <c r="AN417" s="58"/>
      <c r="AO417" s="58"/>
      <c r="AP417" s="115">
        <f t="shared" si="246"/>
        <v>0</v>
      </c>
      <c r="AQ417" s="69"/>
      <c r="AR417" s="69"/>
      <c r="AS417" s="69"/>
      <c r="AT417" s="69"/>
      <c r="AU417" s="59">
        <f t="shared" si="247"/>
        <v>0</v>
      </c>
      <c r="AV417" s="60">
        <f t="shared" si="248"/>
        <v>0</v>
      </c>
      <c r="AW417" s="58"/>
      <c r="AX417" s="58"/>
      <c r="AY417" s="58"/>
      <c r="AZ417" s="60">
        <f t="shared" si="238"/>
        <v>0</v>
      </c>
      <c r="BA417" s="58"/>
      <c r="BB417" s="58"/>
      <c r="BC417" s="58"/>
      <c r="BD417" s="60">
        <f>SUM(Tableau1[[#This Row],[ticket/carte/abonnement périmé]:[Autres ou non précisé 5]])</f>
        <v>0</v>
      </c>
      <c r="BE417" s="58"/>
      <c r="BF417" s="58"/>
      <c r="BG417" s="58"/>
      <c r="BH417" s="61">
        <f t="shared" si="249"/>
        <v>0</v>
      </c>
      <c r="BI417" s="120"/>
      <c r="BJ417" s="120"/>
      <c r="BK417" s="62">
        <f t="shared" si="250"/>
        <v>0</v>
      </c>
      <c r="BL417" s="120"/>
      <c r="BM417" s="120"/>
      <c r="BN417" s="120"/>
      <c r="BO417" s="120"/>
      <c r="BP417" s="120"/>
      <c r="BQ417" s="63"/>
      <c r="BR417" s="52">
        <f t="shared" si="251"/>
        <v>0</v>
      </c>
      <c r="BS417" s="52">
        <f t="shared" si="252"/>
        <v>0</v>
      </c>
      <c r="BT417" s="61">
        <f t="shared" si="253"/>
        <v>0</v>
      </c>
      <c r="BU417" s="64">
        <f t="shared" si="254"/>
        <v>0</v>
      </c>
      <c r="BV417" s="119">
        <f>SUM(Tableau1[[#This Row],[Achats confiserie]:[Achats boisson]])</f>
        <v>0</v>
      </c>
      <c r="BW417" s="58"/>
      <c r="BX417" s="69"/>
      <c r="BY417" s="58"/>
      <c r="BZ417" s="56">
        <f t="shared" si="255"/>
        <v>0</v>
      </c>
      <c r="CA417" s="66"/>
      <c r="CB417" s="66"/>
      <c r="CC417" s="56">
        <f t="shared" si="256"/>
        <v>0</v>
      </c>
      <c r="CD417" s="55"/>
      <c r="CE417" s="65"/>
      <c r="CF417" s="55"/>
      <c r="CG417" s="55"/>
      <c r="CH417" s="67">
        <f t="shared" si="257"/>
        <v>0</v>
      </c>
      <c r="CI417" s="68">
        <f t="shared" si="273"/>
        <v>0</v>
      </c>
      <c r="CJ417" s="55"/>
      <c r="CK417" s="55"/>
      <c r="CL417" s="55"/>
      <c r="CM417" s="55"/>
      <c r="CN417" s="55"/>
      <c r="CO417" s="68">
        <f t="shared" si="258"/>
        <v>0</v>
      </c>
      <c r="CP417" s="75">
        <f>SUM(Tableau1[[#This Row],[Fourniture eau]:[Energie (non précisé)]])</f>
        <v>0</v>
      </c>
      <c r="CQ417" s="55"/>
      <c r="CR417" s="55"/>
      <c r="CS417" s="55"/>
      <c r="CT417" s="55"/>
      <c r="CU417" s="55"/>
      <c r="CV417" s="55">
        <v>0</v>
      </c>
      <c r="CW417" s="55"/>
      <c r="CX417" s="68">
        <f>SUM(Tableau1[[#This Row],[Sous-traitance]:[Autres ou non précisé 12]])</f>
        <v>0</v>
      </c>
      <c r="CY417" s="65"/>
      <c r="CZ417" s="65"/>
      <c r="DA417" s="65"/>
      <c r="DB417" s="65"/>
      <c r="DC417" s="55"/>
      <c r="DD417" s="68">
        <f t="shared" si="239"/>
        <v>0</v>
      </c>
      <c r="DE417" s="55"/>
      <c r="DF417" s="65"/>
      <c r="DG417" s="65"/>
      <c r="DH417" s="65"/>
      <c r="DI417" s="68">
        <f>SUM(Tableau1[[#This Row],[Entretien et réparation matériel de projection]:[Autres ou non précisé 14]])</f>
        <v>0</v>
      </c>
      <c r="DJ417" s="58"/>
      <c r="DK417" s="58"/>
      <c r="DL417" s="69"/>
      <c r="DM417" s="68">
        <f t="shared" si="259"/>
        <v>0</v>
      </c>
      <c r="DN417" s="58"/>
      <c r="DO417" s="58"/>
      <c r="DP417" s="68">
        <f t="shared" si="260"/>
        <v>0</v>
      </c>
      <c r="DQ417" s="65"/>
      <c r="DR417" s="65"/>
      <c r="DS417" s="68">
        <f t="shared" si="261"/>
        <v>0</v>
      </c>
      <c r="DT417" s="65"/>
      <c r="DU417" s="65"/>
      <c r="DV417" s="65"/>
      <c r="DW417" s="68">
        <f>SUM(Tableau1[[#This Row],[Comission et courtage sur achats]:[Autres ou honoraires
 non précisé ]])</f>
        <v>0</v>
      </c>
      <c r="DX417" s="57"/>
      <c r="DY417" s="57"/>
      <c r="DZ417" s="65"/>
      <c r="EA417" s="65"/>
      <c r="EB417" s="65"/>
      <c r="EC417" s="68">
        <f t="shared" si="262"/>
        <v>0</v>
      </c>
      <c r="ED417" s="69"/>
      <c r="EE417" s="69"/>
      <c r="EF417" s="69"/>
      <c r="EG417" s="69"/>
      <c r="EH417" s="69"/>
      <c r="EI417" s="84">
        <f>SUM(Tableau1[[#This Row],[Transports sur films]:[autres ]])</f>
        <v>0</v>
      </c>
      <c r="EJ417" s="132">
        <v>0</v>
      </c>
      <c r="EK417" s="132"/>
      <c r="EL417" s="68">
        <f t="shared" si="263"/>
        <v>0</v>
      </c>
      <c r="EM417" s="65"/>
      <c r="EN417" s="65">
        <v>0</v>
      </c>
      <c r="EO417" s="65"/>
      <c r="EP417" s="65"/>
      <c r="EQ417" s="65"/>
      <c r="ER417" s="65"/>
      <c r="ES417" s="65"/>
      <c r="ET417" s="68">
        <f t="shared" si="264"/>
        <v>0</v>
      </c>
      <c r="EU417" s="65"/>
      <c r="EV417" s="65"/>
      <c r="EW417" s="65"/>
      <c r="EX417" s="65"/>
      <c r="EY417" s="65"/>
      <c r="EZ417" s="68">
        <f t="shared" si="241"/>
        <v>0</v>
      </c>
      <c r="FA417" s="65"/>
      <c r="FB417" s="65"/>
      <c r="FC417" s="70">
        <f t="shared" si="240"/>
        <v>0</v>
      </c>
      <c r="FD417" s="65"/>
      <c r="FE417" s="71">
        <f t="shared" si="265"/>
        <v>0</v>
      </c>
      <c r="FF417" s="72">
        <f t="shared" si="266"/>
        <v>0</v>
      </c>
      <c r="FG417" s="65"/>
      <c r="FH417" s="65"/>
      <c r="FI417" s="65"/>
      <c r="FJ417" s="56">
        <f t="shared" si="267"/>
        <v>0</v>
      </c>
      <c r="FK417" s="65"/>
      <c r="FL417" s="65"/>
      <c r="FM417" s="65"/>
      <c r="FN417" s="65"/>
      <c r="FO417" s="67">
        <f t="shared" si="268"/>
        <v>0</v>
      </c>
      <c r="FP417" s="57"/>
      <c r="FQ417" s="73"/>
      <c r="FR417" s="73"/>
      <c r="FS417" s="71">
        <f t="shared" si="269"/>
        <v>0</v>
      </c>
      <c r="FT417" s="91"/>
      <c r="FU417" s="91"/>
      <c r="FV417" s="67">
        <f>SUM(Tableau1[[#This Row],[Droits d''auteurs SACEM + cotisations SACEM]:[Autres ou non préciés]])</f>
        <v>0</v>
      </c>
      <c r="FW417" s="75">
        <f t="shared" si="270"/>
        <v>0</v>
      </c>
      <c r="FX417" s="74">
        <v>0</v>
      </c>
      <c r="FY417" s="74"/>
      <c r="FZ417" s="74"/>
      <c r="GA417" s="74"/>
      <c r="GB417" s="71">
        <f t="shared" si="271"/>
        <v>0</v>
      </c>
      <c r="GC417" s="92"/>
      <c r="GD417" s="92"/>
      <c r="GE417" s="67">
        <f t="shared" si="272"/>
        <v>0</v>
      </c>
      <c r="GF417" s="66"/>
      <c r="GG417" s="66"/>
      <c r="GH417" s="66"/>
      <c r="GI417" s="66"/>
      <c r="GJ417" s="77"/>
    </row>
    <row r="418" spans="1:192" ht="18.600000000000001" customHeight="1" x14ac:dyDescent="0.25">
      <c r="A418" s="89"/>
      <c r="B418" s="17"/>
      <c r="C418" s="50"/>
      <c r="D418" s="140"/>
      <c r="E418" s="51"/>
      <c r="F418" s="139">
        <f t="shared" si="237"/>
        <v>1</v>
      </c>
      <c r="G418" s="49"/>
      <c r="H418" s="50"/>
      <c r="I418" s="122"/>
      <c r="J418" s="49"/>
      <c r="K418" s="50"/>
      <c r="L418" s="50"/>
      <c r="M418" s="90"/>
      <c r="N418" s="50"/>
      <c r="O418" s="50"/>
      <c r="P418" s="90"/>
      <c r="Q418" s="52">
        <f t="shared" si="242"/>
        <v>0</v>
      </c>
      <c r="R418" s="52">
        <f t="shared" si="243"/>
        <v>0</v>
      </c>
      <c r="S418" s="53">
        <f t="shared" si="244"/>
        <v>0</v>
      </c>
      <c r="T418" s="54">
        <f t="shared" si="245"/>
        <v>0</v>
      </c>
      <c r="U418" s="115">
        <f>SUM(Tableau1[[#This Row],[Vente confiserie]:[Vente boisson]])</f>
        <v>0</v>
      </c>
      <c r="V418" s="95"/>
      <c r="W418" s="95"/>
      <c r="X418" s="136">
        <f>SUM(Tableau1[[#This Row],[Vente lunette]:[Location lunette]])</f>
        <v>0</v>
      </c>
      <c r="Y418" s="95"/>
      <c r="Z418" s="95"/>
      <c r="AA418" s="95"/>
      <c r="AB418" s="95"/>
      <c r="AC418" s="56">
        <f t="shared" si="274"/>
        <v>0</v>
      </c>
      <c r="AD418" s="57"/>
      <c r="AE418" s="57"/>
      <c r="AF418" s="57"/>
      <c r="AG418" s="57"/>
      <c r="AH418" s="57"/>
      <c r="AI418" s="57"/>
      <c r="AJ418" s="118">
        <f>(Tableau1[[#This Row],[Recette guichet ]]*1.1275177)-Tableau1[[#This Row],[Recette guichet ]]</f>
        <v>0</v>
      </c>
      <c r="AK418" s="57"/>
      <c r="AL418" s="56">
        <f t="shared" si="275"/>
        <v>0</v>
      </c>
      <c r="AM418" s="58"/>
      <c r="AN418" s="58"/>
      <c r="AO418" s="58"/>
      <c r="AP418" s="115">
        <f t="shared" si="246"/>
        <v>0</v>
      </c>
      <c r="AQ418" s="69"/>
      <c r="AR418" s="69"/>
      <c r="AS418" s="69"/>
      <c r="AT418" s="69"/>
      <c r="AU418" s="59">
        <f t="shared" si="247"/>
        <v>0</v>
      </c>
      <c r="AV418" s="60">
        <f t="shared" si="248"/>
        <v>0</v>
      </c>
      <c r="AW418" s="58"/>
      <c r="AX418" s="58"/>
      <c r="AY418" s="58"/>
      <c r="AZ418" s="60">
        <f t="shared" si="238"/>
        <v>0</v>
      </c>
      <c r="BA418" s="58"/>
      <c r="BB418" s="58"/>
      <c r="BC418" s="58"/>
      <c r="BD418" s="60">
        <f>SUM(Tableau1[[#This Row],[ticket/carte/abonnement périmé]:[Autres ou non précisé 5]])</f>
        <v>0</v>
      </c>
      <c r="BE418" s="58"/>
      <c r="BF418" s="58"/>
      <c r="BG418" s="58"/>
      <c r="BH418" s="61">
        <f t="shared" si="249"/>
        <v>0</v>
      </c>
      <c r="BI418" s="120"/>
      <c r="BJ418" s="120"/>
      <c r="BK418" s="62">
        <f t="shared" si="250"/>
        <v>0</v>
      </c>
      <c r="BL418" s="120"/>
      <c r="BM418" s="120"/>
      <c r="BN418" s="120"/>
      <c r="BO418" s="120"/>
      <c r="BP418" s="120"/>
      <c r="BQ418" s="63"/>
      <c r="BR418" s="52">
        <f t="shared" si="251"/>
        <v>0</v>
      </c>
      <c r="BS418" s="52">
        <f t="shared" si="252"/>
        <v>0</v>
      </c>
      <c r="BT418" s="61">
        <f t="shared" si="253"/>
        <v>0</v>
      </c>
      <c r="BU418" s="64">
        <f t="shared" si="254"/>
        <v>0</v>
      </c>
      <c r="BV418" s="119">
        <f>SUM(Tableau1[[#This Row],[Achats confiserie]:[Achats boisson]])</f>
        <v>0</v>
      </c>
      <c r="BW418" s="58"/>
      <c r="BX418" s="69"/>
      <c r="BY418" s="58"/>
      <c r="BZ418" s="56">
        <f t="shared" si="255"/>
        <v>0</v>
      </c>
      <c r="CA418" s="66"/>
      <c r="CB418" s="66"/>
      <c r="CC418" s="56">
        <f t="shared" si="256"/>
        <v>0</v>
      </c>
      <c r="CD418" s="55"/>
      <c r="CE418" s="65"/>
      <c r="CF418" s="55"/>
      <c r="CG418" s="55"/>
      <c r="CH418" s="67">
        <f t="shared" si="257"/>
        <v>0</v>
      </c>
      <c r="CI418" s="68">
        <f t="shared" si="273"/>
        <v>0</v>
      </c>
      <c r="CJ418" s="55"/>
      <c r="CK418" s="55"/>
      <c r="CL418" s="55"/>
      <c r="CM418" s="55"/>
      <c r="CN418" s="55"/>
      <c r="CO418" s="68">
        <f t="shared" si="258"/>
        <v>0</v>
      </c>
      <c r="CP418" s="75">
        <f>SUM(Tableau1[[#This Row],[Fourniture eau]:[Energie (non précisé)]])</f>
        <v>0</v>
      </c>
      <c r="CQ418" s="55"/>
      <c r="CR418" s="55"/>
      <c r="CS418" s="55"/>
      <c r="CT418" s="55"/>
      <c r="CU418" s="55"/>
      <c r="CV418" s="55">
        <v>0</v>
      </c>
      <c r="CW418" s="55"/>
      <c r="CX418" s="68">
        <f>SUM(Tableau1[[#This Row],[Sous-traitance]:[Autres ou non précisé 12]])</f>
        <v>0</v>
      </c>
      <c r="CY418" s="65"/>
      <c r="CZ418" s="65"/>
      <c r="DA418" s="65"/>
      <c r="DB418" s="65"/>
      <c r="DC418" s="55"/>
      <c r="DD418" s="68">
        <f t="shared" si="239"/>
        <v>0</v>
      </c>
      <c r="DE418" s="55"/>
      <c r="DF418" s="65"/>
      <c r="DG418" s="65"/>
      <c r="DH418" s="65"/>
      <c r="DI418" s="68">
        <f>SUM(Tableau1[[#This Row],[Entretien et réparation matériel de projection]:[Autres ou non précisé 14]])</f>
        <v>0</v>
      </c>
      <c r="DJ418" s="58"/>
      <c r="DK418" s="58"/>
      <c r="DL418" s="69"/>
      <c r="DM418" s="68">
        <f t="shared" si="259"/>
        <v>0</v>
      </c>
      <c r="DN418" s="58"/>
      <c r="DO418" s="58"/>
      <c r="DP418" s="68">
        <f t="shared" si="260"/>
        <v>0</v>
      </c>
      <c r="DQ418" s="65"/>
      <c r="DR418" s="65"/>
      <c r="DS418" s="68">
        <f t="shared" si="261"/>
        <v>0</v>
      </c>
      <c r="DT418" s="65"/>
      <c r="DU418" s="65"/>
      <c r="DV418" s="65"/>
      <c r="DW418" s="68">
        <f>SUM(Tableau1[[#This Row],[Comission et courtage sur achats]:[Autres ou honoraires
 non précisé ]])</f>
        <v>0</v>
      </c>
      <c r="DX418" s="57"/>
      <c r="DY418" s="57"/>
      <c r="DZ418" s="65"/>
      <c r="EA418" s="65"/>
      <c r="EB418" s="65"/>
      <c r="EC418" s="68">
        <f t="shared" si="262"/>
        <v>0</v>
      </c>
      <c r="ED418" s="69"/>
      <c r="EE418" s="69"/>
      <c r="EF418" s="69"/>
      <c r="EG418" s="69"/>
      <c r="EH418" s="69"/>
      <c r="EI418" s="84">
        <f>SUM(Tableau1[[#This Row],[Transports sur films]:[autres ]])</f>
        <v>0</v>
      </c>
      <c r="EJ418" s="132">
        <v>0</v>
      </c>
      <c r="EK418" s="132"/>
      <c r="EL418" s="68">
        <f t="shared" si="263"/>
        <v>0</v>
      </c>
      <c r="EM418" s="65"/>
      <c r="EN418" s="65">
        <v>0</v>
      </c>
      <c r="EO418" s="65"/>
      <c r="EP418" s="65"/>
      <c r="EQ418" s="65"/>
      <c r="ER418" s="65"/>
      <c r="ES418" s="65"/>
      <c r="ET418" s="68">
        <f t="shared" si="264"/>
        <v>0</v>
      </c>
      <c r="EU418" s="65"/>
      <c r="EV418" s="65"/>
      <c r="EW418" s="65"/>
      <c r="EX418" s="65"/>
      <c r="EY418" s="65"/>
      <c r="EZ418" s="68">
        <f t="shared" si="241"/>
        <v>0</v>
      </c>
      <c r="FA418" s="65"/>
      <c r="FB418" s="65"/>
      <c r="FC418" s="70">
        <f t="shared" si="240"/>
        <v>0</v>
      </c>
      <c r="FD418" s="65"/>
      <c r="FE418" s="71">
        <f t="shared" si="265"/>
        <v>0</v>
      </c>
      <c r="FF418" s="72">
        <f t="shared" si="266"/>
        <v>0</v>
      </c>
      <c r="FG418" s="65"/>
      <c r="FH418" s="65"/>
      <c r="FI418" s="65"/>
      <c r="FJ418" s="56">
        <f t="shared" si="267"/>
        <v>0</v>
      </c>
      <c r="FK418" s="65"/>
      <c r="FL418" s="65"/>
      <c r="FM418" s="65"/>
      <c r="FN418" s="65"/>
      <c r="FO418" s="67">
        <f t="shared" si="268"/>
        <v>0</v>
      </c>
      <c r="FP418" s="57"/>
      <c r="FQ418" s="73"/>
      <c r="FR418" s="73"/>
      <c r="FS418" s="71">
        <f t="shared" si="269"/>
        <v>0</v>
      </c>
      <c r="FT418" s="91"/>
      <c r="FU418" s="91"/>
      <c r="FV418" s="67">
        <f>SUM(Tableau1[[#This Row],[Droits d''auteurs SACEM + cotisations SACEM]:[Autres ou non préciés]])</f>
        <v>0</v>
      </c>
      <c r="FW418" s="75">
        <f t="shared" si="270"/>
        <v>0</v>
      </c>
      <c r="FX418" s="74">
        <v>0</v>
      </c>
      <c r="FY418" s="74"/>
      <c r="FZ418" s="74"/>
      <c r="GA418" s="74"/>
      <c r="GB418" s="71">
        <f t="shared" si="271"/>
        <v>0</v>
      </c>
      <c r="GC418" s="92"/>
      <c r="GD418" s="92"/>
      <c r="GE418" s="67">
        <f t="shared" si="272"/>
        <v>0</v>
      </c>
      <c r="GF418" s="66"/>
      <c r="GG418" s="66"/>
      <c r="GH418" s="66"/>
      <c r="GI418" s="66"/>
      <c r="GJ418" s="77"/>
    </row>
    <row r="419" spans="1:192" ht="18.600000000000001" customHeight="1" x14ac:dyDescent="0.25">
      <c r="A419" s="89"/>
      <c r="B419" s="17"/>
      <c r="C419" s="50"/>
      <c r="D419" s="140"/>
      <c r="E419" s="51"/>
      <c r="F419" s="139">
        <f t="shared" si="237"/>
        <v>1</v>
      </c>
      <c r="G419" s="49"/>
      <c r="H419" s="50"/>
      <c r="I419" s="122"/>
      <c r="J419" s="49"/>
      <c r="K419" s="50"/>
      <c r="L419" s="50"/>
      <c r="M419" s="90"/>
      <c r="N419" s="50"/>
      <c r="O419" s="50"/>
      <c r="P419" s="90"/>
      <c r="Q419" s="52">
        <f t="shared" si="242"/>
        <v>0</v>
      </c>
      <c r="R419" s="52">
        <f t="shared" si="243"/>
        <v>0</v>
      </c>
      <c r="S419" s="53">
        <f t="shared" si="244"/>
        <v>0</v>
      </c>
      <c r="T419" s="54">
        <f t="shared" si="245"/>
        <v>0</v>
      </c>
      <c r="U419" s="115">
        <f>SUM(Tableau1[[#This Row],[Vente confiserie]:[Vente boisson]])</f>
        <v>0</v>
      </c>
      <c r="V419" s="95"/>
      <c r="W419" s="95"/>
      <c r="X419" s="136">
        <f>SUM(Tableau1[[#This Row],[Vente lunette]:[Location lunette]])</f>
        <v>0</v>
      </c>
      <c r="Y419" s="95"/>
      <c r="Z419" s="95"/>
      <c r="AA419" s="95"/>
      <c r="AB419" s="95"/>
      <c r="AC419" s="56">
        <f t="shared" si="274"/>
        <v>0</v>
      </c>
      <c r="AD419" s="57"/>
      <c r="AE419" s="57"/>
      <c r="AF419" s="57"/>
      <c r="AG419" s="57"/>
      <c r="AH419" s="57"/>
      <c r="AI419" s="57"/>
      <c r="AJ419" s="118">
        <f>(Tableau1[[#This Row],[Recette guichet ]]*1.1275177)-Tableau1[[#This Row],[Recette guichet ]]</f>
        <v>0</v>
      </c>
      <c r="AK419" s="57"/>
      <c r="AL419" s="56">
        <f t="shared" si="275"/>
        <v>0</v>
      </c>
      <c r="AM419" s="58"/>
      <c r="AN419" s="58"/>
      <c r="AO419" s="58"/>
      <c r="AP419" s="115">
        <f t="shared" si="246"/>
        <v>0</v>
      </c>
      <c r="AQ419" s="69"/>
      <c r="AR419" s="69"/>
      <c r="AS419" s="69"/>
      <c r="AT419" s="69"/>
      <c r="AU419" s="59">
        <f t="shared" si="247"/>
        <v>0</v>
      </c>
      <c r="AV419" s="60">
        <f t="shared" si="248"/>
        <v>0</v>
      </c>
      <c r="AW419" s="58"/>
      <c r="AX419" s="58"/>
      <c r="AY419" s="58"/>
      <c r="AZ419" s="60">
        <f t="shared" si="238"/>
        <v>0</v>
      </c>
      <c r="BA419" s="58"/>
      <c r="BB419" s="58"/>
      <c r="BC419" s="58"/>
      <c r="BD419" s="60">
        <f>SUM(Tableau1[[#This Row],[ticket/carte/abonnement périmé]:[Autres ou non précisé 5]])</f>
        <v>0</v>
      </c>
      <c r="BE419" s="58"/>
      <c r="BF419" s="58"/>
      <c r="BG419" s="58"/>
      <c r="BH419" s="61">
        <f t="shared" si="249"/>
        <v>0</v>
      </c>
      <c r="BI419" s="120"/>
      <c r="BJ419" s="120"/>
      <c r="BK419" s="62">
        <f t="shared" si="250"/>
        <v>0</v>
      </c>
      <c r="BL419" s="120"/>
      <c r="BM419" s="120"/>
      <c r="BN419" s="120"/>
      <c r="BO419" s="120"/>
      <c r="BP419" s="120"/>
      <c r="BQ419" s="63"/>
      <c r="BR419" s="52">
        <f t="shared" si="251"/>
        <v>0</v>
      </c>
      <c r="BS419" s="52">
        <f t="shared" si="252"/>
        <v>0</v>
      </c>
      <c r="BT419" s="61">
        <f t="shared" si="253"/>
        <v>0</v>
      </c>
      <c r="BU419" s="64">
        <f t="shared" si="254"/>
        <v>0</v>
      </c>
      <c r="BV419" s="119">
        <f>SUM(Tableau1[[#This Row],[Achats confiserie]:[Achats boisson]])</f>
        <v>0</v>
      </c>
      <c r="BW419" s="58"/>
      <c r="BX419" s="69"/>
      <c r="BY419" s="58"/>
      <c r="BZ419" s="56">
        <f t="shared" si="255"/>
        <v>0</v>
      </c>
      <c r="CA419" s="66"/>
      <c r="CB419" s="66"/>
      <c r="CC419" s="56">
        <f t="shared" si="256"/>
        <v>0</v>
      </c>
      <c r="CD419" s="55"/>
      <c r="CE419" s="65"/>
      <c r="CF419" s="55"/>
      <c r="CG419" s="55"/>
      <c r="CH419" s="67">
        <f t="shared" si="257"/>
        <v>0</v>
      </c>
      <c r="CI419" s="68">
        <f t="shared" si="273"/>
        <v>0</v>
      </c>
      <c r="CJ419" s="55"/>
      <c r="CK419" s="55"/>
      <c r="CL419" s="55"/>
      <c r="CM419" s="55"/>
      <c r="CN419" s="55"/>
      <c r="CO419" s="68">
        <f t="shared" si="258"/>
        <v>0</v>
      </c>
      <c r="CP419" s="75">
        <f>SUM(Tableau1[[#This Row],[Fourniture eau]:[Energie (non précisé)]])</f>
        <v>0</v>
      </c>
      <c r="CQ419" s="55"/>
      <c r="CR419" s="55"/>
      <c r="CS419" s="55"/>
      <c r="CT419" s="55"/>
      <c r="CU419" s="55"/>
      <c r="CV419" s="55">
        <v>0</v>
      </c>
      <c r="CW419" s="55"/>
      <c r="CX419" s="68">
        <f>SUM(Tableau1[[#This Row],[Sous-traitance]:[Autres ou non précisé 12]])</f>
        <v>0</v>
      </c>
      <c r="CY419" s="65"/>
      <c r="CZ419" s="65"/>
      <c r="DA419" s="65"/>
      <c r="DB419" s="65"/>
      <c r="DC419" s="55"/>
      <c r="DD419" s="68">
        <f t="shared" si="239"/>
        <v>0</v>
      </c>
      <c r="DE419" s="55"/>
      <c r="DF419" s="65"/>
      <c r="DG419" s="65"/>
      <c r="DH419" s="65"/>
      <c r="DI419" s="68">
        <f>SUM(Tableau1[[#This Row],[Entretien et réparation matériel de projection]:[Autres ou non précisé 14]])</f>
        <v>0</v>
      </c>
      <c r="DJ419" s="58"/>
      <c r="DK419" s="58"/>
      <c r="DL419" s="69"/>
      <c r="DM419" s="68">
        <f t="shared" si="259"/>
        <v>0</v>
      </c>
      <c r="DN419" s="58"/>
      <c r="DO419" s="58"/>
      <c r="DP419" s="68">
        <f t="shared" si="260"/>
        <v>0</v>
      </c>
      <c r="DQ419" s="65"/>
      <c r="DR419" s="65"/>
      <c r="DS419" s="68">
        <f t="shared" si="261"/>
        <v>0</v>
      </c>
      <c r="DT419" s="65"/>
      <c r="DU419" s="65"/>
      <c r="DV419" s="65"/>
      <c r="DW419" s="68">
        <f>SUM(Tableau1[[#This Row],[Comission et courtage sur achats]:[Autres ou honoraires
 non précisé ]])</f>
        <v>0</v>
      </c>
      <c r="DX419" s="57"/>
      <c r="DY419" s="57"/>
      <c r="DZ419" s="65"/>
      <c r="EA419" s="65"/>
      <c r="EB419" s="65"/>
      <c r="EC419" s="68">
        <f t="shared" si="262"/>
        <v>0</v>
      </c>
      <c r="ED419" s="69"/>
      <c r="EE419" s="69"/>
      <c r="EF419" s="69"/>
      <c r="EG419" s="69"/>
      <c r="EH419" s="69"/>
      <c r="EI419" s="84">
        <f>SUM(Tableau1[[#This Row],[Transports sur films]:[autres ]])</f>
        <v>0</v>
      </c>
      <c r="EJ419" s="132">
        <v>0</v>
      </c>
      <c r="EK419" s="132"/>
      <c r="EL419" s="68">
        <f t="shared" si="263"/>
        <v>0</v>
      </c>
      <c r="EM419" s="65"/>
      <c r="EN419" s="65">
        <v>0</v>
      </c>
      <c r="EO419" s="65"/>
      <c r="EP419" s="65"/>
      <c r="EQ419" s="65"/>
      <c r="ER419" s="65"/>
      <c r="ES419" s="65"/>
      <c r="ET419" s="68">
        <f t="shared" si="264"/>
        <v>0</v>
      </c>
      <c r="EU419" s="65"/>
      <c r="EV419" s="65"/>
      <c r="EW419" s="65"/>
      <c r="EX419" s="65"/>
      <c r="EY419" s="65"/>
      <c r="EZ419" s="68">
        <f t="shared" si="241"/>
        <v>0</v>
      </c>
      <c r="FA419" s="65"/>
      <c r="FB419" s="65"/>
      <c r="FC419" s="70">
        <f t="shared" si="240"/>
        <v>0</v>
      </c>
      <c r="FD419" s="65"/>
      <c r="FE419" s="71">
        <f t="shared" si="265"/>
        <v>0</v>
      </c>
      <c r="FF419" s="72">
        <f t="shared" si="266"/>
        <v>0</v>
      </c>
      <c r="FG419" s="65"/>
      <c r="FH419" s="65"/>
      <c r="FI419" s="65"/>
      <c r="FJ419" s="56">
        <f t="shared" si="267"/>
        <v>0</v>
      </c>
      <c r="FK419" s="65"/>
      <c r="FL419" s="65"/>
      <c r="FM419" s="65"/>
      <c r="FN419" s="65"/>
      <c r="FO419" s="67">
        <f t="shared" si="268"/>
        <v>0</v>
      </c>
      <c r="FP419" s="57"/>
      <c r="FQ419" s="73"/>
      <c r="FR419" s="73"/>
      <c r="FS419" s="71">
        <f t="shared" si="269"/>
        <v>0</v>
      </c>
      <c r="FT419" s="91"/>
      <c r="FU419" s="91"/>
      <c r="FV419" s="67">
        <f>SUM(Tableau1[[#This Row],[Droits d''auteurs SACEM + cotisations SACEM]:[Autres ou non préciés]])</f>
        <v>0</v>
      </c>
      <c r="FW419" s="75">
        <f t="shared" si="270"/>
        <v>0</v>
      </c>
      <c r="FX419" s="74">
        <v>0</v>
      </c>
      <c r="FY419" s="74"/>
      <c r="FZ419" s="74"/>
      <c r="GA419" s="74"/>
      <c r="GB419" s="71">
        <f t="shared" si="271"/>
        <v>0</v>
      </c>
      <c r="GC419" s="92"/>
      <c r="GD419" s="92"/>
      <c r="GE419" s="67">
        <f t="shared" si="272"/>
        <v>0</v>
      </c>
      <c r="GF419" s="66"/>
      <c r="GG419" s="66"/>
      <c r="GH419" s="66"/>
      <c r="GI419" s="66"/>
      <c r="GJ419" s="77"/>
    </row>
    <row r="420" spans="1:192" ht="18.600000000000001" customHeight="1" x14ac:dyDescent="0.25">
      <c r="A420" s="89"/>
      <c r="B420" s="17"/>
      <c r="C420" s="50"/>
      <c r="D420" s="140"/>
      <c r="E420" s="51"/>
      <c r="F420" s="139">
        <f t="shared" si="237"/>
        <v>1</v>
      </c>
      <c r="G420" s="49"/>
      <c r="H420" s="50"/>
      <c r="I420" s="122"/>
      <c r="J420" s="49"/>
      <c r="K420" s="50"/>
      <c r="L420" s="50"/>
      <c r="M420" s="90"/>
      <c r="N420" s="50"/>
      <c r="O420" s="50"/>
      <c r="P420" s="90"/>
      <c r="Q420" s="52">
        <f t="shared" si="242"/>
        <v>0</v>
      </c>
      <c r="R420" s="52">
        <f t="shared" si="243"/>
        <v>0</v>
      </c>
      <c r="S420" s="53">
        <f t="shared" si="244"/>
        <v>0</v>
      </c>
      <c r="T420" s="54">
        <f t="shared" si="245"/>
        <v>0</v>
      </c>
      <c r="U420" s="115">
        <f>SUM(Tableau1[[#This Row],[Vente confiserie]:[Vente boisson]])</f>
        <v>0</v>
      </c>
      <c r="V420" s="95"/>
      <c r="W420" s="95"/>
      <c r="X420" s="136">
        <f>SUM(Tableau1[[#This Row],[Vente lunette]:[Location lunette]])</f>
        <v>0</v>
      </c>
      <c r="Y420" s="95"/>
      <c r="Z420" s="95"/>
      <c r="AA420" s="95"/>
      <c r="AB420" s="95"/>
      <c r="AC420" s="56">
        <f t="shared" si="274"/>
        <v>0</v>
      </c>
      <c r="AD420" s="57"/>
      <c r="AE420" s="57"/>
      <c r="AF420" s="57"/>
      <c r="AG420" s="57"/>
      <c r="AH420" s="57"/>
      <c r="AI420" s="57"/>
      <c r="AJ420" s="118">
        <f>(Tableau1[[#This Row],[Recette guichet ]]*1.1275177)-Tableau1[[#This Row],[Recette guichet ]]</f>
        <v>0</v>
      </c>
      <c r="AK420" s="57"/>
      <c r="AL420" s="56">
        <f t="shared" si="275"/>
        <v>0</v>
      </c>
      <c r="AM420" s="58"/>
      <c r="AN420" s="58"/>
      <c r="AO420" s="58"/>
      <c r="AP420" s="115">
        <f t="shared" si="246"/>
        <v>0</v>
      </c>
      <c r="AQ420" s="69"/>
      <c r="AR420" s="69"/>
      <c r="AS420" s="69"/>
      <c r="AT420" s="69"/>
      <c r="AU420" s="59">
        <f t="shared" si="247"/>
        <v>0</v>
      </c>
      <c r="AV420" s="60">
        <f t="shared" si="248"/>
        <v>0</v>
      </c>
      <c r="AW420" s="58"/>
      <c r="AX420" s="58"/>
      <c r="AY420" s="58"/>
      <c r="AZ420" s="60">
        <f t="shared" si="238"/>
        <v>0</v>
      </c>
      <c r="BA420" s="58"/>
      <c r="BB420" s="58"/>
      <c r="BC420" s="58"/>
      <c r="BD420" s="60">
        <f>SUM(Tableau1[[#This Row],[ticket/carte/abonnement périmé]:[Autres ou non précisé 5]])</f>
        <v>0</v>
      </c>
      <c r="BE420" s="58"/>
      <c r="BF420" s="58"/>
      <c r="BG420" s="58"/>
      <c r="BH420" s="61">
        <f t="shared" si="249"/>
        <v>0</v>
      </c>
      <c r="BI420" s="120"/>
      <c r="BJ420" s="120"/>
      <c r="BK420" s="62">
        <f t="shared" si="250"/>
        <v>0</v>
      </c>
      <c r="BL420" s="120"/>
      <c r="BM420" s="120"/>
      <c r="BN420" s="120"/>
      <c r="BO420" s="120"/>
      <c r="BP420" s="120"/>
      <c r="BQ420" s="63"/>
      <c r="BR420" s="52">
        <f t="shared" si="251"/>
        <v>0</v>
      </c>
      <c r="BS420" s="52">
        <f t="shared" si="252"/>
        <v>0</v>
      </c>
      <c r="BT420" s="61">
        <f t="shared" si="253"/>
        <v>0</v>
      </c>
      <c r="BU420" s="64">
        <f t="shared" si="254"/>
        <v>0</v>
      </c>
      <c r="BV420" s="119">
        <f>SUM(Tableau1[[#This Row],[Achats confiserie]:[Achats boisson]])</f>
        <v>0</v>
      </c>
      <c r="BW420" s="58"/>
      <c r="BX420" s="69"/>
      <c r="BY420" s="58"/>
      <c r="BZ420" s="56">
        <f t="shared" si="255"/>
        <v>0</v>
      </c>
      <c r="CA420" s="66"/>
      <c r="CB420" s="66"/>
      <c r="CC420" s="56">
        <f t="shared" si="256"/>
        <v>0</v>
      </c>
      <c r="CD420" s="55"/>
      <c r="CE420" s="65"/>
      <c r="CF420" s="55"/>
      <c r="CG420" s="55"/>
      <c r="CH420" s="67">
        <f t="shared" si="257"/>
        <v>0</v>
      </c>
      <c r="CI420" s="68">
        <f t="shared" si="273"/>
        <v>0</v>
      </c>
      <c r="CJ420" s="55"/>
      <c r="CK420" s="55"/>
      <c r="CL420" s="55"/>
      <c r="CM420" s="55"/>
      <c r="CN420" s="55"/>
      <c r="CO420" s="68">
        <f t="shared" si="258"/>
        <v>0</v>
      </c>
      <c r="CP420" s="75">
        <f>SUM(Tableau1[[#This Row],[Fourniture eau]:[Energie (non précisé)]])</f>
        <v>0</v>
      </c>
      <c r="CQ420" s="55"/>
      <c r="CR420" s="55"/>
      <c r="CS420" s="55"/>
      <c r="CT420" s="55"/>
      <c r="CU420" s="55"/>
      <c r="CV420" s="55">
        <v>0</v>
      </c>
      <c r="CW420" s="55"/>
      <c r="CX420" s="68">
        <f>SUM(Tableau1[[#This Row],[Sous-traitance]:[Autres ou non précisé 12]])</f>
        <v>0</v>
      </c>
      <c r="CY420" s="65"/>
      <c r="CZ420" s="65"/>
      <c r="DA420" s="65"/>
      <c r="DB420" s="65"/>
      <c r="DC420" s="55"/>
      <c r="DD420" s="68">
        <f t="shared" si="239"/>
        <v>0</v>
      </c>
      <c r="DE420" s="55"/>
      <c r="DF420" s="65"/>
      <c r="DG420" s="65"/>
      <c r="DH420" s="65"/>
      <c r="DI420" s="68">
        <f>SUM(Tableau1[[#This Row],[Entretien et réparation matériel de projection]:[Autres ou non précisé 14]])</f>
        <v>0</v>
      </c>
      <c r="DJ420" s="58"/>
      <c r="DK420" s="58"/>
      <c r="DL420" s="69"/>
      <c r="DM420" s="68">
        <f t="shared" si="259"/>
        <v>0</v>
      </c>
      <c r="DN420" s="58"/>
      <c r="DO420" s="58"/>
      <c r="DP420" s="68">
        <f t="shared" si="260"/>
        <v>0</v>
      </c>
      <c r="DQ420" s="65"/>
      <c r="DR420" s="65"/>
      <c r="DS420" s="68">
        <f t="shared" si="261"/>
        <v>0</v>
      </c>
      <c r="DT420" s="65"/>
      <c r="DU420" s="65"/>
      <c r="DV420" s="65"/>
      <c r="DW420" s="68">
        <f>SUM(Tableau1[[#This Row],[Comission et courtage sur achats]:[Autres ou honoraires
 non précisé ]])</f>
        <v>0</v>
      </c>
      <c r="DX420" s="57"/>
      <c r="DY420" s="57"/>
      <c r="DZ420" s="65"/>
      <c r="EA420" s="65"/>
      <c r="EB420" s="65"/>
      <c r="EC420" s="68">
        <f t="shared" si="262"/>
        <v>0</v>
      </c>
      <c r="ED420" s="69"/>
      <c r="EE420" s="69"/>
      <c r="EF420" s="69"/>
      <c r="EG420" s="69"/>
      <c r="EH420" s="69"/>
      <c r="EI420" s="84">
        <f>SUM(Tableau1[[#This Row],[Transports sur films]:[autres ]])</f>
        <v>0</v>
      </c>
      <c r="EJ420" s="132">
        <v>0</v>
      </c>
      <c r="EK420" s="132"/>
      <c r="EL420" s="68">
        <f t="shared" si="263"/>
        <v>0</v>
      </c>
      <c r="EM420" s="65"/>
      <c r="EN420" s="65">
        <v>0</v>
      </c>
      <c r="EO420" s="65"/>
      <c r="EP420" s="65"/>
      <c r="EQ420" s="65"/>
      <c r="ER420" s="65"/>
      <c r="ES420" s="65"/>
      <c r="ET420" s="68">
        <f t="shared" si="264"/>
        <v>0</v>
      </c>
      <c r="EU420" s="65"/>
      <c r="EV420" s="65"/>
      <c r="EW420" s="65"/>
      <c r="EX420" s="65"/>
      <c r="EY420" s="65"/>
      <c r="EZ420" s="68">
        <f t="shared" si="241"/>
        <v>0</v>
      </c>
      <c r="FA420" s="65"/>
      <c r="FB420" s="65"/>
      <c r="FC420" s="70">
        <f t="shared" si="240"/>
        <v>0</v>
      </c>
      <c r="FD420" s="65"/>
      <c r="FE420" s="71">
        <f t="shared" si="265"/>
        <v>0</v>
      </c>
      <c r="FF420" s="72">
        <f t="shared" si="266"/>
        <v>0</v>
      </c>
      <c r="FG420" s="65"/>
      <c r="FH420" s="65"/>
      <c r="FI420" s="65"/>
      <c r="FJ420" s="56">
        <f t="shared" si="267"/>
        <v>0</v>
      </c>
      <c r="FK420" s="65"/>
      <c r="FL420" s="65"/>
      <c r="FM420" s="65"/>
      <c r="FN420" s="65"/>
      <c r="FO420" s="67">
        <f t="shared" si="268"/>
        <v>0</v>
      </c>
      <c r="FP420" s="57"/>
      <c r="FQ420" s="73"/>
      <c r="FR420" s="73"/>
      <c r="FS420" s="71">
        <f t="shared" si="269"/>
        <v>0</v>
      </c>
      <c r="FT420" s="91"/>
      <c r="FU420" s="91"/>
      <c r="FV420" s="67">
        <f>SUM(Tableau1[[#This Row],[Droits d''auteurs SACEM + cotisations SACEM]:[Autres ou non préciés]])</f>
        <v>0</v>
      </c>
      <c r="FW420" s="75">
        <f t="shared" si="270"/>
        <v>0</v>
      </c>
      <c r="FX420" s="74">
        <v>0</v>
      </c>
      <c r="FY420" s="74"/>
      <c r="FZ420" s="74"/>
      <c r="GA420" s="74"/>
      <c r="GB420" s="71">
        <f t="shared" si="271"/>
        <v>0</v>
      </c>
      <c r="GC420" s="92"/>
      <c r="GD420" s="92"/>
      <c r="GE420" s="67">
        <f t="shared" si="272"/>
        <v>0</v>
      </c>
      <c r="GF420" s="66"/>
      <c r="GG420" s="66"/>
      <c r="GH420" s="66"/>
      <c r="GI420" s="66"/>
      <c r="GJ420" s="77"/>
    </row>
    <row r="421" spans="1:192" ht="18.600000000000001" customHeight="1" x14ac:dyDescent="0.25">
      <c r="A421" s="89"/>
      <c r="B421" s="17"/>
      <c r="C421" s="50"/>
      <c r="D421" s="140"/>
      <c r="E421" s="51"/>
      <c r="F421" s="139">
        <f t="shared" si="237"/>
        <v>1</v>
      </c>
      <c r="G421" s="49"/>
      <c r="H421" s="50"/>
      <c r="I421" s="122"/>
      <c r="J421" s="49"/>
      <c r="K421" s="50"/>
      <c r="L421" s="50"/>
      <c r="M421" s="90"/>
      <c r="N421" s="50"/>
      <c r="O421" s="50"/>
      <c r="P421" s="90"/>
      <c r="Q421" s="52">
        <f t="shared" si="242"/>
        <v>0</v>
      </c>
      <c r="R421" s="52">
        <f t="shared" si="243"/>
        <v>0</v>
      </c>
      <c r="S421" s="53">
        <f t="shared" si="244"/>
        <v>0</v>
      </c>
      <c r="T421" s="54">
        <f t="shared" si="245"/>
        <v>0</v>
      </c>
      <c r="U421" s="115">
        <f>SUM(Tableau1[[#This Row],[Vente confiserie]:[Vente boisson]])</f>
        <v>0</v>
      </c>
      <c r="V421" s="95"/>
      <c r="W421" s="95"/>
      <c r="X421" s="136">
        <f>SUM(Tableau1[[#This Row],[Vente lunette]:[Location lunette]])</f>
        <v>0</v>
      </c>
      <c r="Y421" s="95"/>
      <c r="Z421" s="95"/>
      <c r="AA421" s="95"/>
      <c r="AB421" s="95"/>
      <c r="AC421" s="56">
        <f t="shared" si="274"/>
        <v>0</v>
      </c>
      <c r="AD421" s="57"/>
      <c r="AE421" s="57"/>
      <c r="AF421" s="57"/>
      <c r="AG421" s="57"/>
      <c r="AH421" s="57"/>
      <c r="AI421" s="57"/>
      <c r="AJ421" s="118">
        <f>(Tableau1[[#This Row],[Recette guichet ]]*1.1275177)-Tableau1[[#This Row],[Recette guichet ]]</f>
        <v>0</v>
      </c>
      <c r="AK421" s="57"/>
      <c r="AL421" s="56">
        <f t="shared" si="275"/>
        <v>0</v>
      </c>
      <c r="AM421" s="58"/>
      <c r="AN421" s="58"/>
      <c r="AO421" s="58"/>
      <c r="AP421" s="115">
        <f t="shared" si="246"/>
        <v>0</v>
      </c>
      <c r="AQ421" s="69"/>
      <c r="AR421" s="69"/>
      <c r="AS421" s="69"/>
      <c r="AT421" s="69"/>
      <c r="AU421" s="59">
        <f t="shared" si="247"/>
        <v>0</v>
      </c>
      <c r="AV421" s="60">
        <f t="shared" si="248"/>
        <v>0</v>
      </c>
      <c r="AW421" s="58"/>
      <c r="AX421" s="58"/>
      <c r="AY421" s="58"/>
      <c r="AZ421" s="60">
        <f t="shared" si="238"/>
        <v>0</v>
      </c>
      <c r="BA421" s="58"/>
      <c r="BB421" s="58"/>
      <c r="BC421" s="58"/>
      <c r="BD421" s="60">
        <f>SUM(Tableau1[[#This Row],[ticket/carte/abonnement périmé]:[Autres ou non précisé 5]])</f>
        <v>0</v>
      </c>
      <c r="BE421" s="58"/>
      <c r="BF421" s="58"/>
      <c r="BG421" s="58"/>
      <c r="BH421" s="61">
        <f t="shared" si="249"/>
        <v>0</v>
      </c>
      <c r="BI421" s="120"/>
      <c r="BJ421" s="120"/>
      <c r="BK421" s="62">
        <f t="shared" si="250"/>
        <v>0</v>
      </c>
      <c r="BL421" s="120"/>
      <c r="BM421" s="120"/>
      <c r="BN421" s="120"/>
      <c r="BO421" s="120"/>
      <c r="BP421" s="120"/>
      <c r="BQ421" s="63"/>
      <c r="BR421" s="52">
        <f t="shared" si="251"/>
        <v>0</v>
      </c>
      <c r="BS421" s="52">
        <f t="shared" si="252"/>
        <v>0</v>
      </c>
      <c r="BT421" s="61">
        <f t="shared" si="253"/>
        <v>0</v>
      </c>
      <c r="BU421" s="64">
        <f t="shared" si="254"/>
        <v>0</v>
      </c>
      <c r="BV421" s="119">
        <f>SUM(Tableau1[[#This Row],[Achats confiserie]:[Achats boisson]])</f>
        <v>0</v>
      </c>
      <c r="BW421" s="58"/>
      <c r="BX421" s="69"/>
      <c r="BY421" s="58"/>
      <c r="BZ421" s="56">
        <f t="shared" si="255"/>
        <v>0</v>
      </c>
      <c r="CA421" s="66"/>
      <c r="CB421" s="66"/>
      <c r="CC421" s="56">
        <f t="shared" si="256"/>
        <v>0</v>
      </c>
      <c r="CD421" s="55"/>
      <c r="CE421" s="65"/>
      <c r="CF421" s="55"/>
      <c r="CG421" s="55"/>
      <c r="CH421" s="67">
        <f t="shared" si="257"/>
        <v>0</v>
      </c>
      <c r="CI421" s="68">
        <f t="shared" si="273"/>
        <v>0</v>
      </c>
      <c r="CJ421" s="55"/>
      <c r="CK421" s="55"/>
      <c r="CL421" s="55"/>
      <c r="CM421" s="55"/>
      <c r="CN421" s="55"/>
      <c r="CO421" s="68">
        <f t="shared" si="258"/>
        <v>0</v>
      </c>
      <c r="CP421" s="75">
        <f>SUM(Tableau1[[#This Row],[Fourniture eau]:[Energie (non précisé)]])</f>
        <v>0</v>
      </c>
      <c r="CQ421" s="55"/>
      <c r="CR421" s="55"/>
      <c r="CS421" s="55"/>
      <c r="CT421" s="55"/>
      <c r="CU421" s="55"/>
      <c r="CV421" s="55">
        <v>0</v>
      </c>
      <c r="CW421" s="55"/>
      <c r="CX421" s="68">
        <f>SUM(Tableau1[[#This Row],[Sous-traitance]:[Autres ou non précisé 12]])</f>
        <v>0</v>
      </c>
      <c r="CY421" s="65"/>
      <c r="CZ421" s="65"/>
      <c r="DA421" s="65"/>
      <c r="DB421" s="65"/>
      <c r="DC421" s="55"/>
      <c r="DD421" s="68">
        <f t="shared" si="239"/>
        <v>0</v>
      </c>
      <c r="DE421" s="55"/>
      <c r="DF421" s="65"/>
      <c r="DG421" s="65"/>
      <c r="DH421" s="65"/>
      <c r="DI421" s="68">
        <f>SUM(Tableau1[[#This Row],[Entretien et réparation matériel de projection]:[Autres ou non précisé 14]])</f>
        <v>0</v>
      </c>
      <c r="DJ421" s="58"/>
      <c r="DK421" s="58"/>
      <c r="DL421" s="69"/>
      <c r="DM421" s="68">
        <f t="shared" si="259"/>
        <v>0</v>
      </c>
      <c r="DN421" s="58"/>
      <c r="DO421" s="58"/>
      <c r="DP421" s="68">
        <f t="shared" si="260"/>
        <v>0</v>
      </c>
      <c r="DQ421" s="65"/>
      <c r="DR421" s="65"/>
      <c r="DS421" s="68">
        <f t="shared" si="261"/>
        <v>0</v>
      </c>
      <c r="DT421" s="65"/>
      <c r="DU421" s="65"/>
      <c r="DV421" s="65"/>
      <c r="DW421" s="68">
        <f>SUM(Tableau1[[#This Row],[Comission et courtage sur achats]:[Autres ou honoraires
 non précisé ]])</f>
        <v>0</v>
      </c>
      <c r="DX421" s="57"/>
      <c r="DY421" s="57"/>
      <c r="DZ421" s="65"/>
      <c r="EA421" s="65"/>
      <c r="EB421" s="65"/>
      <c r="EC421" s="68">
        <f t="shared" si="262"/>
        <v>0</v>
      </c>
      <c r="ED421" s="69"/>
      <c r="EE421" s="69"/>
      <c r="EF421" s="69"/>
      <c r="EG421" s="69"/>
      <c r="EH421" s="69"/>
      <c r="EI421" s="84">
        <f>SUM(Tableau1[[#This Row],[Transports sur films]:[autres ]])</f>
        <v>0</v>
      </c>
      <c r="EJ421" s="132">
        <v>0</v>
      </c>
      <c r="EK421" s="132"/>
      <c r="EL421" s="68">
        <f t="shared" si="263"/>
        <v>0</v>
      </c>
      <c r="EM421" s="65"/>
      <c r="EN421" s="65">
        <v>0</v>
      </c>
      <c r="EO421" s="65"/>
      <c r="EP421" s="65"/>
      <c r="EQ421" s="65"/>
      <c r="ER421" s="65"/>
      <c r="ES421" s="65"/>
      <c r="ET421" s="68">
        <f t="shared" si="264"/>
        <v>0</v>
      </c>
      <c r="EU421" s="65"/>
      <c r="EV421" s="65"/>
      <c r="EW421" s="65"/>
      <c r="EX421" s="65"/>
      <c r="EY421" s="65"/>
      <c r="EZ421" s="68">
        <f t="shared" si="241"/>
        <v>0</v>
      </c>
      <c r="FA421" s="65"/>
      <c r="FB421" s="65"/>
      <c r="FC421" s="70">
        <f t="shared" si="240"/>
        <v>0</v>
      </c>
      <c r="FD421" s="65"/>
      <c r="FE421" s="71">
        <f t="shared" si="265"/>
        <v>0</v>
      </c>
      <c r="FF421" s="72">
        <f t="shared" si="266"/>
        <v>0</v>
      </c>
      <c r="FG421" s="65"/>
      <c r="FH421" s="65"/>
      <c r="FI421" s="65"/>
      <c r="FJ421" s="56">
        <f t="shared" si="267"/>
        <v>0</v>
      </c>
      <c r="FK421" s="65"/>
      <c r="FL421" s="65"/>
      <c r="FM421" s="65"/>
      <c r="FN421" s="65"/>
      <c r="FO421" s="67">
        <f t="shared" si="268"/>
        <v>0</v>
      </c>
      <c r="FP421" s="57"/>
      <c r="FQ421" s="73"/>
      <c r="FR421" s="73"/>
      <c r="FS421" s="71">
        <f t="shared" si="269"/>
        <v>0</v>
      </c>
      <c r="FT421" s="91"/>
      <c r="FU421" s="91"/>
      <c r="FV421" s="67">
        <f>SUM(Tableau1[[#This Row],[Droits d''auteurs SACEM + cotisations SACEM]:[Autres ou non préciés]])</f>
        <v>0</v>
      </c>
      <c r="FW421" s="75">
        <f t="shared" si="270"/>
        <v>0</v>
      </c>
      <c r="FX421" s="74">
        <v>0</v>
      </c>
      <c r="FY421" s="74"/>
      <c r="FZ421" s="74"/>
      <c r="GA421" s="74"/>
      <c r="GB421" s="71">
        <f t="shared" si="271"/>
        <v>0</v>
      </c>
      <c r="GC421" s="92"/>
      <c r="GD421" s="92"/>
      <c r="GE421" s="67">
        <f t="shared" si="272"/>
        <v>0</v>
      </c>
      <c r="GF421" s="66"/>
      <c r="GG421" s="66"/>
      <c r="GH421" s="66"/>
      <c r="GI421" s="66"/>
      <c r="GJ421" s="77"/>
    </row>
    <row r="422" spans="1:192" ht="18.600000000000001" customHeight="1" x14ac:dyDescent="0.25">
      <c r="A422" s="89"/>
      <c r="B422" s="17"/>
      <c r="C422" s="50"/>
      <c r="D422" s="140"/>
      <c r="E422" s="51"/>
      <c r="F422" s="139">
        <f t="shared" si="237"/>
        <v>1</v>
      </c>
      <c r="G422" s="49"/>
      <c r="H422" s="50"/>
      <c r="I422" s="122"/>
      <c r="J422" s="49"/>
      <c r="K422" s="50"/>
      <c r="L422" s="50"/>
      <c r="M422" s="90"/>
      <c r="N422" s="50"/>
      <c r="O422" s="50"/>
      <c r="P422" s="90"/>
      <c r="Q422" s="52">
        <f t="shared" si="242"/>
        <v>0</v>
      </c>
      <c r="R422" s="52">
        <f t="shared" si="243"/>
        <v>0</v>
      </c>
      <c r="S422" s="53">
        <f t="shared" si="244"/>
        <v>0</v>
      </c>
      <c r="T422" s="54">
        <f t="shared" si="245"/>
        <v>0</v>
      </c>
      <c r="U422" s="115">
        <f>SUM(Tableau1[[#This Row],[Vente confiserie]:[Vente boisson]])</f>
        <v>0</v>
      </c>
      <c r="V422" s="95"/>
      <c r="W422" s="95"/>
      <c r="X422" s="136">
        <f>SUM(Tableau1[[#This Row],[Vente lunette]:[Location lunette]])</f>
        <v>0</v>
      </c>
      <c r="Y422" s="95"/>
      <c r="Z422" s="95"/>
      <c r="AA422" s="95"/>
      <c r="AB422" s="95"/>
      <c r="AC422" s="56">
        <f t="shared" si="274"/>
        <v>0</v>
      </c>
      <c r="AD422" s="57"/>
      <c r="AE422" s="57"/>
      <c r="AF422" s="57"/>
      <c r="AG422" s="57"/>
      <c r="AH422" s="57"/>
      <c r="AI422" s="57"/>
      <c r="AJ422" s="118">
        <f>(Tableau1[[#This Row],[Recette guichet ]]*1.1275177)-Tableau1[[#This Row],[Recette guichet ]]</f>
        <v>0</v>
      </c>
      <c r="AK422" s="57"/>
      <c r="AL422" s="56">
        <f t="shared" si="275"/>
        <v>0</v>
      </c>
      <c r="AM422" s="58"/>
      <c r="AN422" s="58"/>
      <c r="AO422" s="58"/>
      <c r="AP422" s="115">
        <f t="shared" si="246"/>
        <v>0</v>
      </c>
      <c r="AQ422" s="69"/>
      <c r="AR422" s="69"/>
      <c r="AS422" s="69"/>
      <c r="AT422" s="69"/>
      <c r="AU422" s="59">
        <f t="shared" si="247"/>
        <v>0</v>
      </c>
      <c r="AV422" s="60">
        <f t="shared" si="248"/>
        <v>0</v>
      </c>
      <c r="AW422" s="58"/>
      <c r="AX422" s="58"/>
      <c r="AY422" s="58"/>
      <c r="AZ422" s="60">
        <f t="shared" si="238"/>
        <v>0</v>
      </c>
      <c r="BA422" s="58"/>
      <c r="BB422" s="58"/>
      <c r="BC422" s="58"/>
      <c r="BD422" s="60">
        <f>SUM(Tableau1[[#This Row],[ticket/carte/abonnement périmé]:[Autres ou non précisé 5]])</f>
        <v>0</v>
      </c>
      <c r="BE422" s="58"/>
      <c r="BF422" s="58"/>
      <c r="BG422" s="58"/>
      <c r="BH422" s="61">
        <f t="shared" si="249"/>
        <v>0</v>
      </c>
      <c r="BI422" s="120"/>
      <c r="BJ422" s="120"/>
      <c r="BK422" s="62">
        <f t="shared" si="250"/>
        <v>0</v>
      </c>
      <c r="BL422" s="120"/>
      <c r="BM422" s="120"/>
      <c r="BN422" s="120"/>
      <c r="BO422" s="120"/>
      <c r="BP422" s="120"/>
      <c r="BQ422" s="63"/>
      <c r="BR422" s="52">
        <f t="shared" si="251"/>
        <v>0</v>
      </c>
      <c r="BS422" s="52">
        <f t="shared" si="252"/>
        <v>0</v>
      </c>
      <c r="BT422" s="61">
        <f t="shared" si="253"/>
        <v>0</v>
      </c>
      <c r="BU422" s="64">
        <f t="shared" si="254"/>
        <v>0</v>
      </c>
      <c r="BV422" s="119">
        <f>SUM(Tableau1[[#This Row],[Achats confiserie]:[Achats boisson]])</f>
        <v>0</v>
      </c>
      <c r="BW422" s="58"/>
      <c r="BX422" s="69"/>
      <c r="BY422" s="58"/>
      <c r="BZ422" s="56">
        <f t="shared" si="255"/>
        <v>0</v>
      </c>
      <c r="CA422" s="66"/>
      <c r="CB422" s="66"/>
      <c r="CC422" s="56">
        <f t="shared" si="256"/>
        <v>0</v>
      </c>
      <c r="CD422" s="55"/>
      <c r="CE422" s="65"/>
      <c r="CF422" s="55"/>
      <c r="CG422" s="55"/>
      <c r="CH422" s="67">
        <f t="shared" si="257"/>
        <v>0</v>
      </c>
      <c r="CI422" s="68">
        <f t="shared" si="273"/>
        <v>0</v>
      </c>
      <c r="CJ422" s="55"/>
      <c r="CK422" s="55"/>
      <c r="CL422" s="55"/>
      <c r="CM422" s="55"/>
      <c r="CN422" s="55"/>
      <c r="CO422" s="68">
        <f t="shared" si="258"/>
        <v>0</v>
      </c>
      <c r="CP422" s="75">
        <f>SUM(Tableau1[[#This Row],[Fourniture eau]:[Energie (non précisé)]])</f>
        <v>0</v>
      </c>
      <c r="CQ422" s="55"/>
      <c r="CR422" s="55"/>
      <c r="CS422" s="55"/>
      <c r="CT422" s="55"/>
      <c r="CU422" s="55"/>
      <c r="CV422" s="55">
        <v>0</v>
      </c>
      <c r="CW422" s="55"/>
      <c r="CX422" s="68">
        <f>SUM(Tableau1[[#This Row],[Sous-traitance]:[Autres ou non précisé 12]])</f>
        <v>0</v>
      </c>
      <c r="CY422" s="65"/>
      <c r="CZ422" s="65"/>
      <c r="DA422" s="65"/>
      <c r="DB422" s="65"/>
      <c r="DC422" s="55"/>
      <c r="DD422" s="68">
        <f t="shared" si="239"/>
        <v>0</v>
      </c>
      <c r="DE422" s="55"/>
      <c r="DF422" s="65"/>
      <c r="DG422" s="65"/>
      <c r="DH422" s="65"/>
      <c r="DI422" s="68">
        <f>SUM(Tableau1[[#This Row],[Entretien et réparation matériel de projection]:[Autres ou non précisé 14]])</f>
        <v>0</v>
      </c>
      <c r="DJ422" s="58"/>
      <c r="DK422" s="58"/>
      <c r="DL422" s="69"/>
      <c r="DM422" s="68">
        <f t="shared" si="259"/>
        <v>0</v>
      </c>
      <c r="DN422" s="58"/>
      <c r="DO422" s="58"/>
      <c r="DP422" s="68">
        <f t="shared" si="260"/>
        <v>0</v>
      </c>
      <c r="DQ422" s="65"/>
      <c r="DR422" s="65"/>
      <c r="DS422" s="68">
        <f t="shared" si="261"/>
        <v>0</v>
      </c>
      <c r="DT422" s="65"/>
      <c r="DU422" s="65"/>
      <c r="DV422" s="65"/>
      <c r="DW422" s="68">
        <f>SUM(Tableau1[[#This Row],[Comission et courtage sur achats]:[Autres ou honoraires
 non précisé ]])</f>
        <v>0</v>
      </c>
      <c r="DX422" s="57"/>
      <c r="DY422" s="57"/>
      <c r="DZ422" s="65"/>
      <c r="EA422" s="65"/>
      <c r="EB422" s="65"/>
      <c r="EC422" s="68">
        <f t="shared" si="262"/>
        <v>0</v>
      </c>
      <c r="ED422" s="69"/>
      <c r="EE422" s="69"/>
      <c r="EF422" s="69"/>
      <c r="EG422" s="69"/>
      <c r="EH422" s="69"/>
      <c r="EI422" s="84">
        <f>SUM(Tableau1[[#This Row],[Transports sur films]:[autres ]])</f>
        <v>0</v>
      </c>
      <c r="EJ422" s="132">
        <v>0</v>
      </c>
      <c r="EK422" s="132"/>
      <c r="EL422" s="68">
        <f t="shared" si="263"/>
        <v>0</v>
      </c>
      <c r="EM422" s="65"/>
      <c r="EN422" s="65">
        <v>0</v>
      </c>
      <c r="EO422" s="65"/>
      <c r="EP422" s="65"/>
      <c r="EQ422" s="65"/>
      <c r="ER422" s="65"/>
      <c r="ES422" s="65"/>
      <c r="ET422" s="68">
        <f t="shared" si="264"/>
        <v>0</v>
      </c>
      <c r="EU422" s="65"/>
      <c r="EV422" s="65"/>
      <c r="EW422" s="65"/>
      <c r="EX422" s="65"/>
      <c r="EY422" s="65"/>
      <c r="EZ422" s="68">
        <f t="shared" si="241"/>
        <v>0</v>
      </c>
      <c r="FA422" s="65"/>
      <c r="FB422" s="65"/>
      <c r="FC422" s="70">
        <f t="shared" si="240"/>
        <v>0</v>
      </c>
      <c r="FD422" s="65"/>
      <c r="FE422" s="71">
        <f t="shared" si="265"/>
        <v>0</v>
      </c>
      <c r="FF422" s="72">
        <f t="shared" si="266"/>
        <v>0</v>
      </c>
      <c r="FG422" s="65"/>
      <c r="FH422" s="65"/>
      <c r="FI422" s="65"/>
      <c r="FJ422" s="56">
        <f t="shared" si="267"/>
        <v>0</v>
      </c>
      <c r="FK422" s="65"/>
      <c r="FL422" s="65"/>
      <c r="FM422" s="65"/>
      <c r="FN422" s="65"/>
      <c r="FO422" s="67">
        <f t="shared" si="268"/>
        <v>0</v>
      </c>
      <c r="FP422" s="57"/>
      <c r="FQ422" s="73"/>
      <c r="FR422" s="73"/>
      <c r="FS422" s="71">
        <f t="shared" si="269"/>
        <v>0</v>
      </c>
      <c r="FT422" s="91"/>
      <c r="FU422" s="91"/>
      <c r="FV422" s="67">
        <f>SUM(Tableau1[[#This Row],[Droits d''auteurs SACEM + cotisations SACEM]:[Autres ou non préciés]])</f>
        <v>0</v>
      </c>
      <c r="FW422" s="75">
        <f t="shared" si="270"/>
        <v>0</v>
      </c>
      <c r="FX422" s="74">
        <v>0</v>
      </c>
      <c r="FY422" s="74"/>
      <c r="FZ422" s="74"/>
      <c r="GA422" s="74"/>
      <c r="GB422" s="71">
        <f t="shared" si="271"/>
        <v>0</v>
      </c>
      <c r="GC422" s="92"/>
      <c r="GD422" s="92"/>
      <c r="GE422" s="67">
        <f t="shared" si="272"/>
        <v>0</v>
      </c>
      <c r="GF422" s="66"/>
      <c r="GG422" s="66"/>
      <c r="GH422" s="66"/>
      <c r="GI422" s="66"/>
      <c r="GJ422" s="77"/>
    </row>
    <row r="423" spans="1:192" ht="18.600000000000001" customHeight="1" x14ac:dyDescent="0.25">
      <c r="A423" s="89"/>
      <c r="B423" s="17"/>
      <c r="C423" s="50"/>
      <c r="D423" s="140"/>
      <c r="E423" s="51"/>
      <c r="F423" s="139">
        <f t="shared" si="237"/>
        <v>1</v>
      </c>
      <c r="G423" s="49"/>
      <c r="H423" s="50"/>
      <c r="I423" s="122"/>
      <c r="J423" s="49"/>
      <c r="K423" s="50"/>
      <c r="L423" s="50"/>
      <c r="M423" s="90"/>
      <c r="N423" s="50"/>
      <c r="O423" s="50"/>
      <c r="P423" s="90"/>
      <c r="Q423" s="52">
        <f t="shared" si="242"/>
        <v>0</v>
      </c>
      <c r="R423" s="52">
        <f t="shared" si="243"/>
        <v>0</v>
      </c>
      <c r="S423" s="53">
        <f t="shared" si="244"/>
        <v>0</v>
      </c>
      <c r="T423" s="54">
        <f t="shared" si="245"/>
        <v>0</v>
      </c>
      <c r="U423" s="115">
        <f>SUM(Tableau1[[#This Row],[Vente confiserie]:[Vente boisson]])</f>
        <v>0</v>
      </c>
      <c r="V423" s="95"/>
      <c r="W423" s="95"/>
      <c r="X423" s="136">
        <f>SUM(Tableau1[[#This Row],[Vente lunette]:[Location lunette]])</f>
        <v>0</v>
      </c>
      <c r="Y423" s="95"/>
      <c r="Z423" s="95"/>
      <c r="AA423" s="95"/>
      <c r="AB423" s="95"/>
      <c r="AC423" s="56">
        <f t="shared" si="274"/>
        <v>0</v>
      </c>
      <c r="AD423" s="57"/>
      <c r="AE423" s="57"/>
      <c r="AF423" s="57"/>
      <c r="AG423" s="57"/>
      <c r="AH423" s="57"/>
      <c r="AI423" s="57"/>
      <c r="AJ423" s="118">
        <f>(Tableau1[[#This Row],[Recette guichet ]]*1.1275177)-Tableau1[[#This Row],[Recette guichet ]]</f>
        <v>0</v>
      </c>
      <c r="AK423" s="57"/>
      <c r="AL423" s="56">
        <f t="shared" si="275"/>
        <v>0</v>
      </c>
      <c r="AM423" s="58"/>
      <c r="AN423" s="58"/>
      <c r="AO423" s="58"/>
      <c r="AP423" s="115">
        <f t="shared" si="246"/>
        <v>0</v>
      </c>
      <c r="AQ423" s="69"/>
      <c r="AR423" s="69"/>
      <c r="AS423" s="69"/>
      <c r="AT423" s="69"/>
      <c r="AU423" s="59">
        <f t="shared" si="247"/>
        <v>0</v>
      </c>
      <c r="AV423" s="60">
        <f t="shared" si="248"/>
        <v>0</v>
      </c>
      <c r="AW423" s="58"/>
      <c r="AX423" s="58"/>
      <c r="AY423" s="58"/>
      <c r="AZ423" s="60">
        <f t="shared" si="238"/>
        <v>0</v>
      </c>
      <c r="BA423" s="58"/>
      <c r="BB423" s="58"/>
      <c r="BC423" s="58"/>
      <c r="BD423" s="60">
        <f>SUM(Tableau1[[#This Row],[ticket/carte/abonnement périmé]:[Autres ou non précisé 5]])</f>
        <v>0</v>
      </c>
      <c r="BE423" s="58"/>
      <c r="BF423" s="58"/>
      <c r="BG423" s="58"/>
      <c r="BH423" s="61">
        <f t="shared" si="249"/>
        <v>0</v>
      </c>
      <c r="BI423" s="120"/>
      <c r="BJ423" s="120"/>
      <c r="BK423" s="62">
        <f t="shared" si="250"/>
        <v>0</v>
      </c>
      <c r="BL423" s="120"/>
      <c r="BM423" s="120"/>
      <c r="BN423" s="120"/>
      <c r="BO423" s="120"/>
      <c r="BP423" s="120"/>
      <c r="BQ423" s="63"/>
      <c r="BR423" s="52">
        <f t="shared" si="251"/>
        <v>0</v>
      </c>
      <c r="BS423" s="52">
        <f t="shared" si="252"/>
        <v>0</v>
      </c>
      <c r="BT423" s="61">
        <f t="shared" si="253"/>
        <v>0</v>
      </c>
      <c r="BU423" s="64">
        <f t="shared" si="254"/>
        <v>0</v>
      </c>
      <c r="BV423" s="119">
        <f>SUM(Tableau1[[#This Row],[Achats confiserie]:[Achats boisson]])</f>
        <v>0</v>
      </c>
      <c r="BW423" s="58"/>
      <c r="BX423" s="69"/>
      <c r="BY423" s="58"/>
      <c r="BZ423" s="56">
        <f t="shared" si="255"/>
        <v>0</v>
      </c>
      <c r="CA423" s="66"/>
      <c r="CB423" s="66"/>
      <c r="CC423" s="56">
        <f t="shared" si="256"/>
        <v>0</v>
      </c>
      <c r="CD423" s="55"/>
      <c r="CE423" s="65"/>
      <c r="CF423" s="55"/>
      <c r="CG423" s="55"/>
      <c r="CH423" s="67">
        <f t="shared" si="257"/>
        <v>0</v>
      </c>
      <c r="CI423" s="68">
        <f t="shared" si="273"/>
        <v>0</v>
      </c>
      <c r="CJ423" s="55"/>
      <c r="CK423" s="55"/>
      <c r="CL423" s="55"/>
      <c r="CM423" s="55"/>
      <c r="CN423" s="55"/>
      <c r="CO423" s="68">
        <f t="shared" si="258"/>
        <v>0</v>
      </c>
      <c r="CP423" s="75">
        <f>SUM(Tableau1[[#This Row],[Fourniture eau]:[Energie (non précisé)]])</f>
        <v>0</v>
      </c>
      <c r="CQ423" s="55"/>
      <c r="CR423" s="55"/>
      <c r="CS423" s="55"/>
      <c r="CT423" s="55"/>
      <c r="CU423" s="55"/>
      <c r="CV423" s="55">
        <v>0</v>
      </c>
      <c r="CW423" s="55"/>
      <c r="CX423" s="68">
        <f>SUM(Tableau1[[#This Row],[Sous-traitance]:[Autres ou non précisé 12]])</f>
        <v>0</v>
      </c>
      <c r="CY423" s="65"/>
      <c r="CZ423" s="65"/>
      <c r="DA423" s="65"/>
      <c r="DB423" s="65"/>
      <c r="DC423" s="55"/>
      <c r="DD423" s="68">
        <f t="shared" si="239"/>
        <v>0</v>
      </c>
      <c r="DE423" s="55"/>
      <c r="DF423" s="65"/>
      <c r="DG423" s="65"/>
      <c r="DH423" s="65"/>
      <c r="DI423" s="68">
        <f>SUM(Tableau1[[#This Row],[Entretien et réparation matériel de projection]:[Autres ou non précisé 14]])</f>
        <v>0</v>
      </c>
      <c r="DJ423" s="58"/>
      <c r="DK423" s="58"/>
      <c r="DL423" s="69"/>
      <c r="DM423" s="68">
        <f t="shared" si="259"/>
        <v>0</v>
      </c>
      <c r="DN423" s="58"/>
      <c r="DO423" s="58"/>
      <c r="DP423" s="68">
        <f t="shared" si="260"/>
        <v>0</v>
      </c>
      <c r="DQ423" s="65"/>
      <c r="DR423" s="65"/>
      <c r="DS423" s="68">
        <f t="shared" si="261"/>
        <v>0</v>
      </c>
      <c r="DT423" s="65"/>
      <c r="DU423" s="65"/>
      <c r="DV423" s="65"/>
      <c r="DW423" s="68">
        <f>SUM(Tableau1[[#This Row],[Comission et courtage sur achats]:[Autres ou honoraires
 non précisé ]])</f>
        <v>0</v>
      </c>
      <c r="DX423" s="57"/>
      <c r="DY423" s="57"/>
      <c r="DZ423" s="65"/>
      <c r="EA423" s="65"/>
      <c r="EB423" s="65"/>
      <c r="EC423" s="68">
        <f t="shared" si="262"/>
        <v>0</v>
      </c>
      <c r="ED423" s="69"/>
      <c r="EE423" s="69"/>
      <c r="EF423" s="69"/>
      <c r="EG423" s="69"/>
      <c r="EH423" s="69"/>
      <c r="EI423" s="84">
        <f>SUM(Tableau1[[#This Row],[Transports sur films]:[autres ]])</f>
        <v>0</v>
      </c>
      <c r="EJ423" s="132">
        <v>0</v>
      </c>
      <c r="EK423" s="132"/>
      <c r="EL423" s="68">
        <f t="shared" si="263"/>
        <v>0</v>
      </c>
      <c r="EM423" s="65"/>
      <c r="EN423" s="65">
        <v>0</v>
      </c>
      <c r="EO423" s="65"/>
      <c r="EP423" s="65"/>
      <c r="EQ423" s="65"/>
      <c r="ER423" s="65"/>
      <c r="ES423" s="65"/>
      <c r="ET423" s="68">
        <f t="shared" si="264"/>
        <v>0</v>
      </c>
      <c r="EU423" s="65"/>
      <c r="EV423" s="65"/>
      <c r="EW423" s="65"/>
      <c r="EX423" s="65"/>
      <c r="EY423" s="65"/>
      <c r="EZ423" s="68">
        <f t="shared" si="241"/>
        <v>0</v>
      </c>
      <c r="FA423" s="65"/>
      <c r="FB423" s="65"/>
      <c r="FC423" s="70">
        <f t="shared" si="240"/>
        <v>0</v>
      </c>
      <c r="FD423" s="65"/>
      <c r="FE423" s="71">
        <f t="shared" si="265"/>
        <v>0</v>
      </c>
      <c r="FF423" s="72">
        <f t="shared" si="266"/>
        <v>0</v>
      </c>
      <c r="FG423" s="65"/>
      <c r="FH423" s="65"/>
      <c r="FI423" s="65"/>
      <c r="FJ423" s="56">
        <f t="shared" si="267"/>
        <v>0</v>
      </c>
      <c r="FK423" s="65"/>
      <c r="FL423" s="65"/>
      <c r="FM423" s="65"/>
      <c r="FN423" s="65"/>
      <c r="FO423" s="67">
        <f t="shared" si="268"/>
        <v>0</v>
      </c>
      <c r="FP423" s="57"/>
      <c r="FQ423" s="73"/>
      <c r="FR423" s="73"/>
      <c r="FS423" s="71">
        <f t="shared" si="269"/>
        <v>0</v>
      </c>
      <c r="FT423" s="91"/>
      <c r="FU423" s="91"/>
      <c r="FV423" s="67">
        <f>SUM(Tableau1[[#This Row],[Droits d''auteurs SACEM + cotisations SACEM]:[Autres ou non préciés]])</f>
        <v>0</v>
      </c>
      <c r="FW423" s="75">
        <f t="shared" si="270"/>
        <v>0</v>
      </c>
      <c r="FX423" s="74">
        <v>0</v>
      </c>
      <c r="FY423" s="74"/>
      <c r="FZ423" s="74"/>
      <c r="GA423" s="74"/>
      <c r="GB423" s="71">
        <f t="shared" si="271"/>
        <v>0</v>
      </c>
      <c r="GC423" s="92"/>
      <c r="GD423" s="92"/>
      <c r="GE423" s="67">
        <f t="shared" si="272"/>
        <v>0</v>
      </c>
      <c r="GF423" s="66"/>
      <c r="GG423" s="66"/>
      <c r="GH423" s="66"/>
      <c r="GI423" s="66"/>
      <c r="GJ423" s="77"/>
    </row>
    <row r="424" spans="1:192" ht="18.600000000000001" customHeight="1" x14ac:dyDescent="0.25">
      <c r="A424" s="89"/>
      <c r="B424" s="17"/>
      <c r="C424" s="50"/>
      <c r="D424" s="140"/>
      <c r="E424" s="51"/>
      <c r="F424" s="139">
        <f t="shared" si="237"/>
        <v>1</v>
      </c>
      <c r="G424" s="49"/>
      <c r="H424" s="50"/>
      <c r="I424" s="122"/>
      <c r="J424" s="49"/>
      <c r="K424" s="50"/>
      <c r="L424" s="50"/>
      <c r="M424" s="90"/>
      <c r="N424" s="50"/>
      <c r="O424" s="50"/>
      <c r="P424" s="90"/>
      <c r="Q424" s="52">
        <f t="shared" si="242"/>
        <v>0</v>
      </c>
      <c r="R424" s="52">
        <f t="shared" si="243"/>
        <v>0</v>
      </c>
      <c r="S424" s="53">
        <f t="shared" si="244"/>
        <v>0</v>
      </c>
      <c r="T424" s="54">
        <f t="shared" si="245"/>
        <v>0</v>
      </c>
      <c r="U424" s="115">
        <f>SUM(Tableau1[[#This Row],[Vente confiserie]:[Vente boisson]])</f>
        <v>0</v>
      </c>
      <c r="V424" s="95"/>
      <c r="W424" s="95"/>
      <c r="X424" s="136">
        <f>SUM(Tableau1[[#This Row],[Vente lunette]:[Location lunette]])</f>
        <v>0</v>
      </c>
      <c r="Y424" s="95"/>
      <c r="Z424" s="95"/>
      <c r="AA424" s="95"/>
      <c r="AB424" s="95"/>
      <c r="AC424" s="56">
        <f t="shared" si="274"/>
        <v>0</v>
      </c>
      <c r="AD424" s="57"/>
      <c r="AE424" s="57"/>
      <c r="AF424" s="57"/>
      <c r="AG424" s="57"/>
      <c r="AH424" s="57"/>
      <c r="AI424" s="57"/>
      <c r="AJ424" s="118">
        <f>(Tableau1[[#This Row],[Recette guichet ]]*1.1275177)-Tableau1[[#This Row],[Recette guichet ]]</f>
        <v>0</v>
      </c>
      <c r="AK424" s="57"/>
      <c r="AL424" s="56">
        <f t="shared" si="275"/>
        <v>0</v>
      </c>
      <c r="AM424" s="58"/>
      <c r="AN424" s="58"/>
      <c r="AO424" s="58"/>
      <c r="AP424" s="115">
        <f t="shared" si="246"/>
        <v>0</v>
      </c>
      <c r="AQ424" s="69"/>
      <c r="AR424" s="69"/>
      <c r="AS424" s="69"/>
      <c r="AT424" s="69"/>
      <c r="AU424" s="59">
        <f t="shared" si="247"/>
        <v>0</v>
      </c>
      <c r="AV424" s="60">
        <f t="shared" si="248"/>
        <v>0</v>
      </c>
      <c r="AW424" s="58"/>
      <c r="AX424" s="58"/>
      <c r="AY424" s="58"/>
      <c r="AZ424" s="60">
        <f t="shared" si="238"/>
        <v>0</v>
      </c>
      <c r="BA424" s="58"/>
      <c r="BB424" s="58"/>
      <c r="BC424" s="58"/>
      <c r="BD424" s="60">
        <f>SUM(Tableau1[[#This Row],[ticket/carte/abonnement périmé]:[Autres ou non précisé 5]])</f>
        <v>0</v>
      </c>
      <c r="BE424" s="58"/>
      <c r="BF424" s="58"/>
      <c r="BG424" s="58"/>
      <c r="BH424" s="61">
        <f t="shared" si="249"/>
        <v>0</v>
      </c>
      <c r="BI424" s="120"/>
      <c r="BJ424" s="120"/>
      <c r="BK424" s="62">
        <f t="shared" si="250"/>
        <v>0</v>
      </c>
      <c r="BL424" s="120"/>
      <c r="BM424" s="120"/>
      <c r="BN424" s="120"/>
      <c r="BO424" s="120"/>
      <c r="BP424" s="120"/>
      <c r="BQ424" s="63"/>
      <c r="BR424" s="52">
        <f t="shared" si="251"/>
        <v>0</v>
      </c>
      <c r="BS424" s="52">
        <f t="shared" si="252"/>
        <v>0</v>
      </c>
      <c r="BT424" s="61">
        <f t="shared" si="253"/>
        <v>0</v>
      </c>
      <c r="BU424" s="64">
        <f t="shared" si="254"/>
        <v>0</v>
      </c>
      <c r="BV424" s="119">
        <f>SUM(Tableau1[[#This Row],[Achats confiserie]:[Achats boisson]])</f>
        <v>0</v>
      </c>
      <c r="BW424" s="58"/>
      <c r="BX424" s="69"/>
      <c r="BY424" s="58"/>
      <c r="BZ424" s="56">
        <f t="shared" si="255"/>
        <v>0</v>
      </c>
      <c r="CA424" s="66"/>
      <c r="CB424" s="66"/>
      <c r="CC424" s="56">
        <f t="shared" si="256"/>
        <v>0</v>
      </c>
      <c r="CD424" s="55"/>
      <c r="CE424" s="65"/>
      <c r="CF424" s="55"/>
      <c r="CG424" s="55"/>
      <c r="CH424" s="67">
        <f t="shared" si="257"/>
        <v>0</v>
      </c>
      <c r="CI424" s="68">
        <f t="shared" si="273"/>
        <v>0</v>
      </c>
      <c r="CJ424" s="55"/>
      <c r="CK424" s="55"/>
      <c r="CL424" s="55"/>
      <c r="CM424" s="55"/>
      <c r="CN424" s="55"/>
      <c r="CO424" s="68">
        <f t="shared" si="258"/>
        <v>0</v>
      </c>
      <c r="CP424" s="75">
        <f>SUM(Tableau1[[#This Row],[Fourniture eau]:[Energie (non précisé)]])</f>
        <v>0</v>
      </c>
      <c r="CQ424" s="55"/>
      <c r="CR424" s="55"/>
      <c r="CS424" s="55"/>
      <c r="CT424" s="55"/>
      <c r="CU424" s="55"/>
      <c r="CV424" s="55">
        <v>0</v>
      </c>
      <c r="CW424" s="55"/>
      <c r="CX424" s="68">
        <f>SUM(Tableau1[[#This Row],[Sous-traitance]:[Autres ou non précisé 12]])</f>
        <v>0</v>
      </c>
      <c r="CY424" s="65"/>
      <c r="CZ424" s="65"/>
      <c r="DA424" s="65"/>
      <c r="DB424" s="65"/>
      <c r="DC424" s="55"/>
      <c r="DD424" s="68">
        <f t="shared" si="239"/>
        <v>0</v>
      </c>
      <c r="DE424" s="55"/>
      <c r="DF424" s="65"/>
      <c r="DG424" s="65"/>
      <c r="DH424" s="65"/>
      <c r="DI424" s="68">
        <f>SUM(Tableau1[[#This Row],[Entretien et réparation matériel de projection]:[Autres ou non précisé 14]])</f>
        <v>0</v>
      </c>
      <c r="DJ424" s="58"/>
      <c r="DK424" s="58"/>
      <c r="DL424" s="69"/>
      <c r="DM424" s="68">
        <f t="shared" si="259"/>
        <v>0</v>
      </c>
      <c r="DN424" s="58"/>
      <c r="DO424" s="58"/>
      <c r="DP424" s="68">
        <f t="shared" si="260"/>
        <v>0</v>
      </c>
      <c r="DQ424" s="65"/>
      <c r="DR424" s="65"/>
      <c r="DS424" s="68">
        <f t="shared" si="261"/>
        <v>0</v>
      </c>
      <c r="DT424" s="65"/>
      <c r="DU424" s="65"/>
      <c r="DV424" s="65"/>
      <c r="DW424" s="68">
        <f>SUM(Tableau1[[#This Row],[Comission et courtage sur achats]:[Autres ou honoraires
 non précisé ]])</f>
        <v>0</v>
      </c>
      <c r="DX424" s="57"/>
      <c r="DY424" s="57"/>
      <c r="DZ424" s="65"/>
      <c r="EA424" s="65"/>
      <c r="EB424" s="65"/>
      <c r="EC424" s="68">
        <f t="shared" si="262"/>
        <v>0</v>
      </c>
      <c r="ED424" s="69"/>
      <c r="EE424" s="69"/>
      <c r="EF424" s="69"/>
      <c r="EG424" s="69"/>
      <c r="EH424" s="69"/>
      <c r="EI424" s="84">
        <f>SUM(Tableau1[[#This Row],[Transports sur films]:[autres ]])</f>
        <v>0</v>
      </c>
      <c r="EJ424" s="132">
        <v>0</v>
      </c>
      <c r="EK424" s="132"/>
      <c r="EL424" s="68">
        <f t="shared" si="263"/>
        <v>0</v>
      </c>
      <c r="EM424" s="65"/>
      <c r="EN424" s="65">
        <v>0</v>
      </c>
      <c r="EO424" s="65"/>
      <c r="EP424" s="65"/>
      <c r="EQ424" s="65"/>
      <c r="ER424" s="65"/>
      <c r="ES424" s="65"/>
      <c r="ET424" s="68">
        <f t="shared" si="264"/>
        <v>0</v>
      </c>
      <c r="EU424" s="65"/>
      <c r="EV424" s="65"/>
      <c r="EW424" s="65"/>
      <c r="EX424" s="65"/>
      <c r="EY424" s="65"/>
      <c r="EZ424" s="68">
        <f t="shared" si="241"/>
        <v>0</v>
      </c>
      <c r="FA424" s="65"/>
      <c r="FB424" s="65"/>
      <c r="FC424" s="70">
        <f t="shared" si="240"/>
        <v>0</v>
      </c>
      <c r="FD424" s="65"/>
      <c r="FE424" s="71">
        <f t="shared" si="265"/>
        <v>0</v>
      </c>
      <c r="FF424" s="72">
        <f t="shared" si="266"/>
        <v>0</v>
      </c>
      <c r="FG424" s="65"/>
      <c r="FH424" s="65"/>
      <c r="FI424" s="65"/>
      <c r="FJ424" s="56">
        <f t="shared" si="267"/>
        <v>0</v>
      </c>
      <c r="FK424" s="65"/>
      <c r="FL424" s="65"/>
      <c r="FM424" s="65"/>
      <c r="FN424" s="65"/>
      <c r="FO424" s="67">
        <f t="shared" si="268"/>
        <v>0</v>
      </c>
      <c r="FP424" s="57"/>
      <c r="FQ424" s="73"/>
      <c r="FR424" s="73"/>
      <c r="FS424" s="71">
        <f t="shared" si="269"/>
        <v>0</v>
      </c>
      <c r="FT424" s="91"/>
      <c r="FU424" s="91"/>
      <c r="FV424" s="67">
        <f>SUM(Tableau1[[#This Row],[Droits d''auteurs SACEM + cotisations SACEM]:[Autres ou non préciés]])</f>
        <v>0</v>
      </c>
      <c r="FW424" s="75">
        <f t="shared" si="270"/>
        <v>0</v>
      </c>
      <c r="FX424" s="74">
        <v>0</v>
      </c>
      <c r="FY424" s="74"/>
      <c r="FZ424" s="74"/>
      <c r="GA424" s="74"/>
      <c r="GB424" s="71">
        <f t="shared" si="271"/>
        <v>0</v>
      </c>
      <c r="GC424" s="92"/>
      <c r="GD424" s="92"/>
      <c r="GE424" s="67">
        <f t="shared" si="272"/>
        <v>0</v>
      </c>
      <c r="GF424" s="66"/>
      <c r="GG424" s="66"/>
      <c r="GH424" s="66"/>
      <c r="GI424" s="66"/>
      <c r="GJ424" s="77"/>
    </row>
    <row r="425" spans="1:192" ht="18.600000000000001" customHeight="1" x14ac:dyDescent="0.25">
      <c r="A425" s="89"/>
      <c r="B425" s="17"/>
      <c r="C425" s="50"/>
      <c r="D425" s="140"/>
      <c r="E425" s="51"/>
      <c r="F425" s="139">
        <f t="shared" si="237"/>
        <v>1</v>
      </c>
      <c r="G425" s="49"/>
      <c r="H425" s="50"/>
      <c r="I425" s="122"/>
      <c r="J425" s="49"/>
      <c r="K425" s="50"/>
      <c r="L425" s="50"/>
      <c r="M425" s="90"/>
      <c r="N425" s="50"/>
      <c r="O425" s="50"/>
      <c r="P425" s="90"/>
      <c r="Q425" s="52">
        <f t="shared" si="242"/>
        <v>0</v>
      </c>
      <c r="R425" s="52">
        <f t="shared" si="243"/>
        <v>0</v>
      </c>
      <c r="S425" s="53">
        <f t="shared" si="244"/>
        <v>0</v>
      </c>
      <c r="T425" s="54">
        <f t="shared" si="245"/>
        <v>0</v>
      </c>
      <c r="U425" s="115">
        <f>SUM(Tableau1[[#This Row],[Vente confiserie]:[Vente boisson]])</f>
        <v>0</v>
      </c>
      <c r="V425" s="95"/>
      <c r="W425" s="95"/>
      <c r="X425" s="136">
        <f>SUM(Tableau1[[#This Row],[Vente lunette]:[Location lunette]])</f>
        <v>0</v>
      </c>
      <c r="Y425" s="95"/>
      <c r="Z425" s="95"/>
      <c r="AA425" s="95"/>
      <c r="AB425" s="95"/>
      <c r="AC425" s="56">
        <f t="shared" si="274"/>
        <v>0</v>
      </c>
      <c r="AD425" s="57"/>
      <c r="AE425" s="57"/>
      <c r="AF425" s="57"/>
      <c r="AG425" s="57"/>
      <c r="AH425" s="57"/>
      <c r="AI425" s="57"/>
      <c r="AJ425" s="118">
        <f>(Tableau1[[#This Row],[Recette guichet ]]*1.1275177)-Tableau1[[#This Row],[Recette guichet ]]</f>
        <v>0</v>
      </c>
      <c r="AK425" s="57"/>
      <c r="AL425" s="56">
        <f t="shared" si="275"/>
        <v>0</v>
      </c>
      <c r="AM425" s="58"/>
      <c r="AN425" s="58"/>
      <c r="AO425" s="58"/>
      <c r="AP425" s="115">
        <f t="shared" si="246"/>
        <v>0</v>
      </c>
      <c r="AQ425" s="69"/>
      <c r="AR425" s="69"/>
      <c r="AS425" s="69"/>
      <c r="AT425" s="69"/>
      <c r="AU425" s="59">
        <f t="shared" si="247"/>
        <v>0</v>
      </c>
      <c r="AV425" s="60">
        <f t="shared" si="248"/>
        <v>0</v>
      </c>
      <c r="AW425" s="58"/>
      <c r="AX425" s="58"/>
      <c r="AY425" s="58"/>
      <c r="AZ425" s="60">
        <f t="shared" si="238"/>
        <v>0</v>
      </c>
      <c r="BA425" s="58"/>
      <c r="BB425" s="58"/>
      <c r="BC425" s="58"/>
      <c r="BD425" s="60">
        <f>SUM(Tableau1[[#This Row],[ticket/carte/abonnement périmé]:[Autres ou non précisé 5]])</f>
        <v>0</v>
      </c>
      <c r="BE425" s="58"/>
      <c r="BF425" s="58"/>
      <c r="BG425" s="58"/>
      <c r="BH425" s="61">
        <f t="shared" si="249"/>
        <v>0</v>
      </c>
      <c r="BI425" s="120"/>
      <c r="BJ425" s="120"/>
      <c r="BK425" s="62">
        <f t="shared" si="250"/>
        <v>0</v>
      </c>
      <c r="BL425" s="120"/>
      <c r="BM425" s="120"/>
      <c r="BN425" s="120"/>
      <c r="BO425" s="120"/>
      <c r="BP425" s="120"/>
      <c r="BQ425" s="63"/>
      <c r="BR425" s="52">
        <f t="shared" si="251"/>
        <v>0</v>
      </c>
      <c r="BS425" s="52">
        <f t="shared" si="252"/>
        <v>0</v>
      </c>
      <c r="BT425" s="61">
        <f t="shared" si="253"/>
        <v>0</v>
      </c>
      <c r="BU425" s="64">
        <f t="shared" si="254"/>
        <v>0</v>
      </c>
      <c r="BV425" s="119">
        <f>SUM(Tableau1[[#This Row],[Achats confiserie]:[Achats boisson]])</f>
        <v>0</v>
      </c>
      <c r="BW425" s="58"/>
      <c r="BX425" s="69"/>
      <c r="BY425" s="58"/>
      <c r="BZ425" s="56">
        <f t="shared" si="255"/>
        <v>0</v>
      </c>
      <c r="CA425" s="66"/>
      <c r="CB425" s="66"/>
      <c r="CC425" s="56">
        <f t="shared" si="256"/>
        <v>0</v>
      </c>
      <c r="CD425" s="55"/>
      <c r="CE425" s="65"/>
      <c r="CF425" s="55"/>
      <c r="CG425" s="55"/>
      <c r="CH425" s="67">
        <f t="shared" si="257"/>
        <v>0</v>
      </c>
      <c r="CI425" s="68">
        <f t="shared" si="273"/>
        <v>0</v>
      </c>
      <c r="CJ425" s="55"/>
      <c r="CK425" s="55"/>
      <c r="CL425" s="55"/>
      <c r="CM425" s="55"/>
      <c r="CN425" s="55"/>
      <c r="CO425" s="68">
        <f t="shared" si="258"/>
        <v>0</v>
      </c>
      <c r="CP425" s="75">
        <f>SUM(Tableau1[[#This Row],[Fourniture eau]:[Energie (non précisé)]])</f>
        <v>0</v>
      </c>
      <c r="CQ425" s="55"/>
      <c r="CR425" s="55"/>
      <c r="CS425" s="55"/>
      <c r="CT425" s="55"/>
      <c r="CU425" s="55"/>
      <c r="CV425" s="55">
        <v>0</v>
      </c>
      <c r="CW425" s="55"/>
      <c r="CX425" s="68">
        <f>SUM(Tableau1[[#This Row],[Sous-traitance]:[Autres ou non précisé 12]])</f>
        <v>0</v>
      </c>
      <c r="CY425" s="65"/>
      <c r="CZ425" s="65"/>
      <c r="DA425" s="65"/>
      <c r="DB425" s="65"/>
      <c r="DC425" s="55"/>
      <c r="DD425" s="68">
        <f t="shared" si="239"/>
        <v>0</v>
      </c>
      <c r="DE425" s="55"/>
      <c r="DF425" s="65"/>
      <c r="DG425" s="65"/>
      <c r="DH425" s="65"/>
      <c r="DI425" s="68">
        <f>SUM(Tableau1[[#This Row],[Entretien et réparation matériel de projection]:[Autres ou non précisé 14]])</f>
        <v>0</v>
      </c>
      <c r="DJ425" s="58"/>
      <c r="DK425" s="58"/>
      <c r="DL425" s="69"/>
      <c r="DM425" s="68">
        <f t="shared" si="259"/>
        <v>0</v>
      </c>
      <c r="DN425" s="58"/>
      <c r="DO425" s="58"/>
      <c r="DP425" s="68">
        <f t="shared" si="260"/>
        <v>0</v>
      </c>
      <c r="DQ425" s="65"/>
      <c r="DR425" s="65"/>
      <c r="DS425" s="68">
        <f t="shared" si="261"/>
        <v>0</v>
      </c>
      <c r="DT425" s="65"/>
      <c r="DU425" s="65"/>
      <c r="DV425" s="65"/>
      <c r="DW425" s="68">
        <f>SUM(Tableau1[[#This Row],[Comission et courtage sur achats]:[Autres ou honoraires
 non précisé ]])</f>
        <v>0</v>
      </c>
      <c r="DX425" s="57"/>
      <c r="DY425" s="57"/>
      <c r="DZ425" s="65"/>
      <c r="EA425" s="65"/>
      <c r="EB425" s="65"/>
      <c r="EC425" s="68">
        <f t="shared" si="262"/>
        <v>0</v>
      </c>
      <c r="ED425" s="69"/>
      <c r="EE425" s="69"/>
      <c r="EF425" s="69"/>
      <c r="EG425" s="69"/>
      <c r="EH425" s="69"/>
      <c r="EI425" s="84">
        <f>SUM(Tableau1[[#This Row],[Transports sur films]:[autres ]])</f>
        <v>0</v>
      </c>
      <c r="EJ425" s="132">
        <v>0</v>
      </c>
      <c r="EK425" s="132"/>
      <c r="EL425" s="68">
        <f t="shared" si="263"/>
        <v>0</v>
      </c>
      <c r="EM425" s="65"/>
      <c r="EN425" s="65">
        <v>0</v>
      </c>
      <c r="EO425" s="65"/>
      <c r="EP425" s="65"/>
      <c r="EQ425" s="65"/>
      <c r="ER425" s="65"/>
      <c r="ES425" s="65"/>
      <c r="ET425" s="68">
        <f t="shared" si="264"/>
        <v>0</v>
      </c>
      <c r="EU425" s="65"/>
      <c r="EV425" s="65"/>
      <c r="EW425" s="65"/>
      <c r="EX425" s="65"/>
      <c r="EY425" s="65"/>
      <c r="EZ425" s="68">
        <f t="shared" si="241"/>
        <v>0</v>
      </c>
      <c r="FA425" s="65"/>
      <c r="FB425" s="65"/>
      <c r="FC425" s="70">
        <f t="shared" si="240"/>
        <v>0</v>
      </c>
      <c r="FD425" s="65"/>
      <c r="FE425" s="71">
        <f t="shared" si="265"/>
        <v>0</v>
      </c>
      <c r="FF425" s="72">
        <f t="shared" si="266"/>
        <v>0</v>
      </c>
      <c r="FG425" s="65"/>
      <c r="FH425" s="65"/>
      <c r="FI425" s="65"/>
      <c r="FJ425" s="56">
        <f t="shared" si="267"/>
        <v>0</v>
      </c>
      <c r="FK425" s="65"/>
      <c r="FL425" s="65"/>
      <c r="FM425" s="65"/>
      <c r="FN425" s="65"/>
      <c r="FO425" s="67">
        <f t="shared" si="268"/>
        <v>0</v>
      </c>
      <c r="FP425" s="57"/>
      <c r="FQ425" s="73"/>
      <c r="FR425" s="73"/>
      <c r="FS425" s="71">
        <f t="shared" si="269"/>
        <v>0</v>
      </c>
      <c r="FT425" s="91"/>
      <c r="FU425" s="91"/>
      <c r="FV425" s="67">
        <f>SUM(Tableau1[[#This Row],[Droits d''auteurs SACEM + cotisations SACEM]:[Autres ou non préciés]])</f>
        <v>0</v>
      </c>
      <c r="FW425" s="75">
        <f t="shared" si="270"/>
        <v>0</v>
      </c>
      <c r="FX425" s="74">
        <v>0</v>
      </c>
      <c r="FY425" s="74"/>
      <c r="FZ425" s="74"/>
      <c r="GA425" s="74"/>
      <c r="GB425" s="71">
        <f t="shared" si="271"/>
        <v>0</v>
      </c>
      <c r="GC425" s="92"/>
      <c r="GD425" s="92"/>
      <c r="GE425" s="67">
        <f t="shared" si="272"/>
        <v>0</v>
      </c>
      <c r="GF425" s="66"/>
      <c r="GG425" s="66"/>
      <c r="GH425" s="66"/>
      <c r="GI425" s="66"/>
      <c r="GJ425" s="77"/>
    </row>
    <row r="426" spans="1:192" ht="18.600000000000001" customHeight="1" x14ac:dyDescent="0.25">
      <c r="A426" s="89"/>
      <c r="B426" s="17"/>
      <c r="C426" s="50"/>
      <c r="D426" s="140"/>
      <c r="E426" s="51"/>
      <c r="F426" s="139">
        <f t="shared" ref="F426:F489" si="276">DATEDIF(D426,E426,"m")+1</f>
        <v>1</v>
      </c>
      <c r="G426" s="49"/>
      <c r="H426" s="50"/>
      <c r="I426" s="122"/>
      <c r="J426" s="49"/>
      <c r="K426" s="50"/>
      <c r="L426" s="50"/>
      <c r="M426" s="90"/>
      <c r="N426" s="50"/>
      <c r="O426" s="50"/>
      <c r="P426" s="90"/>
      <c r="Q426" s="52">
        <f t="shared" si="242"/>
        <v>0</v>
      </c>
      <c r="R426" s="52">
        <f t="shared" si="243"/>
        <v>0</v>
      </c>
      <c r="S426" s="53">
        <f t="shared" si="244"/>
        <v>0</v>
      </c>
      <c r="T426" s="54">
        <f t="shared" si="245"/>
        <v>0</v>
      </c>
      <c r="U426" s="115">
        <f>SUM(Tableau1[[#This Row],[Vente confiserie]:[Vente boisson]])</f>
        <v>0</v>
      </c>
      <c r="V426" s="95"/>
      <c r="W426" s="95"/>
      <c r="X426" s="136">
        <f>SUM(Tableau1[[#This Row],[Vente lunette]:[Location lunette]])</f>
        <v>0</v>
      </c>
      <c r="Y426" s="95"/>
      <c r="Z426" s="95"/>
      <c r="AA426" s="95"/>
      <c r="AB426" s="95"/>
      <c r="AC426" s="56">
        <f t="shared" si="274"/>
        <v>0</v>
      </c>
      <c r="AD426" s="57"/>
      <c r="AE426" s="57"/>
      <c r="AF426" s="57"/>
      <c r="AG426" s="57"/>
      <c r="AH426" s="57"/>
      <c r="AI426" s="57"/>
      <c r="AJ426" s="118">
        <f>(Tableau1[[#This Row],[Recette guichet ]]*1.1275177)-Tableau1[[#This Row],[Recette guichet ]]</f>
        <v>0</v>
      </c>
      <c r="AK426" s="57"/>
      <c r="AL426" s="56">
        <f t="shared" si="275"/>
        <v>0</v>
      </c>
      <c r="AM426" s="58"/>
      <c r="AN426" s="58"/>
      <c r="AO426" s="58"/>
      <c r="AP426" s="115">
        <f t="shared" si="246"/>
        <v>0</v>
      </c>
      <c r="AQ426" s="69"/>
      <c r="AR426" s="69"/>
      <c r="AS426" s="69"/>
      <c r="AT426" s="69"/>
      <c r="AU426" s="59">
        <f t="shared" si="247"/>
        <v>0</v>
      </c>
      <c r="AV426" s="60">
        <f t="shared" si="248"/>
        <v>0</v>
      </c>
      <c r="AW426" s="58"/>
      <c r="AX426" s="58"/>
      <c r="AY426" s="58"/>
      <c r="AZ426" s="60">
        <f t="shared" si="238"/>
        <v>0</v>
      </c>
      <c r="BA426" s="58"/>
      <c r="BB426" s="58"/>
      <c r="BC426" s="58"/>
      <c r="BD426" s="60">
        <f>SUM(Tableau1[[#This Row],[ticket/carte/abonnement périmé]:[Autres ou non précisé 5]])</f>
        <v>0</v>
      </c>
      <c r="BE426" s="58"/>
      <c r="BF426" s="58"/>
      <c r="BG426" s="58"/>
      <c r="BH426" s="61">
        <f t="shared" si="249"/>
        <v>0</v>
      </c>
      <c r="BI426" s="120"/>
      <c r="BJ426" s="120"/>
      <c r="BK426" s="62">
        <f t="shared" si="250"/>
        <v>0</v>
      </c>
      <c r="BL426" s="120"/>
      <c r="BM426" s="120"/>
      <c r="BN426" s="120"/>
      <c r="BO426" s="120"/>
      <c r="BP426" s="120"/>
      <c r="BQ426" s="63"/>
      <c r="BR426" s="52">
        <f t="shared" si="251"/>
        <v>0</v>
      </c>
      <c r="BS426" s="52">
        <f t="shared" si="252"/>
        <v>0</v>
      </c>
      <c r="BT426" s="61">
        <f t="shared" si="253"/>
        <v>0</v>
      </c>
      <c r="BU426" s="64">
        <f t="shared" si="254"/>
        <v>0</v>
      </c>
      <c r="BV426" s="119">
        <f>SUM(Tableau1[[#This Row],[Achats confiserie]:[Achats boisson]])</f>
        <v>0</v>
      </c>
      <c r="BW426" s="58"/>
      <c r="BX426" s="69"/>
      <c r="BY426" s="58"/>
      <c r="BZ426" s="56">
        <f t="shared" si="255"/>
        <v>0</v>
      </c>
      <c r="CA426" s="66"/>
      <c r="CB426" s="66"/>
      <c r="CC426" s="56">
        <f t="shared" si="256"/>
        <v>0</v>
      </c>
      <c r="CD426" s="55"/>
      <c r="CE426" s="65"/>
      <c r="CF426" s="55"/>
      <c r="CG426" s="55"/>
      <c r="CH426" s="67">
        <f t="shared" si="257"/>
        <v>0</v>
      </c>
      <c r="CI426" s="68">
        <f t="shared" si="273"/>
        <v>0</v>
      </c>
      <c r="CJ426" s="55"/>
      <c r="CK426" s="55"/>
      <c r="CL426" s="55"/>
      <c r="CM426" s="55"/>
      <c r="CN426" s="55"/>
      <c r="CO426" s="68">
        <f t="shared" si="258"/>
        <v>0</v>
      </c>
      <c r="CP426" s="75">
        <f>SUM(Tableau1[[#This Row],[Fourniture eau]:[Energie (non précisé)]])</f>
        <v>0</v>
      </c>
      <c r="CQ426" s="55"/>
      <c r="CR426" s="55"/>
      <c r="CS426" s="55"/>
      <c r="CT426" s="55"/>
      <c r="CU426" s="55"/>
      <c r="CV426" s="55">
        <v>0</v>
      </c>
      <c r="CW426" s="55"/>
      <c r="CX426" s="68">
        <f>SUM(Tableau1[[#This Row],[Sous-traitance]:[Autres ou non précisé 12]])</f>
        <v>0</v>
      </c>
      <c r="CY426" s="65"/>
      <c r="CZ426" s="65"/>
      <c r="DA426" s="65"/>
      <c r="DB426" s="65"/>
      <c r="DC426" s="55"/>
      <c r="DD426" s="68">
        <f t="shared" si="239"/>
        <v>0</v>
      </c>
      <c r="DE426" s="55"/>
      <c r="DF426" s="65"/>
      <c r="DG426" s="65"/>
      <c r="DH426" s="65"/>
      <c r="DI426" s="68">
        <f>SUM(Tableau1[[#This Row],[Entretien et réparation matériel de projection]:[Autres ou non précisé 14]])</f>
        <v>0</v>
      </c>
      <c r="DJ426" s="58"/>
      <c r="DK426" s="58"/>
      <c r="DL426" s="69"/>
      <c r="DM426" s="68">
        <f t="shared" si="259"/>
        <v>0</v>
      </c>
      <c r="DN426" s="58"/>
      <c r="DO426" s="58"/>
      <c r="DP426" s="68">
        <f t="shared" si="260"/>
        <v>0</v>
      </c>
      <c r="DQ426" s="65"/>
      <c r="DR426" s="65"/>
      <c r="DS426" s="68">
        <f t="shared" si="261"/>
        <v>0</v>
      </c>
      <c r="DT426" s="65"/>
      <c r="DU426" s="65"/>
      <c r="DV426" s="65"/>
      <c r="DW426" s="68">
        <f>SUM(Tableau1[[#This Row],[Comission et courtage sur achats]:[Autres ou honoraires
 non précisé ]])</f>
        <v>0</v>
      </c>
      <c r="DX426" s="57"/>
      <c r="DY426" s="57"/>
      <c r="DZ426" s="65"/>
      <c r="EA426" s="65"/>
      <c r="EB426" s="65"/>
      <c r="EC426" s="68">
        <f t="shared" si="262"/>
        <v>0</v>
      </c>
      <c r="ED426" s="69"/>
      <c r="EE426" s="69"/>
      <c r="EF426" s="69"/>
      <c r="EG426" s="69"/>
      <c r="EH426" s="69"/>
      <c r="EI426" s="84">
        <f>SUM(Tableau1[[#This Row],[Transports sur films]:[autres ]])</f>
        <v>0</v>
      </c>
      <c r="EJ426" s="132">
        <v>0</v>
      </c>
      <c r="EK426" s="132"/>
      <c r="EL426" s="68">
        <f t="shared" si="263"/>
        <v>0</v>
      </c>
      <c r="EM426" s="65"/>
      <c r="EN426" s="65">
        <v>0</v>
      </c>
      <c r="EO426" s="65"/>
      <c r="EP426" s="65"/>
      <c r="EQ426" s="65"/>
      <c r="ER426" s="65"/>
      <c r="ES426" s="65"/>
      <c r="ET426" s="68">
        <f t="shared" si="264"/>
        <v>0</v>
      </c>
      <c r="EU426" s="65"/>
      <c r="EV426" s="65"/>
      <c r="EW426" s="65"/>
      <c r="EX426" s="65"/>
      <c r="EY426" s="65"/>
      <c r="EZ426" s="68">
        <f t="shared" si="241"/>
        <v>0</v>
      </c>
      <c r="FA426" s="65"/>
      <c r="FB426" s="65"/>
      <c r="FC426" s="70">
        <f t="shared" si="240"/>
        <v>0</v>
      </c>
      <c r="FD426" s="65"/>
      <c r="FE426" s="71">
        <f t="shared" si="265"/>
        <v>0</v>
      </c>
      <c r="FF426" s="72">
        <f t="shared" si="266"/>
        <v>0</v>
      </c>
      <c r="FG426" s="65"/>
      <c r="FH426" s="65"/>
      <c r="FI426" s="65"/>
      <c r="FJ426" s="56">
        <f t="shared" si="267"/>
        <v>0</v>
      </c>
      <c r="FK426" s="65"/>
      <c r="FL426" s="65"/>
      <c r="FM426" s="65"/>
      <c r="FN426" s="65"/>
      <c r="FO426" s="67">
        <f t="shared" si="268"/>
        <v>0</v>
      </c>
      <c r="FP426" s="57"/>
      <c r="FQ426" s="73"/>
      <c r="FR426" s="73"/>
      <c r="FS426" s="71">
        <f t="shared" si="269"/>
        <v>0</v>
      </c>
      <c r="FT426" s="91"/>
      <c r="FU426" s="91"/>
      <c r="FV426" s="67">
        <f>SUM(Tableau1[[#This Row],[Droits d''auteurs SACEM + cotisations SACEM]:[Autres ou non préciés]])</f>
        <v>0</v>
      </c>
      <c r="FW426" s="75">
        <f t="shared" si="270"/>
        <v>0</v>
      </c>
      <c r="FX426" s="74">
        <v>0</v>
      </c>
      <c r="FY426" s="74"/>
      <c r="FZ426" s="74"/>
      <c r="GA426" s="74"/>
      <c r="GB426" s="71">
        <f t="shared" si="271"/>
        <v>0</v>
      </c>
      <c r="GC426" s="92"/>
      <c r="GD426" s="92"/>
      <c r="GE426" s="67">
        <f t="shared" si="272"/>
        <v>0</v>
      </c>
      <c r="GF426" s="66"/>
      <c r="GG426" s="66"/>
      <c r="GH426" s="66"/>
      <c r="GI426" s="66"/>
      <c r="GJ426" s="77"/>
    </row>
    <row r="427" spans="1:192" ht="18.600000000000001" customHeight="1" x14ac:dyDescent="0.25">
      <c r="A427" s="89"/>
      <c r="B427" s="17"/>
      <c r="C427" s="50"/>
      <c r="D427" s="140"/>
      <c r="E427" s="51"/>
      <c r="F427" s="139">
        <f t="shared" si="276"/>
        <v>1</v>
      </c>
      <c r="G427" s="49"/>
      <c r="H427" s="50"/>
      <c r="I427" s="122"/>
      <c r="J427" s="49"/>
      <c r="K427" s="50"/>
      <c r="L427" s="50"/>
      <c r="M427" s="90"/>
      <c r="N427" s="50"/>
      <c r="O427" s="50"/>
      <c r="P427" s="90"/>
      <c r="Q427" s="52">
        <f t="shared" si="242"/>
        <v>0</v>
      </c>
      <c r="R427" s="52">
        <f t="shared" si="243"/>
        <v>0</v>
      </c>
      <c r="S427" s="53">
        <f t="shared" si="244"/>
        <v>0</v>
      </c>
      <c r="T427" s="54">
        <f t="shared" si="245"/>
        <v>0</v>
      </c>
      <c r="U427" s="115">
        <f>SUM(Tableau1[[#This Row],[Vente confiserie]:[Vente boisson]])</f>
        <v>0</v>
      </c>
      <c r="V427" s="95"/>
      <c r="W427" s="95"/>
      <c r="X427" s="136">
        <f>SUM(Tableau1[[#This Row],[Vente lunette]:[Location lunette]])</f>
        <v>0</v>
      </c>
      <c r="Y427" s="95"/>
      <c r="Z427" s="95"/>
      <c r="AA427" s="95"/>
      <c r="AB427" s="95"/>
      <c r="AC427" s="56">
        <f t="shared" si="274"/>
        <v>0</v>
      </c>
      <c r="AD427" s="57"/>
      <c r="AE427" s="57"/>
      <c r="AF427" s="57"/>
      <c r="AG427" s="57"/>
      <c r="AH427" s="57"/>
      <c r="AI427" s="57"/>
      <c r="AJ427" s="118">
        <f>(Tableau1[[#This Row],[Recette guichet ]]*1.1275177)-Tableau1[[#This Row],[Recette guichet ]]</f>
        <v>0</v>
      </c>
      <c r="AK427" s="57"/>
      <c r="AL427" s="56">
        <f t="shared" si="275"/>
        <v>0</v>
      </c>
      <c r="AM427" s="58"/>
      <c r="AN427" s="58"/>
      <c r="AO427" s="58"/>
      <c r="AP427" s="115">
        <f t="shared" si="246"/>
        <v>0</v>
      </c>
      <c r="AQ427" s="69"/>
      <c r="AR427" s="69"/>
      <c r="AS427" s="69"/>
      <c r="AT427" s="69"/>
      <c r="AU427" s="59">
        <f t="shared" si="247"/>
        <v>0</v>
      </c>
      <c r="AV427" s="60">
        <f t="shared" si="248"/>
        <v>0</v>
      </c>
      <c r="AW427" s="58"/>
      <c r="AX427" s="58"/>
      <c r="AY427" s="58"/>
      <c r="AZ427" s="60">
        <f t="shared" si="238"/>
        <v>0</v>
      </c>
      <c r="BA427" s="58"/>
      <c r="BB427" s="58"/>
      <c r="BC427" s="58"/>
      <c r="BD427" s="60">
        <f>SUM(Tableau1[[#This Row],[ticket/carte/abonnement périmé]:[Autres ou non précisé 5]])</f>
        <v>0</v>
      </c>
      <c r="BE427" s="58"/>
      <c r="BF427" s="58"/>
      <c r="BG427" s="58"/>
      <c r="BH427" s="61">
        <f t="shared" si="249"/>
        <v>0</v>
      </c>
      <c r="BI427" s="120"/>
      <c r="BJ427" s="120"/>
      <c r="BK427" s="62">
        <f t="shared" si="250"/>
        <v>0</v>
      </c>
      <c r="BL427" s="120"/>
      <c r="BM427" s="120"/>
      <c r="BN427" s="120"/>
      <c r="BO427" s="120"/>
      <c r="BP427" s="120"/>
      <c r="BQ427" s="63"/>
      <c r="BR427" s="52">
        <f t="shared" si="251"/>
        <v>0</v>
      </c>
      <c r="BS427" s="52">
        <f t="shared" si="252"/>
        <v>0</v>
      </c>
      <c r="BT427" s="61">
        <f t="shared" si="253"/>
        <v>0</v>
      </c>
      <c r="BU427" s="64">
        <f t="shared" si="254"/>
        <v>0</v>
      </c>
      <c r="BV427" s="119">
        <f>SUM(Tableau1[[#This Row],[Achats confiserie]:[Achats boisson]])</f>
        <v>0</v>
      </c>
      <c r="BW427" s="58"/>
      <c r="BX427" s="69"/>
      <c r="BY427" s="58"/>
      <c r="BZ427" s="56">
        <f t="shared" si="255"/>
        <v>0</v>
      </c>
      <c r="CA427" s="66"/>
      <c r="CB427" s="66"/>
      <c r="CC427" s="56">
        <f t="shared" si="256"/>
        <v>0</v>
      </c>
      <c r="CD427" s="55"/>
      <c r="CE427" s="65"/>
      <c r="CF427" s="55"/>
      <c r="CG427" s="55"/>
      <c r="CH427" s="67">
        <f t="shared" si="257"/>
        <v>0</v>
      </c>
      <c r="CI427" s="68">
        <f t="shared" si="273"/>
        <v>0</v>
      </c>
      <c r="CJ427" s="55"/>
      <c r="CK427" s="55"/>
      <c r="CL427" s="55"/>
      <c r="CM427" s="55"/>
      <c r="CN427" s="55"/>
      <c r="CO427" s="68">
        <f t="shared" si="258"/>
        <v>0</v>
      </c>
      <c r="CP427" s="75">
        <f>SUM(Tableau1[[#This Row],[Fourniture eau]:[Energie (non précisé)]])</f>
        <v>0</v>
      </c>
      <c r="CQ427" s="55"/>
      <c r="CR427" s="55"/>
      <c r="CS427" s="55"/>
      <c r="CT427" s="55"/>
      <c r="CU427" s="55"/>
      <c r="CV427" s="55">
        <v>0</v>
      </c>
      <c r="CW427" s="55"/>
      <c r="CX427" s="68">
        <f>SUM(Tableau1[[#This Row],[Sous-traitance]:[Autres ou non précisé 12]])</f>
        <v>0</v>
      </c>
      <c r="CY427" s="65"/>
      <c r="CZ427" s="65"/>
      <c r="DA427" s="65"/>
      <c r="DB427" s="65"/>
      <c r="DC427" s="55"/>
      <c r="DD427" s="68">
        <f t="shared" si="239"/>
        <v>0</v>
      </c>
      <c r="DE427" s="55"/>
      <c r="DF427" s="65"/>
      <c r="DG427" s="65"/>
      <c r="DH427" s="65"/>
      <c r="DI427" s="68">
        <f>SUM(Tableau1[[#This Row],[Entretien et réparation matériel de projection]:[Autres ou non précisé 14]])</f>
        <v>0</v>
      </c>
      <c r="DJ427" s="58"/>
      <c r="DK427" s="58"/>
      <c r="DL427" s="69"/>
      <c r="DM427" s="68">
        <f t="shared" si="259"/>
        <v>0</v>
      </c>
      <c r="DN427" s="58"/>
      <c r="DO427" s="58"/>
      <c r="DP427" s="68">
        <f t="shared" si="260"/>
        <v>0</v>
      </c>
      <c r="DQ427" s="65"/>
      <c r="DR427" s="65"/>
      <c r="DS427" s="68">
        <f t="shared" si="261"/>
        <v>0</v>
      </c>
      <c r="DT427" s="65"/>
      <c r="DU427" s="65"/>
      <c r="DV427" s="65"/>
      <c r="DW427" s="68">
        <f>SUM(Tableau1[[#This Row],[Comission et courtage sur achats]:[Autres ou honoraires
 non précisé ]])</f>
        <v>0</v>
      </c>
      <c r="DX427" s="57"/>
      <c r="DY427" s="57"/>
      <c r="DZ427" s="65"/>
      <c r="EA427" s="65"/>
      <c r="EB427" s="65"/>
      <c r="EC427" s="68">
        <f t="shared" si="262"/>
        <v>0</v>
      </c>
      <c r="ED427" s="69"/>
      <c r="EE427" s="69"/>
      <c r="EF427" s="69"/>
      <c r="EG427" s="69"/>
      <c r="EH427" s="69"/>
      <c r="EI427" s="84">
        <f>SUM(Tableau1[[#This Row],[Transports sur films]:[autres ]])</f>
        <v>0</v>
      </c>
      <c r="EJ427" s="132">
        <v>0</v>
      </c>
      <c r="EK427" s="132"/>
      <c r="EL427" s="68">
        <f t="shared" si="263"/>
        <v>0</v>
      </c>
      <c r="EM427" s="65"/>
      <c r="EN427" s="65">
        <v>0</v>
      </c>
      <c r="EO427" s="65"/>
      <c r="EP427" s="65"/>
      <c r="EQ427" s="65"/>
      <c r="ER427" s="65"/>
      <c r="ES427" s="65"/>
      <c r="ET427" s="68">
        <f t="shared" si="264"/>
        <v>0</v>
      </c>
      <c r="EU427" s="65"/>
      <c r="EV427" s="65"/>
      <c r="EW427" s="65"/>
      <c r="EX427" s="65"/>
      <c r="EY427" s="65"/>
      <c r="EZ427" s="68">
        <f t="shared" si="241"/>
        <v>0</v>
      </c>
      <c r="FA427" s="65"/>
      <c r="FB427" s="65"/>
      <c r="FC427" s="70">
        <f t="shared" si="240"/>
        <v>0</v>
      </c>
      <c r="FD427" s="65"/>
      <c r="FE427" s="71">
        <f t="shared" si="265"/>
        <v>0</v>
      </c>
      <c r="FF427" s="72">
        <f t="shared" si="266"/>
        <v>0</v>
      </c>
      <c r="FG427" s="65"/>
      <c r="FH427" s="65"/>
      <c r="FI427" s="65"/>
      <c r="FJ427" s="56">
        <f t="shared" si="267"/>
        <v>0</v>
      </c>
      <c r="FK427" s="65"/>
      <c r="FL427" s="65"/>
      <c r="FM427" s="65"/>
      <c r="FN427" s="65"/>
      <c r="FO427" s="67">
        <f t="shared" si="268"/>
        <v>0</v>
      </c>
      <c r="FP427" s="57"/>
      <c r="FQ427" s="73"/>
      <c r="FR427" s="73"/>
      <c r="FS427" s="71">
        <f t="shared" si="269"/>
        <v>0</v>
      </c>
      <c r="FT427" s="91"/>
      <c r="FU427" s="91"/>
      <c r="FV427" s="67">
        <f>SUM(Tableau1[[#This Row],[Droits d''auteurs SACEM + cotisations SACEM]:[Autres ou non préciés]])</f>
        <v>0</v>
      </c>
      <c r="FW427" s="75">
        <f t="shared" si="270"/>
        <v>0</v>
      </c>
      <c r="FX427" s="74">
        <v>0</v>
      </c>
      <c r="FY427" s="74"/>
      <c r="FZ427" s="74"/>
      <c r="GA427" s="74"/>
      <c r="GB427" s="71">
        <f t="shared" si="271"/>
        <v>0</v>
      </c>
      <c r="GC427" s="92"/>
      <c r="GD427" s="92"/>
      <c r="GE427" s="67">
        <f t="shared" si="272"/>
        <v>0</v>
      </c>
      <c r="GF427" s="66"/>
      <c r="GG427" s="66"/>
      <c r="GH427" s="66"/>
      <c r="GI427" s="66"/>
      <c r="GJ427" s="77"/>
    </row>
    <row r="428" spans="1:192" ht="18.600000000000001" customHeight="1" x14ac:dyDescent="0.25">
      <c r="A428" s="89"/>
      <c r="B428" s="17"/>
      <c r="C428" s="50"/>
      <c r="D428" s="140"/>
      <c r="E428" s="51"/>
      <c r="F428" s="139">
        <f t="shared" si="276"/>
        <v>1</v>
      </c>
      <c r="G428" s="49"/>
      <c r="H428" s="50"/>
      <c r="I428" s="122"/>
      <c r="J428" s="49"/>
      <c r="K428" s="50"/>
      <c r="L428" s="50"/>
      <c r="M428" s="90"/>
      <c r="N428" s="50"/>
      <c r="O428" s="50"/>
      <c r="P428" s="90"/>
      <c r="Q428" s="52">
        <f t="shared" si="242"/>
        <v>0</v>
      </c>
      <c r="R428" s="52">
        <f t="shared" si="243"/>
        <v>0</v>
      </c>
      <c r="S428" s="53">
        <f t="shared" si="244"/>
        <v>0</v>
      </c>
      <c r="T428" s="54">
        <f t="shared" si="245"/>
        <v>0</v>
      </c>
      <c r="U428" s="115">
        <f>SUM(Tableau1[[#This Row],[Vente confiserie]:[Vente boisson]])</f>
        <v>0</v>
      </c>
      <c r="V428" s="95"/>
      <c r="W428" s="95"/>
      <c r="X428" s="136">
        <f>SUM(Tableau1[[#This Row],[Vente lunette]:[Location lunette]])</f>
        <v>0</v>
      </c>
      <c r="Y428" s="95"/>
      <c r="Z428" s="95"/>
      <c r="AA428" s="95"/>
      <c r="AB428" s="95"/>
      <c r="AC428" s="56">
        <f t="shared" si="274"/>
        <v>0</v>
      </c>
      <c r="AD428" s="57"/>
      <c r="AE428" s="57"/>
      <c r="AF428" s="57"/>
      <c r="AG428" s="57"/>
      <c r="AH428" s="57"/>
      <c r="AI428" s="57"/>
      <c r="AJ428" s="118">
        <f>(Tableau1[[#This Row],[Recette guichet ]]*1.1275177)-Tableau1[[#This Row],[Recette guichet ]]</f>
        <v>0</v>
      </c>
      <c r="AK428" s="57"/>
      <c r="AL428" s="56">
        <f t="shared" si="275"/>
        <v>0</v>
      </c>
      <c r="AM428" s="58"/>
      <c r="AN428" s="58"/>
      <c r="AO428" s="58"/>
      <c r="AP428" s="115">
        <f t="shared" si="246"/>
        <v>0</v>
      </c>
      <c r="AQ428" s="69"/>
      <c r="AR428" s="69"/>
      <c r="AS428" s="69"/>
      <c r="AT428" s="69"/>
      <c r="AU428" s="59">
        <f t="shared" si="247"/>
        <v>0</v>
      </c>
      <c r="AV428" s="60">
        <f t="shared" si="248"/>
        <v>0</v>
      </c>
      <c r="AW428" s="58"/>
      <c r="AX428" s="58"/>
      <c r="AY428" s="58"/>
      <c r="AZ428" s="60">
        <f t="shared" si="238"/>
        <v>0</v>
      </c>
      <c r="BA428" s="58"/>
      <c r="BB428" s="58"/>
      <c r="BC428" s="58"/>
      <c r="BD428" s="60">
        <f>SUM(Tableau1[[#This Row],[ticket/carte/abonnement périmé]:[Autres ou non précisé 5]])</f>
        <v>0</v>
      </c>
      <c r="BE428" s="58"/>
      <c r="BF428" s="58"/>
      <c r="BG428" s="58"/>
      <c r="BH428" s="61">
        <f t="shared" si="249"/>
        <v>0</v>
      </c>
      <c r="BI428" s="120"/>
      <c r="BJ428" s="120"/>
      <c r="BK428" s="62">
        <f t="shared" si="250"/>
        <v>0</v>
      </c>
      <c r="BL428" s="120"/>
      <c r="BM428" s="120"/>
      <c r="BN428" s="120"/>
      <c r="BO428" s="120"/>
      <c r="BP428" s="120"/>
      <c r="BQ428" s="63"/>
      <c r="BR428" s="52">
        <f t="shared" si="251"/>
        <v>0</v>
      </c>
      <c r="BS428" s="52">
        <f t="shared" si="252"/>
        <v>0</v>
      </c>
      <c r="BT428" s="61">
        <f t="shared" si="253"/>
        <v>0</v>
      </c>
      <c r="BU428" s="64">
        <f t="shared" si="254"/>
        <v>0</v>
      </c>
      <c r="BV428" s="119">
        <f>SUM(Tableau1[[#This Row],[Achats confiserie]:[Achats boisson]])</f>
        <v>0</v>
      </c>
      <c r="BW428" s="58"/>
      <c r="BX428" s="69"/>
      <c r="BY428" s="58"/>
      <c r="BZ428" s="56">
        <f t="shared" si="255"/>
        <v>0</v>
      </c>
      <c r="CA428" s="66"/>
      <c r="CB428" s="66"/>
      <c r="CC428" s="56">
        <f t="shared" si="256"/>
        <v>0</v>
      </c>
      <c r="CD428" s="55"/>
      <c r="CE428" s="65"/>
      <c r="CF428" s="55"/>
      <c r="CG428" s="55"/>
      <c r="CH428" s="67">
        <f t="shared" si="257"/>
        <v>0</v>
      </c>
      <c r="CI428" s="68">
        <f t="shared" si="273"/>
        <v>0</v>
      </c>
      <c r="CJ428" s="55"/>
      <c r="CK428" s="55"/>
      <c r="CL428" s="55"/>
      <c r="CM428" s="55"/>
      <c r="CN428" s="55"/>
      <c r="CO428" s="68">
        <f t="shared" si="258"/>
        <v>0</v>
      </c>
      <c r="CP428" s="75">
        <f>SUM(Tableau1[[#This Row],[Fourniture eau]:[Energie (non précisé)]])</f>
        <v>0</v>
      </c>
      <c r="CQ428" s="55"/>
      <c r="CR428" s="55"/>
      <c r="CS428" s="55"/>
      <c r="CT428" s="55"/>
      <c r="CU428" s="55"/>
      <c r="CV428" s="55">
        <v>0</v>
      </c>
      <c r="CW428" s="55"/>
      <c r="CX428" s="68">
        <f>SUM(Tableau1[[#This Row],[Sous-traitance]:[Autres ou non précisé 12]])</f>
        <v>0</v>
      </c>
      <c r="CY428" s="65"/>
      <c r="CZ428" s="65"/>
      <c r="DA428" s="65"/>
      <c r="DB428" s="65"/>
      <c r="DC428" s="55"/>
      <c r="DD428" s="68">
        <f t="shared" si="239"/>
        <v>0</v>
      </c>
      <c r="DE428" s="55"/>
      <c r="DF428" s="65"/>
      <c r="DG428" s="65"/>
      <c r="DH428" s="65"/>
      <c r="DI428" s="68">
        <f>SUM(Tableau1[[#This Row],[Entretien et réparation matériel de projection]:[Autres ou non précisé 14]])</f>
        <v>0</v>
      </c>
      <c r="DJ428" s="58"/>
      <c r="DK428" s="58"/>
      <c r="DL428" s="69"/>
      <c r="DM428" s="68">
        <f t="shared" si="259"/>
        <v>0</v>
      </c>
      <c r="DN428" s="58"/>
      <c r="DO428" s="58"/>
      <c r="DP428" s="68">
        <f t="shared" si="260"/>
        <v>0</v>
      </c>
      <c r="DQ428" s="65"/>
      <c r="DR428" s="65"/>
      <c r="DS428" s="68">
        <f t="shared" si="261"/>
        <v>0</v>
      </c>
      <c r="DT428" s="65"/>
      <c r="DU428" s="65"/>
      <c r="DV428" s="65"/>
      <c r="DW428" s="68">
        <f>SUM(Tableau1[[#This Row],[Comission et courtage sur achats]:[Autres ou honoraires
 non précisé ]])</f>
        <v>0</v>
      </c>
      <c r="DX428" s="57"/>
      <c r="DY428" s="57"/>
      <c r="DZ428" s="65"/>
      <c r="EA428" s="65"/>
      <c r="EB428" s="65"/>
      <c r="EC428" s="68">
        <f t="shared" si="262"/>
        <v>0</v>
      </c>
      <c r="ED428" s="69"/>
      <c r="EE428" s="69"/>
      <c r="EF428" s="69"/>
      <c r="EG428" s="69"/>
      <c r="EH428" s="69"/>
      <c r="EI428" s="84">
        <f>SUM(Tableau1[[#This Row],[Transports sur films]:[autres ]])</f>
        <v>0</v>
      </c>
      <c r="EJ428" s="132">
        <v>0</v>
      </c>
      <c r="EK428" s="132"/>
      <c r="EL428" s="68">
        <f t="shared" si="263"/>
        <v>0</v>
      </c>
      <c r="EM428" s="65"/>
      <c r="EN428" s="65">
        <v>0</v>
      </c>
      <c r="EO428" s="65"/>
      <c r="EP428" s="65"/>
      <c r="EQ428" s="65"/>
      <c r="ER428" s="65"/>
      <c r="ES428" s="65"/>
      <c r="ET428" s="68">
        <f t="shared" si="264"/>
        <v>0</v>
      </c>
      <c r="EU428" s="65"/>
      <c r="EV428" s="65"/>
      <c r="EW428" s="65"/>
      <c r="EX428" s="65"/>
      <c r="EY428" s="65"/>
      <c r="EZ428" s="68">
        <f t="shared" si="241"/>
        <v>0</v>
      </c>
      <c r="FA428" s="65"/>
      <c r="FB428" s="65"/>
      <c r="FC428" s="70">
        <f t="shared" si="240"/>
        <v>0</v>
      </c>
      <c r="FD428" s="65"/>
      <c r="FE428" s="71">
        <f t="shared" si="265"/>
        <v>0</v>
      </c>
      <c r="FF428" s="72">
        <f t="shared" si="266"/>
        <v>0</v>
      </c>
      <c r="FG428" s="65"/>
      <c r="FH428" s="65"/>
      <c r="FI428" s="65"/>
      <c r="FJ428" s="56">
        <f t="shared" si="267"/>
        <v>0</v>
      </c>
      <c r="FK428" s="65"/>
      <c r="FL428" s="65"/>
      <c r="FM428" s="65"/>
      <c r="FN428" s="65"/>
      <c r="FO428" s="67">
        <f t="shared" si="268"/>
        <v>0</v>
      </c>
      <c r="FP428" s="57"/>
      <c r="FQ428" s="73"/>
      <c r="FR428" s="73"/>
      <c r="FS428" s="71">
        <f t="shared" si="269"/>
        <v>0</v>
      </c>
      <c r="FT428" s="91"/>
      <c r="FU428" s="91"/>
      <c r="FV428" s="67">
        <f>SUM(Tableau1[[#This Row],[Droits d''auteurs SACEM + cotisations SACEM]:[Autres ou non préciés]])</f>
        <v>0</v>
      </c>
      <c r="FW428" s="75">
        <f t="shared" si="270"/>
        <v>0</v>
      </c>
      <c r="FX428" s="74">
        <v>0</v>
      </c>
      <c r="FY428" s="74"/>
      <c r="FZ428" s="74"/>
      <c r="GA428" s="74"/>
      <c r="GB428" s="71">
        <f t="shared" si="271"/>
        <v>0</v>
      </c>
      <c r="GC428" s="92"/>
      <c r="GD428" s="92"/>
      <c r="GE428" s="67">
        <f t="shared" si="272"/>
        <v>0</v>
      </c>
      <c r="GF428" s="66"/>
      <c r="GG428" s="66"/>
      <c r="GH428" s="66"/>
      <c r="GI428" s="66"/>
      <c r="GJ428" s="77"/>
    </row>
    <row r="429" spans="1:192" ht="18.600000000000001" customHeight="1" x14ac:dyDescent="0.25">
      <c r="A429" s="89"/>
      <c r="B429" s="17"/>
      <c r="C429" s="50"/>
      <c r="D429" s="140"/>
      <c r="E429" s="51"/>
      <c r="F429" s="139">
        <f t="shared" si="276"/>
        <v>1</v>
      </c>
      <c r="G429" s="49"/>
      <c r="H429" s="50"/>
      <c r="I429" s="122"/>
      <c r="J429" s="49"/>
      <c r="K429" s="50"/>
      <c r="L429" s="50"/>
      <c r="M429" s="90"/>
      <c r="N429" s="50"/>
      <c r="O429" s="50"/>
      <c r="P429" s="90"/>
      <c r="Q429" s="52">
        <f t="shared" si="242"/>
        <v>0</v>
      </c>
      <c r="R429" s="52">
        <f t="shared" si="243"/>
        <v>0</v>
      </c>
      <c r="S429" s="53">
        <f t="shared" si="244"/>
        <v>0</v>
      </c>
      <c r="T429" s="54">
        <f t="shared" si="245"/>
        <v>0</v>
      </c>
      <c r="U429" s="115">
        <f>SUM(Tableau1[[#This Row],[Vente confiserie]:[Vente boisson]])</f>
        <v>0</v>
      </c>
      <c r="V429" s="95"/>
      <c r="W429" s="95"/>
      <c r="X429" s="136">
        <f>SUM(Tableau1[[#This Row],[Vente lunette]:[Location lunette]])</f>
        <v>0</v>
      </c>
      <c r="Y429" s="95"/>
      <c r="Z429" s="95"/>
      <c r="AA429" s="95"/>
      <c r="AB429" s="95"/>
      <c r="AC429" s="56">
        <f t="shared" si="274"/>
        <v>0</v>
      </c>
      <c r="AD429" s="57"/>
      <c r="AE429" s="57"/>
      <c r="AF429" s="57"/>
      <c r="AG429" s="57"/>
      <c r="AH429" s="57"/>
      <c r="AI429" s="57"/>
      <c r="AJ429" s="118">
        <f>(Tableau1[[#This Row],[Recette guichet ]]*1.1275177)-Tableau1[[#This Row],[Recette guichet ]]</f>
        <v>0</v>
      </c>
      <c r="AK429" s="57"/>
      <c r="AL429" s="56">
        <f t="shared" si="275"/>
        <v>0</v>
      </c>
      <c r="AM429" s="58"/>
      <c r="AN429" s="58"/>
      <c r="AO429" s="58"/>
      <c r="AP429" s="115">
        <f t="shared" si="246"/>
        <v>0</v>
      </c>
      <c r="AQ429" s="69"/>
      <c r="AR429" s="69"/>
      <c r="AS429" s="69"/>
      <c r="AT429" s="69"/>
      <c r="AU429" s="59">
        <f t="shared" si="247"/>
        <v>0</v>
      </c>
      <c r="AV429" s="60">
        <f t="shared" si="248"/>
        <v>0</v>
      </c>
      <c r="AW429" s="58"/>
      <c r="AX429" s="58"/>
      <c r="AY429" s="58"/>
      <c r="AZ429" s="60">
        <f t="shared" si="238"/>
        <v>0</v>
      </c>
      <c r="BA429" s="58"/>
      <c r="BB429" s="58"/>
      <c r="BC429" s="58"/>
      <c r="BD429" s="60">
        <f>SUM(Tableau1[[#This Row],[ticket/carte/abonnement périmé]:[Autres ou non précisé 5]])</f>
        <v>0</v>
      </c>
      <c r="BE429" s="58"/>
      <c r="BF429" s="58"/>
      <c r="BG429" s="58"/>
      <c r="BH429" s="61">
        <f t="shared" si="249"/>
        <v>0</v>
      </c>
      <c r="BI429" s="120"/>
      <c r="BJ429" s="120"/>
      <c r="BK429" s="62">
        <f t="shared" si="250"/>
        <v>0</v>
      </c>
      <c r="BL429" s="120"/>
      <c r="BM429" s="120"/>
      <c r="BN429" s="120"/>
      <c r="BO429" s="120"/>
      <c r="BP429" s="120"/>
      <c r="BQ429" s="63"/>
      <c r="BR429" s="52">
        <f t="shared" si="251"/>
        <v>0</v>
      </c>
      <c r="BS429" s="52">
        <f t="shared" si="252"/>
        <v>0</v>
      </c>
      <c r="BT429" s="61">
        <f t="shared" si="253"/>
        <v>0</v>
      </c>
      <c r="BU429" s="64">
        <f t="shared" si="254"/>
        <v>0</v>
      </c>
      <c r="BV429" s="119">
        <f>SUM(Tableau1[[#This Row],[Achats confiserie]:[Achats boisson]])</f>
        <v>0</v>
      </c>
      <c r="BW429" s="58"/>
      <c r="BX429" s="69"/>
      <c r="BY429" s="58"/>
      <c r="BZ429" s="56">
        <f t="shared" si="255"/>
        <v>0</v>
      </c>
      <c r="CA429" s="66"/>
      <c r="CB429" s="66"/>
      <c r="CC429" s="56">
        <f t="shared" si="256"/>
        <v>0</v>
      </c>
      <c r="CD429" s="55"/>
      <c r="CE429" s="65"/>
      <c r="CF429" s="55"/>
      <c r="CG429" s="55"/>
      <c r="CH429" s="67">
        <f t="shared" si="257"/>
        <v>0</v>
      </c>
      <c r="CI429" s="68">
        <f t="shared" si="273"/>
        <v>0</v>
      </c>
      <c r="CJ429" s="55"/>
      <c r="CK429" s="55"/>
      <c r="CL429" s="55"/>
      <c r="CM429" s="55"/>
      <c r="CN429" s="55"/>
      <c r="CO429" s="68">
        <f t="shared" si="258"/>
        <v>0</v>
      </c>
      <c r="CP429" s="75">
        <f>SUM(Tableau1[[#This Row],[Fourniture eau]:[Energie (non précisé)]])</f>
        <v>0</v>
      </c>
      <c r="CQ429" s="55"/>
      <c r="CR429" s="55"/>
      <c r="CS429" s="55"/>
      <c r="CT429" s="55"/>
      <c r="CU429" s="55"/>
      <c r="CV429" s="55">
        <v>0</v>
      </c>
      <c r="CW429" s="55"/>
      <c r="CX429" s="68">
        <f>SUM(Tableau1[[#This Row],[Sous-traitance]:[Autres ou non précisé 12]])</f>
        <v>0</v>
      </c>
      <c r="CY429" s="65"/>
      <c r="CZ429" s="65"/>
      <c r="DA429" s="65"/>
      <c r="DB429" s="65"/>
      <c r="DC429" s="55"/>
      <c r="DD429" s="68">
        <f t="shared" si="239"/>
        <v>0</v>
      </c>
      <c r="DE429" s="55"/>
      <c r="DF429" s="65"/>
      <c r="DG429" s="65"/>
      <c r="DH429" s="65"/>
      <c r="DI429" s="68">
        <f>SUM(Tableau1[[#This Row],[Entretien et réparation matériel de projection]:[Autres ou non précisé 14]])</f>
        <v>0</v>
      </c>
      <c r="DJ429" s="58"/>
      <c r="DK429" s="58"/>
      <c r="DL429" s="69"/>
      <c r="DM429" s="68">
        <f t="shared" si="259"/>
        <v>0</v>
      </c>
      <c r="DN429" s="58"/>
      <c r="DO429" s="58"/>
      <c r="DP429" s="68">
        <f t="shared" si="260"/>
        <v>0</v>
      </c>
      <c r="DQ429" s="65"/>
      <c r="DR429" s="65"/>
      <c r="DS429" s="68">
        <f t="shared" si="261"/>
        <v>0</v>
      </c>
      <c r="DT429" s="65"/>
      <c r="DU429" s="65"/>
      <c r="DV429" s="65"/>
      <c r="DW429" s="68">
        <f>SUM(Tableau1[[#This Row],[Comission et courtage sur achats]:[Autres ou honoraires
 non précisé ]])</f>
        <v>0</v>
      </c>
      <c r="DX429" s="57"/>
      <c r="DY429" s="57"/>
      <c r="DZ429" s="65"/>
      <c r="EA429" s="65"/>
      <c r="EB429" s="65"/>
      <c r="EC429" s="68">
        <f t="shared" si="262"/>
        <v>0</v>
      </c>
      <c r="ED429" s="69"/>
      <c r="EE429" s="69"/>
      <c r="EF429" s="69"/>
      <c r="EG429" s="69"/>
      <c r="EH429" s="69"/>
      <c r="EI429" s="84">
        <f>SUM(Tableau1[[#This Row],[Transports sur films]:[autres ]])</f>
        <v>0</v>
      </c>
      <c r="EJ429" s="132">
        <v>0</v>
      </c>
      <c r="EK429" s="132"/>
      <c r="EL429" s="68">
        <f t="shared" si="263"/>
        <v>0</v>
      </c>
      <c r="EM429" s="65"/>
      <c r="EN429" s="65">
        <v>0</v>
      </c>
      <c r="EO429" s="65"/>
      <c r="EP429" s="65"/>
      <c r="EQ429" s="65"/>
      <c r="ER429" s="65"/>
      <c r="ES429" s="65"/>
      <c r="ET429" s="68">
        <f t="shared" si="264"/>
        <v>0</v>
      </c>
      <c r="EU429" s="65"/>
      <c r="EV429" s="65"/>
      <c r="EW429" s="65"/>
      <c r="EX429" s="65"/>
      <c r="EY429" s="65"/>
      <c r="EZ429" s="68">
        <f t="shared" si="241"/>
        <v>0</v>
      </c>
      <c r="FA429" s="65"/>
      <c r="FB429" s="65"/>
      <c r="FC429" s="70">
        <f t="shared" si="240"/>
        <v>0</v>
      </c>
      <c r="FD429" s="65"/>
      <c r="FE429" s="71">
        <f t="shared" si="265"/>
        <v>0</v>
      </c>
      <c r="FF429" s="72">
        <f t="shared" si="266"/>
        <v>0</v>
      </c>
      <c r="FG429" s="65"/>
      <c r="FH429" s="65"/>
      <c r="FI429" s="65"/>
      <c r="FJ429" s="56">
        <f t="shared" si="267"/>
        <v>0</v>
      </c>
      <c r="FK429" s="65"/>
      <c r="FL429" s="65"/>
      <c r="FM429" s="65"/>
      <c r="FN429" s="65"/>
      <c r="FO429" s="67">
        <f t="shared" si="268"/>
        <v>0</v>
      </c>
      <c r="FP429" s="57"/>
      <c r="FQ429" s="73"/>
      <c r="FR429" s="73"/>
      <c r="FS429" s="71">
        <f t="shared" si="269"/>
        <v>0</v>
      </c>
      <c r="FT429" s="91"/>
      <c r="FU429" s="91"/>
      <c r="FV429" s="67">
        <f>SUM(Tableau1[[#This Row],[Droits d''auteurs SACEM + cotisations SACEM]:[Autres ou non préciés]])</f>
        <v>0</v>
      </c>
      <c r="FW429" s="75">
        <f t="shared" si="270"/>
        <v>0</v>
      </c>
      <c r="FX429" s="74">
        <v>0</v>
      </c>
      <c r="FY429" s="74"/>
      <c r="FZ429" s="74"/>
      <c r="GA429" s="74"/>
      <c r="GB429" s="71">
        <f t="shared" si="271"/>
        <v>0</v>
      </c>
      <c r="GC429" s="92"/>
      <c r="GD429" s="92"/>
      <c r="GE429" s="67">
        <f t="shared" si="272"/>
        <v>0</v>
      </c>
      <c r="GF429" s="66"/>
      <c r="GG429" s="66"/>
      <c r="GH429" s="66"/>
      <c r="GI429" s="66"/>
      <c r="GJ429" s="77"/>
    </row>
    <row r="430" spans="1:192" ht="18.600000000000001" customHeight="1" x14ac:dyDescent="0.25">
      <c r="A430" s="89"/>
      <c r="B430" s="17"/>
      <c r="C430" s="50"/>
      <c r="D430" s="140"/>
      <c r="E430" s="51"/>
      <c r="F430" s="139">
        <f t="shared" si="276"/>
        <v>1</v>
      </c>
      <c r="G430" s="49"/>
      <c r="H430" s="50"/>
      <c r="I430" s="122"/>
      <c r="J430" s="49"/>
      <c r="K430" s="50"/>
      <c r="L430" s="50"/>
      <c r="M430" s="90"/>
      <c r="N430" s="50"/>
      <c r="O430" s="50"/>
      <c r="P430" s="90"/>
      <c r="Q430" s="52">
        <f t="shared" si="242"/>
        <v>0</v>
      </c>
      <c r="R430" s="52">
        <f t="shared" si="243"/>
        <v>0</v>
      </c>
      <c r="S430" s="53">
        <f t="shared" si="244"/>
        <v>0</v>
      </c>
      <c r="T430" s="54">
        <f t="shared" si="245"/>
        <v>0</v>
      </c>
      <c r="U430" s="115">
        <f>SUM(Tableau1[[#This Row],[Vente confiserie]:[Vente boisson]])</f>
        <v>0</v>
      </c>
      <c r="V430" s="95"/>
      <c r="W430" s="95"/>
      <c r="X430" s="136">
        <f>SUM(Tableau1[[#This Row],[Vente lunette]:[Location lunette]])</f>
        <v>0</v>
      </c>
      <c r="Y430" s="95"/>
      <c r="Z430" s="95"/>
      <c r="AA430" s="95"/>
      <c r="AB430" s="95"/>
      <c r="AC430" s="56">
        <f t="shared" si="274"/>
        <v>0</v>
      </c>
      <c r="AD430" s="57"/>
      <c r="AE430" s="57"/>
      <c r="AF430" s="57"/>
      <c r="AG430" s="57"/>
      <c r="AH430" s="57"/>
      <c r="AI430" s="57"/>
      <c r="AJ430" s="118">
        <f>(Tableau1[[#This Row],[Recette guichet ]]*1.1275177)-Tableau1[[#This Row],[Recette guichet ]]</f>
        <v>0</v>
      </c>
      <c r="AK430" s="57"/>
      <c r="AL430" s="56">
        <f t="shared" si="275"/>
        <v>0</v>
      </c>
      <c r="AM430" s="58"/>
      <c r="AN430" s="58"/>
      <c r="AO430" s="58"/>
      <c r="AP430" s="115">
        <f t="shared" si="246"/>
        <v>0</v>
      </c>
      <c r="AQ430" s="69"/>
      <c r="AR430" s="69"/>
      <c r="AS430" s="69"/>
      <c r="AT430" s="69"/>
      <c r="AU430" s="59">
        <f t="shared" si="247"/>
        <v>0</v>
      </c>
      <c r="AV430" s="60">
        <f t="shared" si="248"/>
        <v>0</v>
      </c>
      <c r="AW430" s="58"/>
      <c r="AX430" s="58"/>
      <c r="AY430" s="58"/>
      <c r="AZ430" s="60">
        <f t="shared" si="238"/>
        <v>0</v>
      </c>
      <c r="BA430" s="58"/>
      <c r="BB430" s="58"/>
      <c r="BC430" s="58"/>
      <c r="BD430" s="60">
        <f>SUM(Tableau1[[#This Row],[ticket/carte/abonnement périmé]:[Autres ou non précisé 5]])</f>
        <v>0</v>
      </c>
      <c r="BE430" s="58"/>
      <c r="BF430" s="58"/>
      <c r="BG430" s="58"/>
      <c r="BH430" s="61">
        <f t="shared" si="249"/>
        <v>0</v>
      </c>
      <c r="BI430" s="120"/>
      <c r="BJ430" s="120"/>
      <c r="BK430" s="62">
        <f t="shared" si="250"/>
        <v>0</v>
      </c>
      <c r="BL430" s="120"/>
      <c r="BM430" s="120"/>
      <c r="BN430" s="120"/>
      <c r="BO430" s="120"/>
      <c r="BP430" s="120"/>
      <c r="BQ430" s="63"/>
      <c r="BR430" s="52">
        <f t="shared" si="251"/>
        <v>0</v>
      </c>
      <c r="BS430" s="52">
        <f t="shared" si="252"/>
        <v>0</v>
      </c>
      <c r="BT430" s="61">
        <f t="shared" si="253"/>
        <v>0</v>
      </c>
      <c r="BU430" s="64">
        <f t="shared" si="254"/>
        <v>0</v>
      </c>
      <c r="BV430" s="119">
        <f>SUM(Tableau1[[#This Row],[Achats confiserie]:[Achats boisson]])</f>
        <v>0</v>
      </c>
      <c r="BW430" s="58"/>
      <c r="BX430" s="69"/>
      <c r="BY430" s="58"/>
      <c r="BZ430" s="56">
        <f t="shared" si="255"/>
        <v>0</v>
      </c>
      <c r="CA430" s="66"/>
      <c r="CB430" s="66"/>
      <c r="CC430" s="56">
        <f t="shared" si="256"/>
        <v>0</v>
      </c>
      <c r="CD430" s="55"/>
      <c r="CE430" s="65"/>
      <c r="CF430" s="55"/>
      <c r="CG430" s="55"/>
      <c r="CH430" s="67">
        <f t="shared" si="257"/>
        <v>0</v>
      </c>
      <c r="CI430" s="68">
        <f t="shared" si="273"/>
        <v>0</v>
      </c>
      <c r="CJ430" s="55"/>
      <c r="CK430" s="55"/>
      <c r="CL430" s="55"/>
      <c r="CM430" s="55"/>
      <c r="CN430" s="55"/>
      <c r="CO430" s="68">
        <f t="shared" si="258"/>
        <v>0</v>
      </c>
      <c r="CP430" s="75">
        <f>SUM(Tableau1[[#This Row],[Fourniture eau]:[Energie (non précisé)]])</f>
        <v>0</v>
      </c>
      <c r="CQ430" s="55"/>
      <c r="CR430" s="55"/>
      <c r="CS430" s="55"/>
      <c r="CT430" s="55"/>
      <c r="CU430" s="55"/>
      <c r="CV430" s="55">
        <v>0</v>
      </c>
      <c r="CW430" s="55"/>
      <c r="CX430" s="68">
        <f>SUM(Tableau1[[#This Row],[Sous-traitance]:[Autres ou non précisé 12]])</f>
        <v>0</v>
      </c>
      <c r="CY430" s="65"/>
      <c r="CZ430" s="65"/>
      <c r="DA430" s="65"/>
      <c r="DB430" s="65"/>
      <c r="DC430" s="55"/>
      <c r="DD430" s="68">
        <f t="shared" si="239"/>
        <v>0</v>
      </c>
      <c r="DE430" s="55"/>
      <c r="DF430" s="65"/>
      <c r="DG430" s="65"/>
      <c r="DH430" s="65"/>
      <c r="DI430" s="68">
        <f>SUM(Tableau1[[#This Row],[Entretien et réparation matériel de projection]:[Autres ou non précisé 14]])</f>
        <v>0</v>
      </c>
      <c r="DJ430" s="58"/>
      <c r="DK430" s="58"/>
      <c r="DL430" s="69"/>
      <c r="DM430" s="68">
        <f t="shared" si="259"/>
        <v>0</v>
      </c>
      <c r="DN430" s="58"/>
      <c r="DO430" s="58"/>
      <c r="DP430" s="68">
        <f t="shared" si="260"/>
        <v>0</v>
      </c>
      <c r="DQ430" s="65"/>
      <c r="DR430" s="65"/>
      <c r="DS430" s="68">
        <f t="shared" si="261"/>
        <v>0</v>
      </c>
      <c r="DT430" s="65"/>
      <c r="DU430" s="65"/>
      <c r="DV430" s="65"/>
      <c r="DW430" s="68">
        <f>SUM(Tableau1[[#This Row],[Comission et courtage sur achats]:[Autres ou honoraires
 non précisé ]])</f>
        <v>0</v>
      </c>
      <c r="DX430" s="57"/>
      <c r="DY430" s="57"/>
      <c r="DZ430" s="65"/>
      <c r="EA430" s="65"/>
      <c r="EB430" s="65"/>
      <c r="EC430" s="68">
        <f t="shared" si="262"/>
        <v>0</v>
      </c>
      <c r="ED430" s="69"/>
      <c r="EE430" s="69"/>
      <c r="EF430" s="69"/>
      <c r="EG430" s="69"/>
      <c r="EH430" s="69"/>
      <c r="EI430" s="84">
        <f>SUM(Tableau1[[#This Row],[Transports sur films]:[autres ]])</f>
        <v>0</v>
      </c>
      <c r="EJ430" s="132">
        <v>0</v>
      </c>
      <c r="EK430" s="132"/>
      <c r="EL430" s="68">
        <f t="shared" si="263"/>
        <v>0</v>
      </c>
      <c r="EM430" s="65"/>
      <c r="EN430" s="65">
        <v>0</v>
      </c>
      <c r="EO430" s="65"/>
      <c r="EP430" s="65"/>
      <c r="EQ430" s="65"/>
      <c r="ER430" s="65"/>
      <c r="ES430" s="65"/>
      <c r="ET430" s="68">
        <f t="shared" si="264"/>
        <v>0</v>
      </c>
      <c r="EU430" s="65"/>
      <c r="EV430" s="65"/>
      <c r="EW430" s="65"/>
      <c r="EX430" s="65"/>
      <c r="EY430" s="65"/>
      <c r="EZ430" s="68">
        <f t="shared" si="241"/>
        <v>0</v>
      </c>
      <c r="FA430" s="65"/>
      <c r="FB430" s="65"/>
      <c r="FC430" s="70">
        <f t="shared" si="240"/>
        <v>0</v>
      </c>
      <c r="FD430" s="65"/>
      <c r="FE430" s="71">
        <f t="shared" si="265"/>
        <v>0</v>
      </c>
      <c r="FF430" s="72">
        <f t="shared" si="266"/>
        <v>0</v>
      </c>
      <c r="FG430" s="65"/>
      <c r="FH430" s="65"/>
      <c r="FI430" s="65"/>
      <c r="FJ430" s="56">
        <f t="shared" si="267"/>
        <v>0</v>
      </c>
      <c r="FK430" s="65"/>
      <c r="FL430" s="65"/>
      <c r="FM430" s="65"/>
      <c r="FN430" s="65"/>
      <c r="FO430" s="67">
        <f t="shared" si="268"/>
        <v>0</v>
      </c>
      <c r="FP430" s="57"/>
      <c r="FQ430" s="73"/>
      <c r="FR430" s="73"/>
      <c r="FS430" s="71">
        <f t="shared" si="269"/>
        <v>0</v>
      </c>
      <c r="FT430" s="91"/>
      <c r="FU430" s="91"/>
      <c r="FV430" s="67">
        <f>SUM(Tableau1[[#This Row],[Droits d''auteurs SACEM + cotisations SACEM]:[Autres ou non préciés]])</f>
        <v>0</v>
      </c>
      <c r="FW430" s="75">
        <f t="shared" si="270"/>
        <v>0</v>
      </c>
      <c r="FX430" s="74">
        <v>0</v>
      </c>
      <c r="FY430" s="74"/>
      <c r="FZ430" s="74"/>
      <c r="GA430" s="74"/>
      <c r="GB430" s="71">
        <f t="shared" si="271"/>
        <v>0</v>
      </c>
      <c r="GC430" s="92"/>
      <c r="GD430" s="92"/>
      <c r="GE430" s="67">
        <f t="shared" si="272"/>
        <v>0</v>
      </c>
      <c r="GF430" s="66"/>
      <c r="GG430" s="66"/>
      <c r="GH430" s="66"/>
      <c r="GI430" s="66"/>
      <c r="GJ430" s="77"/>
    </row>
    <row r="431" spans="1:192" ht="18.600000000000001" customHeight="1" x14ac:dyDescent="0.25">
      <c r="A431" s="89"/>
      <c r="B431" s="17"/>
      <c r="C431" s="50"/>
      <c r="D431" s="140"/>
      <c r="E431" s="51"/>
      <c r="F431" s="139">
        <f t="shared" si="276"/>
        <v>1</v>
      </c>
      <c r="G431" s="49"/>
      <c r="H431" s="50"/>
      <c r="I431" s="122"/>
      <c r="J431" s="49"/>
      <c r="K431" s="50"/>
      <c r="L431" s="50"/>
      <c r="M431" s="90"/>
      <c r="N431" s="50"/>
      <c r="O431" s="50"/>
      <c r="P431" s="90"/>
      <c r="Q431" s="52">
        <f t="shared" si="242"/>
        <v>0</v>
      </c>
      <c r="R431" s="52">
        <f t="shared" si="243"/>
        <v>0</v>
      </c>
      <c r="S431" s="53">
        <f t="shared" si="244"/>
        <v>0</v>
      </c>
      <c r="T431" s="54">
        <f t="shared" si="245"/>
        <v>0</v>
      </c>
      <c r="U431" s="115">
        <f>SUM(Tableau1[[#This Row],[Vente confiserie]:[Vente boisson]])</f>
        <v>0</v>
      </c>
      <c r="V431" s="95"/>
      <c r="W431" s="95"/>
      <c r="X431" s="136">
        <f>SUM(Tableau1[[#This Row],[Vente lunette]:[Location lunette]])</f>
        <v>0</v>
      </c>
      <c r="Y431" s="95"/>
      <c r="Z431" s="95"/>
      <c r="AA431" s="95"/>
      <c r="AB431" s="95"/>
      <c r="AC431" s="56">
        <f t="shared" si="274"/>
        <v>0</v>
      </c>
      <c r="AD431" s="57"/>
      <c r="AE431" s="57"/>
      <c r="AF431" s="57"/>
      <c r="AG431" s="57"/>
      <c r="AH431" s="57"/>
      <c r="AI431" s="57"/>
      <c r="AJ431" s="118">
        <f>(Tableau1[[#This Row],[Recette guichet ]]*1.1275177)-Tableau1[[#This Row],[Recette guichet ]]</f>
        <v>0</v>
      </c>
      <c r="AK431" s="57"/>
      <c r="AL431" s="56">
        <f t="shared" si="275"/>
        <v>0</v>
      </c>
      <c r="AM431" s="58"/>
      <c r="AN431" s="58"/>
      <c r="AO431" s="58"/>
      <c r="AP431" s="115">
        <f t="shared" si="246"/>
        <v>0</v>
      </c>
      <c r="AQ431" s="69"/>
      <c r="AR431" s="69"/>
      <c r="AS431" s="69"/>
      <c r="AT431" s="69"/>
      <c r="AU431" s="59">
        <f t="shared" si="247"/>
        <v>0</v>
      </c>
      <c r="AV431" s="60">
        <f t="shared" si="248"/>
        <v>0</v>
      </c>
      <c r="AW431" s="58"/>
      <c r="AX431" s="58"/>
      <c r="AY431" s="58"/>
      <c r="AZ431" s="60">
        <f t="shared" si="238"/>
        <v>0</v>
      </c>
      <c r="BA431" s="58"/>
      <c r="BB431" s="58"/>
      <c r="BC431" s="58"/>
      <c r="BD431" s="60">
        <f>SUM(Tableau1[[#This Row],[ticket/carte/abonnement périmé]:[Autres ou non précisé 5]])</f>
        <v>0</v>
      </c>
      <c r="BE431" s="58"/>
      <c r="BF431" s="58"/>
      <c r="BG431" s="58"/>
      <c r="BH431" s="61">
        <f t="shared" si="249"/>
        <v>0</v>
      </c>
      <c r="BI431" s="120"/>
      <c r="BJ431" s="120"/>
      <c r="BK431" s="62">
        <f t="shared" si="250"/>
        <v>0</v>
      </c>
      <c r="BL431" s="120"/>
      <c r="BM431" s="120"/>
      <c r="BN431" s="120"/>
      <c r="BO431" s="120"/>
      <c r="BP431" s="120"/>
      <c r="BQ431" s="63"/>
      <c r="BR431" s="52">
        <f t="shared" si="251"/>
        <v>0</v>
      </c>
      <c r="BS431" s="52">
        <f t="shared" si="252"/>
        <v>0</v>
      </c>
      <c r="BT431" s="61">
        <f t="shared" si="253"/>
        <v>0</v>
      </c>
      <c r="BU431" s="64">
        <f t="shared" si="254"/>
        <v>0</v>
      </c>
      <c r="BV431" s="119">
        <f>SUM(Tableau1[[#This Row],[Achats confiserie]:[Achats boisson]])</f>
        <v>0</v>
      </c>
      <c r="BW431" s="58"/>
      <c r="BX431" s="69"/>
      <c r="BY431" s="58"/>
      <c r="BZ431" s="56">
        <f t="shared" si="255"/>
        <v>0</v>
      </c>
      <c r="CA431" s="66"/>
      <c r="CB431" s="66"/>
      <c r="CC431" s="56">
        <f t="shared" si="256"/>
        <v>0</v>
      </c>
      <c r="CD431" s="55"/>
      <c r="CE431" s="65"/>
      <c r="CF431" s="55"/>
      <c r="CG431" s="55"/>
      <c r="CH431" s="67">
        <f t="shared" si="257"/>
        <v>0</v>
      </c>
      <c r="CI431" s="68">
        <f t="shared" si="273"/>
        <v>0</v>
      </c>
      <c r="CJ431" s="55"/>
      <c r="CK431" s="55"/>
      <c r="CL431" s="55"/>
      <c r="CM431" s="55"/>
      <c r="CN431" s="55"/>
      <c r="CO431" s="68">
        <f t="shared" si="258"/>
        <v>0</v>
      </c>
      <c r="CP431" s="75">
        <f>SUM(Tableau1[[#This Row],[Fourniture eau]:[Energie (non précisé)]])</f>
        <v>0</v>
      </c>
      <c r="CQ431" s="55"/>
      <c r="CR431" s="55"/>
      <c r="CS431" s="55"/>
      <c r="CT431" s="55"/>
      <c r="CU431" s="55"/>
      <c r="CV431" s="55">
        <v>0</v>
      </c>
      <c r="CW431" s="55"/>
      <c r="CX431" s="68">
        <f>SUM(Tableau1[[#This Row],[Sous-traitance]:[Autres ou non précisé 12]])</f>
        <v>0</v>
      </c>
      <c r="CY431" s="65"/>
      <c r="CZ431" s="65"/>
      <c r="DA431" s="65"/>
      <c r="DB431" s="65"/>
      <c r="DC431" s="55"/>
      <c r="DD431" s="68">
        <f t="shared" si="239"/>
        <v>0</v>
      </c>
      <c r="DE431" s="55"/>
      <c r="DF431" s="65"/>
      <c r="DG431" s="65"/>
      <c r="DH431" s="65"/>
      <c r="DI431" s="68">
        <f>SUM(Tableau1[[#This Row],[Entretien et réparation matériel de projection]:[Autres ou non précisé 14]])</f>
        <v>0</v>
      </c>
      <c r="DJ431" s="58"/>
      <c r="DK431" s="58"/>
      <c r="DL431" s="69"/>
      <c r="DM431" s="68">
        <f t="shared" si="259"/>
        <v>0</v>
      </c>
      <c r="DN431" s="58"/>
      <c r="DO431" s="58"/>
      <c r="DP431" s="68">
        <f t="shared" si="260"/>
        <v>0</v>
      </c>
      <c r="DQ431" s="65"/>
      <c r="DR431" s="65"/>
      <c r="DS431" s="68">
        <f t="shared" si="261"/>
        <v>0</v>
      </c>
      <c r="DT431" s="65"/>
      <c r="DU431" s="65"/>
      <c r="DV431" s="65"/>
      <c r="DW431" s="68">
        <f>SUM(Tableau1[[#This Row],[Comission et courtage sur achats]:[Autres ou honoraires
 non précisé ]])</f>
        <v>0</v>
      </c>
      <c r="DX431" s="57"/>
      <c r="DY431" s="57"/>
      <c r="DZ431" s="65"/>
      <c r="EA431" s="65"/>
      <c r="EB431" s="65"/>
      <c r="EC431" s="68">
        <f t="shared" si="262"/>
        <v>0</v>
      </c>
      <c r="ED431" s="69"/>
      <c r="EE431" s="69"/>
      <c r="EF431" s="69"/>
      <c r="EG431" s="69"/>
      <c r="EH431" s="69"/>
      <c r="EI431" s="84">
        <f>SUM(Tableau1[[#This Row],[Transports sur films]:[autres ]])</f>
        <v>0</v>
      </c>
      <c r="EJ431" s="132">
        <v>0</v>
      </c>
      <c r="EK431" s="132"/>
      <c r="EL431" s="68">
        <f t="shared" si="263"/>
        <v>0</v>
      </c>
      <c r="EM431" s="65"/>
      <c r="EN431" s="65">
        <v>0</v>
      </c>
      <c r="EO431" s="65"/>
      <c r="EP431" s="65"/>
      <c r="EQ431" s="65"/>
      <c r="ER431" s="65"/>
      <c r="ES431" s="65"/>
      <c r="ET431" s="68">
        <f t="shared" si="264"/>
        <v>0</v>
      </c>
      <c r="EU431" s="65"/>
      <c r="EV431" s="65"/>
      <c r="EW431" s="65"/>
      <c r="EX431" s="65"/>
      <c r="EY431" s="65"/>
      <c r="EZ431" s="68">
        <f t="shared" si="241"/>
        <v>0</v>
      </c>
      <c r="FA431" s="65"/>
      <c r="FB431" s="65"/>
      <c r="FC431" s="70">
        <f t="shared" si="240"/>
        <v>0</v>
      </c>
      <c r="FD431" s="65"/>
      <c r="FE431" s="71">
        <f t="shared" si="265"/>
        <v>0</v>
      </c>
      <c r="FF431" s="72">
        <f t="shared" si="266"/>
        <v>0</v>
      </c>
      <c r="FG431" s="65"/>
      <c r="FH431" s="65"/>
      <c r="FI431" s="65"/>
      <c r="FJ431" s="56">
        <f t="shared" si="267"/>
        <v>0</v>
      </c>
      <c r="FK431" s="65"/>
      <c r="FL431" s="65"/>
      <c r="FM431" s="65"/>
      <c r="FN431" s="65"/>
      <c r="FO431" s="67">
        <f t="shared" si="268"/>
        <v>0</v>
      </c>
      <c r="FP431" s="57"/>
      <c r="FQ431" s="73"/>
      <c r="FR431" s="73"/>
      <c r="FS431" s="71">
        <f t="shared" si="269"/>
        <v>0</v>
      </c>
      <c r="FT431" s="91"/>
      <c r="FU431" s="91"/>
      <c r="FV431" s="67">
        <f>SUM(Tableau1[[#This Row],[Droits d''auteurs SACEM + cotisations SACEM]:[Autres ou non préciés]])</f>
        <v>0</v>
      </c>
      <c r="FW431" s="75">
        <f t="shared" si="270"/>
        <v>0</v>
      </c>
      <c r="FX431" s="74">
        <v>0</v>
      </c>
      <c r="FY431" s="74"/>
      <c r="FZ431" s="74"/>
      <c r="GA431" s="74"/>
      <c r="GB431" s="71">
        <f t="shared" si="271"/>
        <v>0</v>
      </c>
      <c r="GC431" s="92"/>
      <c r="GD431" s="92"/>
      <c r="GE431" s="67">
        <f t="shared" si="272"/>
        <v>0</v>
      </c>
      <c r="GF431" s="66"/>
      <c r="GG431" s="66"/>
      <c r="GH431" s="66"/>
      <c r="GI431" s="66"/>
      <c r="GJ431" s="77"/>
    </row>
    <row r="432" spans="1:192" ht="18.600000000000001" customHeight="1" x14ac:dyDescent="0.25">
      <c r="A432" s="89"/>
      <c r="B432" s="17"/>
      <c r="C432" s="50"/>
      <c r="D432" s="140"/>
      <c r="E432" s="51"/>
      <c r="F432" s="139">
        <f t="shared" si="276"/>
        <v>1</v>
      </c>
      <c r="G432" s="49"/>
      <c r="H432" s="50"/>
      <c r="I432" s="122"/>
      <c r="J432" s="49"/>
      <c r="K432" s="50"/>
      <c r="L432" s="50"/>
      <c r="M432" s="90"/>
      <c r="N432" s="50"/>
      <c r="O432" s="50"/>
      <c r="P432" s="90"/>
      <c r="Q432" s="52">
        <f t="shared" si="242"/>
        <v>0</v>
      </c>
      <c r="R432" s="52">
        <f t="shared" si="243"/>
        <v>0</v>
      </c>
      <c r="S432" s="53">
        <f t="shared" si="244"/>
        <v>0</v>
      </c>
      <c r="T432" s="54">
        <f t="shared" si="245"/>
        <v>0</v>
      </c>
      <c r="U432" s="115">
        <f>SUM(Tableau1[[#This Row],[Vente confiserie]:[Vente boisson]])</f>
        <v>0</v>
      </c>
      <c r="V432" s="95"/>
      <c r="W432" s="95"/>
      <c r="X432" s="136">
        <f>SUM(Tableau1[[#This Row],[Vente lunette]:[Location lunette]])</f>
        <v>0</v>
      </c>
      <c r="Y432" s="95"/>
      <c r="Z432" s="95"/>
      <c r="AA432" s="95"/>
      <c r="AB432" s="95"/>
      <c r="AC432" s="56">
        <f t="shared" si="274"/>
        <v>0</v>
      </c>
      <c r="AD432" s="57"/>
      <c r="AE432" s="57"/>
      <c r="AF432" s="57"/>
      <c r="AG432" s="57"/>
      <c r="AH432" s="57"/>
      <c r="AI432" s="57"/>
      <c r="AJ432" s="118">
        <f>(Tableau1[[#This Row],[Recette guichet ]]*1.1275177)-Tableau1[[#This Row],[Recette guichet ]]</f>
        <v>0</v>
      </c>
      <c r="AK432" s="57"/>
      <c r="AL432" s="56">
        <f t="shared" si="275"/>
        <v>0</v>
      </c>
      <c r="AM432" s="58"/>
      <c r="AN432" s="58"/>
      <c r="AO432" s="58"/>
      <c r="AP432" s="115">
        <f t="shared" si="246"/>
        <v>0</v>
      </c>
      <c r="AQ432" s="69"/>
      <c r="AR432" s="69"/>
      <c r="AS432" s="69"/>
      <c r="AT432" s="69"/>
      <c r="AU432" s="59">
        <f t="shared" si="247"/>
        <v>0</v>
      </c>
      <c r="AV432" s="60">
        <f t="shared" si="248"/>
        <v>0</v>
      </c>
      <c r="AW432" s="58"/>
      <c r="AX432" s="58"/>
      <c r="AY432" s="58"/>
      <c r="AZ432" s="60">
        <f t="shared" si="238"/>
        <v>0</v>
      </c>
      <c r="BA432" s="58"/>
      <c r="BB432" s="58"/>
      <c r="BC432" s="58"/>
      <c r="BD432" s="60">
        <f>SUM(Tableau1[[#This Row],[ticket/carte/abonnement périmé]:[Autres ou non précisé 5]])</f>
        <v>0</v>
      </c>
      <c r="BE432" s="58"/>
      <c r="BF432" s="58"/>
      <c r="BG432" s="58"/>
      <c r="BH432" s="61">
        <f t="shared" si="249"/>
        <v>0</v>
      </c>
      <c r="BI432" s="120"/>
      <c r="BJ432" s="120"/>
      <c r="BK432" s="62">
        <f t="shared" si="250"/>
        <v>0</v>
      </c>
      <c r="BL432" s="120"/>
      <c r="BM432" s="120"/>
      <c r="BN432" s="120"/>
      <c r="BO432" s="120"/>
      <c r="BP432" s="120"/>
      <c r="BQ432" s="63"/>
      <c r="BR432" s="52">
        <f t="shared" si="251"/>
        <v>0</v>
      </c>
      <c r="BS432" s="52">
        <f t="shared" si="252"/>
        <v>0</v>
      </c>
      <c r="BT432" s="61">
        <f t="shared" si="253"/>
        <v>0</v>
      </c>
      <c r="BU432" s="64">
        <f t="shared" si="254"/>
        <v>0</v>
      </c>
      <c r="BV432" s="119">
        <f>SUM(Tableau1[[#This Row],[Achats confiserie]:[Achats boisson]])</f>
        <v>0</v>
      </c>
      <c r="BW432" s="58"/>
      <c r="BX432" s="69"/>
      <c r="BY432" s="58"/>
      <c r="BZ432" s="56">
        <f t="shared" si="255"/>
        <v>0</v>
      </c>
      <c r="CA432" s="209"/>
      <c r="CB432" s="209"/>
      <c r="CC432" s="56">
        <f t="shared" si="256"/>
        <v>0</v>
      </c>
      <c r="CD432" s="55"/>
      <c r="CE432" s="65"/>
      <c r="CF432" s="55"/>
      <c r="CG432" s="55"/>
      <c r="CH432" s="67">
        <f t="shared" si="257"/>
        <v>0</v>
      </c>
      <c r="CI432" s="68">
        <f t="shared" si="273"/>
        <v>0</v>
      </c>
      <c r="CJ432" s="55"/>
      <c r="CK432" s="55"/>
      <c r="CL432" s="55"/>
      <c r="CM432" s="55"/>
      <c r="CN432" s="55"/>
      <c r="CO432" s="68">
        <f t="shared" si="258"/>
        <v>0</v>
      </c>
      <c r="CP432" s="75">
        <f>SUM(Tableau1[[#This Row],[Fourniture eau]:[Energie (non précisé)]])</f>
        <v>0</v>
      </c>
      <c r="CQ432" s="55"/>
      <c r="CR432" s="55"/>
      <c r="CS432" s="55"/>
      <c r="CT432" s="55"/>
      <c r="CU432" s="55"/>
      <c r="CV432" s="55">
        <v>0</v>
      </c>
      <c r="CW432" s="55"/>
      <c r="CX432" s="68">
        <f>SUM(Tableau1[[#This Row],[Sous-traitance]:[Autres ou non précisé 12]])</f>
        <v>0</v>
      </c>
      <c r="CY432" s="65"/>
      <c r="CZ432" s="65"/>
      <c r="DA432" s="65"/>
      <c r="DB432" s="65"/>
      <c r="DC432" s="55"/>
      <c r="DD432" s="68">
        <f t="shared" si="239"/>
        <v>0</v>
      </c>
      <c r="DE432" s="55"/>
      <c r="DF432" s="65"/>
      <c r="DG432" s="65"/>
      <c r="DH432" s="65"/>
      <c r="DI432" s="68">
        <f>SUM(Tableau1[[#This Row],[Entretien et réparation matériel de projection]:[Autres ou non précisé 14]])</f>
        <v>0</v>
      </c>
      <c r="DJ432" s="58"/>
      <c r="DK432" s="58"/>
      <c r="DL432" s="69"/>
      <c r="DM432" s="68">
        <f t="shared" si="259"/>
        <v>0</v>
      </c>
      <c r="DN432" s="58"/>
      <c r="DO432" s="58"/>
      <c r="DP432" s="68">
        <f t="shared" si="260"/>
        <v>0</v>
      </c>
      <c r="DQ432" s="65"/>
      <c r="DR432" s="65"/>
      <c r="DS432" s="68">
        <f t="shared" si="261"/>
        <v>0</v>
      </c>
      <c r="DT432" s="65"/>
      <c r="DU432" s="65"/>
      <c r="DV432" s="65"/>
      <c r="DW432" s="68">
        <f>SUM(Tableau1[[#This Row],[Comission et courtage sur achats]:[Autres ou honoraires
 non précisé ]])</f>
        <v>0</v>
      </c>
      <c r="DX432" s="57"/>
      <c r="DY432" s="57"/>
      <c r="DZ432" s="65"/>
      <c r="EA432" s="65"/>
      <c r="EB432" s="65"/>
      <c r="EC432" s="68">
        <f t="shared" si="262"/>
        <v>0</v>
      </c>
      <c r="ED432" s="69"/>
      <c r="EE432" s="69"/>
      <c r="EF432" s="69"/>
      <c r="EG432" s="69"/>
      <c r="EH432" s="69"/>
      <c r="EI432" s="84">
        <f>SUM(Tableau1[[#This Row],[Transports sur films]:[autres ]])</f>
        <v>0</v>
      </c>
      <c r="EJ432" s="132">
        <v>0</v>
      </c>
      <c r="EK432" s="132"/>
      <c r="EL432" s="68">
        <f t="shared" si="263"/>
        <v>0</v>
      </c>
      <c r="EM432" s="65"/>
      <c r="EN432" s="65">
        <v>0</v>
      </c>
      <c r="EO432" s="65"/>
      <c r="EP432" s="65"/>
      <c r="EQ432" s="65"/>
      <c r="ER432" s="65"/>
      <c r="ES432" s="65"/>
      <c r="ET432" s="68">
        <f t="shared" si="264"/>
        <v>0</v>
      </c>
      <c r="EU432" s="65"/>
      <c r="EV432" s="65"/>
      <c r="EW432" s="65"/>
      <c r="EX432" s="65"/>
      <c r="EY432" s="65"/>
      <c r="EZ432" s="68">
        <f t="shared" si="241"/>
        <v>0</v>
      </c>
      <c r="FA432" s="65"/>
      <c r="FB432" s="65"/>
      <c r="FC432" s="70">
        <f t="shared" si="240"/>
        <v>0</v>
      </c>
      <c r="FD432" s="65"/>
      <c r="FE432" s="71">
        <f t="shared" si="265"/>
        <v>0</v>
      </c>
      <c r="FF432" s="72">
        <f t="shared" si="266"/>
        <v>0</v>
      </c>
      <c r="FG432" s="65"/>
      <c r="FH432" s="65"/>
      <c r="FI432" s="65"/>
      <c r="FJ432" s="56">
        <f t="shared" si="267"/>
        <v>0</v>
      </c>
      <c r="FK432" s="65"/>
      <c r="FL432" s="65"/>
      <c r="FM432" s="65"/>
      <c r="FN432" s="65"/>
      <c r="FO432" s="67">
        <f t="shared" si="268"/>
        <v>0</v>
      </c>
      <c r="FP432" s="57"/>
      <c r="FQ432" s="73"/>
      <c r="FR432" s="73"/>
      <c r="FS432" s="71">
        <f t="shared" si="269"/>
        <v>0</v>
      </c>
      <c r="FT432" s="91"/>
      <c r="FU432" s="91"/>
      <c r="FV432" s="67">
        <f>SUM(Tableau1[[#This Row],[Droits d''auteurs SACEM + cotisations SACEM]:[Autres ou non préciés]])</f>
        <v>0</v>
      </c>
      <c r="FW432" s="75">
        <f t="shared" si="270"/>
        <v>0</v>
      </c>
      <c r="FX432" s="74">
        <v>0</v>
      </c>
      <c r="FY432" s="74"/>
      <c r="FZ432" s="74"/>
      <c r="GA432" s="74"/>
      <c r="GB432" s="71">
        <f t="shared" si="271"/>
        <v>0</v>
      </c>
      <c r="GC432" s="92"/>
      <c r="GD432" s="92"/>
      <c r="GE432" s="67">
        <f t="shared" si="272"/>
        <v>0</v>
      </c>
      <c r="GF432" s="66"/>
      <c r="GG432" s="66"/>
      <c r="GH432" s="66"/>
      <c r="GI432" s="66"/>
      <c r="GJ432" s="77"/>
    </row>
    <row r="433" spans="1:192" ht="18.600000000000001" customHeight="1" x14ac:dyDescent="0.25">
      <c r="A433" s="89"/>
      <c r="B433" s="17"/>
      <c r="C433" s="50"/>
      <c r="D433" s="140"/>
      <c r="E433" s="51"/>
      <c r="F433" s="139">
        <f t="shared" si="276"/>
        <v>1</v>
      </c>
      <c r="G433" s="49"/>
      <c r="H433" s="50"/>
      <c r="I433" s="122"/>
      <c r="J433" s="49"/>
      <c r="K433" s="50"/>
      <c r="L433" s="50"/>
      <c r="M433" s="90"/>
      <c r="N433" s="50"/>
      <c r="O433" s="50"/>
      <c r="P433" s="90"/>
      <c r="Q433" s="52">
        <f t="shared" si="242"/>
        <v>0</v>
      </c>
      <c r="R433" s="52">
        <f t="shared" si="243"/>
        <v>0</v>
      </c>
      <c r="S433" s="53">
        <f t="shared" si="244"/>
        <v>0</v>
      </c>
      <c r="T433" s="54">
        <f t="shared" si="245"/>
        <v>0</v>
      </c>
      <c r="U433" s="115">
        <f>SUM(Tableau1[[#This Row],[Vente confiserie]:[Vente boisson]])</f>
        <v>0</v>
      </c>
      <c r="V433" s="95"/>
      <c r="W433" s="95"/>
      <c r="X433" s="136">
        <f>SUM(Tableau1[[#This Row],[Vente lunette]:[Location lunette]])</f>
        <v>0</v>
      </c>
      <c r="Y433" s="95"/>
      <c r="Z433" s="95"/>
      <c r="AA433" s="95"/>
      <c r="AB433" s="95"/>
      <c r="AC433" s="56">
        <f t="shared" si="274"/>
        <v>0</v>
      </c>
      <c r="AD433" s="57"/>
      <c r="AE433" s="57"/>
      <c r="AF433" s="57"/>
      <c r="AG433" s="57"/>
      <c r="AH433" s="57"/>
      <c r="AI433" s="57"/>
      <c r="AJ433" s="118">
        <f>(Tableau1[[#This Row],[Recette guichet ]]*1.1275177)-Tableau1[[#This Row],[Recette guichet ]]</f>
        <v>0</v>
      </c>
      <c r="AK433" s="57"/>
      <c r="AL433" s="56">
        <f t="shared" si="275"/>
        <v>0</v>
      </c>
      <c r="AM433" s="58"/>
      <c r="AN433" s="58"/>
      <c r="AO433" s="58"/>
      <c r="AP433" s="115">
        <f t="shared" si="246"/>
        <v>0</v>
      </c>
      <c r="AQ433" s="69"/>
      <c r="AR433" s="69"/>
      <c r="AS433" s="69"/>
      <c r="AT433" s="69"/>
      <c r="AU433" s="59">
        <f t="shared" si="247"/>
        <v>0</v>
      </c>
      <c r="AV433" s="60">
        <f t="shared" si="248"/>
        <v>0</v>
      </c>
      <c r="AW433" s="58"/>
      <c r="AX433" s="58"/>
      <c r="AY433" s="58"/>
      <c r="AZ433" s="60">
        <f t="shared" si="238"/>
        <v>0</v>
      </c>
      <c r="BA433" s="58"/>
      <c r="BB433" s="58"/>
      <c r="BC433" s="58"/>
      <c r="BD433" s="60">
        <f>SUM(Tableau1[[#This Row],[ticket/carte/abonnement périmé]:[Autres ou non précisé 5]])</f>
        <v>0</v>
      </c>
      <c r="BE433" s="58"/>
      <c r="BF433" s="58"/>
      <c r="BG433" s="58"/>
      <c r="BH433" s="61">
        <f t="shared" si="249"/>
        <v>0</v>
      </c>
      <c r="BI433" s="120"/>
      <c r="BJ433" s="120"/>
      <c r="BK433" s="62">
        <f t="shared" si="250"/>
        <v>0</v>
      </c>
      <c r="BL433" s="120"/>
      <c r="BM433" s="120"/>
      <c r="BN433" s="120"/>
      <c r="BO433" s="120"/>
      <c r="BP433" s="120"/>
      <c r="BQ433" s="63"/>
      <c r="BR433" s="52">
        <f t="shared" si="251"/>
        <v>0</v>
      </c>
      <c r="BS433" s="52">
        <f t="shared" si="252"/>
        <v>0</v>
      </c>
      <c r="BT433" s="61">
        <f t="shared" si="253"/>
        <v>0</v>
      </c>
      <c r="BU433" s="64">
        <f t="shared" si="254"/>
        <v>0</v>
      </c>
      <c r="BV433" s="119">
        <f>SUM(Tableau1[[#This Row],[Achats confiserie]:[Achats boisson]])</f>
        <v>0</v>
      </c>
      <c r="BW433" s="58"/>
      <c r="BX433" s="69"/>
      <c r="BY433" s="58"/>
      <c r="BZ433" s="56">
        <f t="shared" si="255"/>
        <v>0</v>
      </c>
      <c r="CA433" s="209"/>
      <c r="CB433" s="209"/>
      <c r="CC433" s="56">
        <f t="shared" si="256"/>
        <v>0</v>
      </c>
      <c r="CD433" s="55"/>
      <c r="CE433" s="65"/>
      <c r="CF433" s="55"/>
      <c r="CG433" s="55"/>
      <c r="CH433" s="67">
        <f t="shared" si="257"/>
        <v>0</v>
      </c>
      <c r="CI433" s="68">
        <f t="shared" si="273"/>
        <v>0</v>
      </c>
      <c r="CJ433" s="55"/>
      <c r="CK433" s="55"/>
      <c r="CL433" s="55"/>
      <c r="CM433" s="55"/>
      <c r="CN433" s="55"/>
      <c r="CO433" s="68">
        <f t="shared" si="258"/>
        <v>0</v>
      </c>
      <c r="CP433" s="75">
        <f>SUM(Tableau1[[#This Row],[Fourniture eau]:[Energie (non précisé)]])</f>
        <v>0</v>
      </c>
      <c r="CQ433" s="55"/>
      <c r="CR433" s="55"/>
      <c r="CS433" s="55"/>
      <c r="CT433" s="55"/>
      <c r="CU433" s="55"/>
      <c r="CV433" s="55">
        <v>0</v>
      </c>
      <c r="CW433" s="55"/>
      <c r="CX433" s="68">
        <f>SUM(Tableau1[[#This Row],[Sous-traitance]:[Autres ou non précisé 12]])</f>
        <v>0</v>
      </c>
      <c r="CY433" s="65"/>
      <c r="CZ433" s="65"/>
      <c r="DA433" s="65"/>
      <c r="DB433" s="65"/>
      <c r="DC433" s="55"/>
      <c r="DD433" s="68">
        <f t="shared" si="239"/>
        <v>0</v>
      </c>
      <c r="DE433" s="55"/>
      <c r="DF433" s="65"/>
      <c r="DG433" s="65"/>
      <c r="DH433" s="65"/>
      <c r="DI433" s="68">
        <f>SUM(Tableau1[[#This Row],[Entretien et réparation matériel de projection]:[Autres ou non précisé 14]])</f>
        <v>0</v>
      </c>
      <c r="DJ433" s="58"/>
      <c r="DK433" s="58"/>
      <c r="DL433" s="69"/>
      <c r="DM433" s="68">
        <f t="shared" si="259"/>
        <v>0</v>
      </c>
      <c r="DN433" s="58"/>
      <c r="DO433" s="58"/>
      <c r="DP433" s="68">
        <f t="shared" si="260"/>
        <v>0</v>
      </c>
      <c r="DQ433" s="65"/>
      <c r="DR433" s="65"/>
      <c r="DS433" s="68">
        <f t="shared" si="261"/>
        <v>0</v>
      </c>
      <c r="DT433" s="65"/>
      <c r="DU433" s="65"/>
      <c r="DV433" s="65"/>
      <c r="DW433" s="68">
        <f>SUM(Tableau1[[#This Row],[Comission et courtage sur achats]:[Autres ou honoraires
 non précisé ]])</f>
        <v>0</v>
      </c>
      <c r="DX433" s="57"/>
      <c r="DY433" s="57"/>
      <c r="DZ433" s="65"/>
      <c r="EA433" s="65"/>
      <c r="EB433" s="65"/>
      <c r="EC433" s="68">
        <f t="shared" si="262"/>
        <v>0</v>
      </c>
      <c r="ED433" s="69"/>
      <c r="EE433" s="69"/>
      <c r="EF433" s="69"/>
      <c r="EG433" s="69"/>
      <c r="EH433" s="69"/>
      <c r="EI433" s="84">
        <f>SUM(Tableau1[[#This Row],[Transports sur films]:[autres ]])</f>
        <v>0</v>
      </c>
      <c r="EJ433" s="132">
        <v>0</v>
      </c>
      <c r="EK433" s="132"/>
      <c r="EL433" s="68">
        <f t="shared" si="263"/>
        <v>0</v>
      </c>
      <c r="EM433" s="65"/>
      <c r="EN433" s="65">
        <v>0</v>
      </c>
      <c r="EO433" s="65"/>
      <c r="EP433" s="65"/>
      <c r="EQ433" s="65"/>
      <c r="ER433" s="65"/>
      <c r="ES433" s="65"/>
      <c r="ET433" s="68">
        <f t="shared" si="264"/>
        <v>0</v>
      </c>
      <c r="EU433" s="65"/>
      <c r="EV433" s="65"/>
      <c r="EW433" s="65"/>
      <c r="EX433" s="65"/>
      <c r="EY433" s="65"/>
      <c r="EZ433" s="68">
        <f t="shared" si="241"/>
        <v>0</v>
      </c>
      <c r="FA433" s="65"/>
      <c r="FB433" s="65"/>
      <c r="FC433" s="70">
        <f t="shared" si="240"/>
        <v>0</v>
      </c>
      <c r="FD433" s="65"/>
      <c r="FE433" s="71">
        <f t="shared" si="265"/>
        <v>0</v>
      </c>
      <c r="FF433" s="72">
        <f t="shared" si="266"/>
        <v>0</v>
      </c>
      <c r="FG433" s="65"/>
      <c r="FH433" s="65"/>
      <c r="FI433" s="65"/>
      <c r="FJ433" s="56">
        <f t="shared" si="267"/>
        <v>0</v>
      </c>
      <c r="FK433" s="65"/>
      <c r="FL433" s="65"/>
      <c r="FM433" s="65"/>
      <c r="FN433" s="65"/>
      <c r="FO433" s="67">
        <f t="shared" si="268"/>
        <v>0</v>
      </c>
      <c r="FP433" s="57"/>
      <c r="FQ433" s="73"/>
      <c r="FR433" s="73"/>
      <c r="FS433" s="71">
        <f t="shared" si="269"/>
        <v>0</v>
      </c>
      <c r="FT433" s="91"/>
      <c r="FU433" s="91"/>
      <c r="FV433" s="67">
        <f>SUM(Tableau1[[#This Row],[Droits d''auteurs SACEM + cotisations SACEM]:[Autres ou non préciés]])</f>
        <v>0</v>
      </c>
      <c r="FW433" s="75">
        <f t="shared" si="270"/>
        <v>0</v>
      </c>
      <c r="FX433" s="74">
        <v>0</v>
      </c>
      <c r="FY433" s="74"/>
      <c r="FZ433" s="74"/>
      <c r="GA433" s="74"/>
      <c r="GB433" s="71">
        <f t="shared" si="271"/>
        <v>0</v>
      </c>
      <c r="GC433" s="92"/>
      <c r="GD433" s="92"/>
      <c r="GE433" s="67">
        <f t="shared" si="272"/>
        <v>0</v>
      </c>
      <c r="GF433" s="66"/>
      <c r="GG433" s="66"/>
      <c r="GH433" s="66"/>
      <c r="GI433" s="66"/>
      <c r="GJ433" s="77"/>
    </row>
    <row r="434" spans="1:192" ht="18.600000000000001" customHeight="1" x14ac:dyDescent="0.25">
      <c r="A434" s="96"/>
      <c r="B434" s="97"/>
      <c r="C434" s="99"/>
      <c r="D434" s="140"/>
      <c r="E434" s="51"/>
      <c r="F434" s="139">
        <f t="shared" si="276"/>
        <v>1</v>
      </c>
      <c r="G434" s="98"/>
      <c r="H434" s="99"/>
      <c r="I434" s="122"/>
      <c r="J434" s="98"/>
      <c r="K434" s="99"/>
      <c r="L434" s="99"/>
      <c r="M434" s="100"/>
      <c r="N434" s="99"/>
      <c r="O434" s="99"/>
      <c r="P434" s="101"/>
      <c r="Q434" s="52">
        <f t="shared" si="242"/>
        <v>0</v>
      </c>
      <c r="R434" s="52">
        <f t="shared" si="243"/>
        <v>0</v>
      </c>
      <c r="S434" s="53">
        <f t="shared" si="244"/>
        <v>0</v>
      </c>
      <c r="T434" s="54">
        <f t="shared" si="245"/>
        <v>0</v>
      </c>
      <c r="U434" s="115">
        <f>SUM(Tableau1[[#This Row],[Vente confiserie]:[Vente boisson]])</f>
        <v>0</v>
      </c>
      <c r="V434" s="102"/>
      <c r="W434" s="102"/>
      <c r="X434" s="136">
        <f>SUM(Tableau1[[#This Row],[Vente lunette]:[Location lunette]])</f>
        <v>0</v>
      </c>
      <c r="Y434" s="102"/>
      <c r="Z434" s="102"/>
      <c r="AA434" s="102"/>
      <c r="AB434" s="102"/>
      <c r="AC434" s="56">
        <f t="shared" si="274"/>
        <v>0</v>
      </c>
      <c r="AD434" s="103"/>
      <c r="AE434" s="103"/>
      <c r="AF434" s="103"/>
      <c r="AG434" s="103"/>
      <c r="AH434" s="103"/>
      <c r="AI434" s="103"/>
      <c r="AJ434" s="118">
        <f>(Tableau1[[#This Row],[Recette guichet ]]*1.1275177)-Tableau1[[#This Row],[Recette guichet ]]</f>
        <v>0</v>
      </c>
      <c r="AK434" s="103"/>
      <c r="AL434" s="56">
        <f t="shared" si="275"/>
        <v>0</v>
      </c>
      <c r="AM434" s="104"/>
      <c r="AN434" s="58"/>
      <c r="AO434" s="104"/>
      <c r="AP434" s="115">
        <f t="shared" si="246"/>
        <v>0</v>
      </c>
      <c r="AQ434" s="105"/>
      <c r="AR434" s="105"/>
      <c r="AS434" s="105"/>
      <c r="AT434" s="105"/>
      <c r="AU434" s="59">
        <f t="shared" si="247"/>
        <v>0</v>
      </c>
      <c r="AV434" s="60">
        <f t="shared" si="248"/>
        <v>0</v>
      </c>
      <c r="AW434" s="104"/>
      <c r="AX434" s="104"/>
      <c r="AY434" s="104"/>
      <c r="AZ434" s="60">
        <f t="shared" si="238"/>
        <v>0</v>
      </c>
      <c r="BA434" s="104"/>
      <c r="BB434" s="104"/>
      <c r="BC434" s="104"/>
      <c r="BD434" s="60">
        <f>SUM(Tableau1[[#This Row],[ticket/carte/abonnement périmé]:[Autres ou non précisé 5]])</f>
        <v>0</v>
      </c>
      <c r="BE434" s="104"/>
      <c r="BF434" s="104"/>
      <c r="BG434" s="104"/>
      <c r="BH434" s="61">
        <f t="shared" si="249"/>
        <v>0</v>
      </c>
      <c r="BI434" s="137"/>
      <c r="BJ434" s="137"/>
      <c r="BK434" s="62">
        <f t="shared" si="250"/>
        <v>0</v>
      </c>
      <c r="BL434" s="137"/>
      <c r="BM434" s="137"/>
      <c r="BN434" s="137"/>
      <c r="BO434" s="137"/>
      <c r="BP434" s="137"/>
      <c r="BQ434" s="106"/>
      <c r="BR434" s="52">
        <f t="shared" si="251"/>
        <v>0</v>
      </c>
      <c r="BS434" s="52">
        <f t="shared" si="252"/>
        <v>0</v>
      </c>
      <c r="BT434" s="61">
        <f t="shared" si="253"/>
        <v>0</v>
      </c>
      <c r="BU434" s="64">
        <f t="shared" si="254"/>
        <v>0</v>
      </c>
      <c r="BV434" s="119">
        <f>SUM(Tableau1[[#This Row],[Achats confiserie]:[Achats boisson]])</f>
        <v>0</v>
      </c>
      <c r="BW434" s="104"/>
      <c r="BX434" s="105"/>
      <c r="BY434" s="104"/>
      <c r="BZ434" s="56">
        <f t="shared" si="255"/>
        <v>0</v>
      </c>
      <c r="CA434" s="210"/>
      <c r="CB434" s="210"/>
      <c r="CC434" s="56">
        <f t="shared" si="256"/>
        <v>0</v>
      </c>
      <c r="CD434" s="93"/>
      <c r="CE434" s="107"/>
      <c r="CF434" s="93"/>
      <c r="CG434" s="93"/>
      <c r="CH434" s="67">
        <f t="shared" si="257"/>
        <v>0</v>
      </c>
      <c r="CI434" s="68">
        <f t="shared" si="273"/>
        <v>0</v>
      </c>
      <c r="CJ434" s="93"/>
      <c r="CK434" s="93"/>
      <c r="CL434" s="93"/>
      <c r="CM434" s="93"/>
      <c r="CN434" s="93"/>
      <c r="CO434" s="68">
        <f t="shared" si="258"/>
        <v>0</v>
      </c>
      <c r="CP434" s="75">
        <f>SUM(Tableau1[[#This Row],[Fourniture eau]:[Energie (non précisé)]])</f>
        <v>0</v>
      </c>
      <c r="CQ434" s="93"/>
      <c r="CR434" s="93"/>
      <c r="CS434" s="93"/>
      <c r="CT434" s="93"/>
      <c r="CU434" s="93"/>
      <c r="CV434" s="93">
        <v>0</v>
      </c>
      <c r="CW434" s="93"/>
      <c r="CX434" s="68">
        <f>SUM(Tableau1[[#This Row],[Sous-traitance]:[Autres ou non précisé 12]])</f>
        <v>0</v>
      </c>
      <c r="CY434" s="107"/>
      <c r="CZ434" s="107"/>
      <c r="DA434" s="107"/>
      <c r="DB434" s="107"/>
      <c r="DC434" s="93"/>
      <c r="DD434" s="68">
        <f t="shared" si="239"/>
        <v>0</v>
      </c>
      <c r="DE434" s="93"/>
      <c r="DF434" s="107"/>
      <c r="DG434" s="107"/>
      <c r="DH434" s="107"/>
      <c r="DI434" s="68">
        <f>SUM(Tableau1[[#This Row],[Entretien et réparation matériel de projection]:[Autres ou non précisé 14]])</f>
        <v>0</v>
      </c>
      <c r="DJ434" s="104"/>
      <c r="DK434" s="104"/>
      <c r="DL434" s="105"/>
      <c r="DM434" s="68">
        <f t="shared" si="259"/>
        <v>0</v>
      </c>
      <c r="DN434" s="104"/>
      <c r="DO434" s="104"/>
      <c r="DP434" s="68">
        <f t="shared" si="260"/>
        <v>0</v>
      </c>
      <c r="DQ434" s="107"/>
      <c r="DR434" s="107"/>
      <c r="DS434" s="68">
        <f t="shared" si="261"/>
        <v>0</v>
      </c>
      <c r="DT434" s="107"/>
      <c r="DU434" s="107"/>
      <c r="DV434" s="107"/>
      <c r="DW434" s="68">
        <f>SUM(Tableau1[[#This Row],[Comission et courtage sur achats]:[Autres ou honoraires
 non précisé ]])</f>
        <v>0</v>
      </c>
      <c r="DX434" s="57"/>
      <c r="DY434" s="57"/>
      <c r="DZ434" s="107"/>
      <c r="EA434" s="107"/>
      <c r="EB434" s="107"/>
      <c r="EC434" s="68">
        <f t="shared" si="262"/>
        <v>0</v>
      </c>
      <c r="ED434" s="105"/>
      <c r="EE434" s="105"/>
      <c r="EF434" s="105"/>
      <c r="EG434" s="105"/>
      <c r="EH434" s="105"/>
      <c r="EI434" s="84">
        <f>SUM(Tableau1[[#This Row],[Transports sur films]:[autres ]])</f>
        <v>0</v>
      </c>
      <c r="EJ434" s="134">
        <v>0</v>
      </c>
      <c r="EK434" s="134"/>
      <c r="EL434" s="68">
        <f t="shared" si="263"/>
        <v>0</v>
      </c>
      <c r="EM434" s="107"/>
      <c r="EN434" s="107">
        <v>0</v>
      </c>
      <c r="EO434" s="107"/>
      <c r="EP434" s="107"/>
      <c r="EQ434" s="107"/>
      <c r="ER434" s="107"/>
      <c r="ES434" s="107"/>
      <c r="ET434" s="68">
        <f t="shared" si="264"/>
        <v>0</v>
      </c>
      <c r="EU434" s="107"/>
      <c r="EV434" s="107"/>
      <c r="EW434" s="107"/>
      <c r="EX434" s="107"/>
      <c r="EY434" s="107"/>
      <c r="EZ434" s="68">
        <f t="shared" si="241"/>
        <v>0</v>
      </c>
      <c r="FA434" s="107"/>
      <c r="FB434" s="107"/>
      <c r="FC434" s="70">
        <f t="shared" si="240"/>
        <v>0</v>
      </c>
      <c r="FD434" s="107"/>
      <c r="FE434" s="71">
        <f t="shared" si="265"/>
        <v>0</v>
      </c>
      <c r="FF434" s="72">
        <f t="shared" si="266"/>
        <v>0</v>
      </c>
      <c r="FG434" s="107"/>
      <c r="FH434" s="107"/>
      <c r="FI434" s="107"/>
      <c r="FJ434" s="56">
        <f t="shared" si="267"/>
        <v>0</v>
      </c>
      <c r="FK434" s="107"/>
      <c r="FL434" s="107"/>
      <c r="FM434" s="107"/>
      <c r="FN434" s="107"/>
      <c r="FO434" s="67">
        <f t="shared" si="268"/>
        <v>0</v>
      </c>
      <c r="FP434" s="103"/>
      <c r="FQ434" s="109"/>
      <c r="FR434" s="109"/>
      <c r="FS434" s="71">
        <f t="shared" si="269"/>
        <v>0</v>
      </c>
      <c r="FT434" s="110"/>
      <c r="FU434" s="110"/>
      <c r="FV434" s="67">
        <f>SUM(Tableau1[[#This Row],[Droits d''auteurs SACEM + cotisations SACEM]:[Autres ou non préciés]])</f>
        <v>0</v>
      </c>
      <c r="FW434" s="75">
        <f t="shared" si="270"/>
        <v>0</v>
      </c>
      <c r="FX434" s="111">
        <v>0</v>
      </c>
      <c r="FY434" s="111"/>
      <c r="FZ434" s="111"/>
      <c r="GA434" s="111"/>
      <c r="GB434" s="71">
        <f t="shared" si="271"/>
        <v>0</v>
      </c>
      <c r="GC434" s="112"/>
      <c r="GD434" s="112"/>
      <c r="GE434" s="67">
        <f t="shared" si="272"/>
        <v>0</v>
      </c>
      <c r="GF434" s="113"/>
      <c r="GG434" s="113"/>
      <c r="GH434" s="113"/>
      <c r="GI434" s="113"/>
      <c r="GJ434" s="114"/>
    </row>
    <row r="435" spans="1:192" ht="18.600000000000001" customHeight="1" x14ac:dyDescent="0.25">
      <c r="A435" s="96"/>
      <c r="B435" s="97"/>
      <c r="C435" s="99"/>
      <c r="D435" s="140"/>
      <c r="E435" s="51"/>
      <c r="F435" s="139">
        <f t="shared" si="276"/>
        <v>1</v>
      </c>
      <c r="G435" s="98"/>
      <c r="H435" s="99"/>
      <c r="I435" s="122"/>
      <c r="J435" s="98"/>
      <c r="K435" s="99"/>
      <c r="L435" s="99"/>
      <c r="M435" s="100"/>
      <c r="N435" s="99"/>
      <c r="O435" s="99"/>
      <c r="P435" s="101"/>
      <c r="Q435" s="52">
        <f t="shared" si="242"/>
        <v>0</v>
      </c>
      <c r="R435" s="52">
        <f t="shared" si="243"/>
        <v>0</v>
      </c>
      <c r="S435" s="53">
        <f t="shared" si="244"/>
        <v>0</v>
      </c>
      <c r="T435" s="54">
        <f t="shared" si="245"/>
        <v>0</v>
      </c>
      <c r="U435" s="115">
        <f>SUM(Tableau1[[#This Row],[Vente confiserie]:[Vente boisson]])</f>
        <v>0</v>
      </c>
      <c r="V435" s="102"/>
      <c r="W435" s="102"/>
      <c r="X435" s="136">
        <f>SUM(Tableau1[[#This Row],[Vente lunette]:[Location lunette]])</f>
        <v>0</v>
      </c>
      <c r="Y435" s="102"/>
      <c r="Z435" s="102"/>
      <c r="AA435" s="102"/>
      <c r="AB435" s="102"/>
      <c r="AC435" s="56">
        <f t="shared" si="274"/>
        <v>0</v>
      </c>
      <c r="AD435" s="103"/>
      <c r="AE435" s="103"/>
      <c r="AF435" s="103"/>
      <c r="AG435" s="103"/>
      <c r="AH435" s="103"/>
      <c r="AI435" s="103"/>
      <c r="AJ435" s="118">
        <f>(Tableau1[[#This Row],[Recette guichet ]]*1.1275177)-Tableau1[[#This Row],[Recette guichet ]]</f>
        <v>0</v>
      </c>
      <c r="AK435" s="103"/>
      <c r="AL435" s="56">
        <f t="shared" si="275"/>
        <v>0</v>
      </c>
      <c r="AM435" s="104"/>
      <c r="AN435" s="58"/>
      <c r="AO435" s="104"/>
      <c r="AP435" s="115">
        <f t="shared" si="246"/>
        <v>0</v>
      </c>
      <c r="AQ435" s="105"/>
      <c r="AR435" s="105"/>
      <c r="AS435" s="105"/>
      <c r="AT435" s="105"/>
      <c r="AU435" s="59">
        <f t="shared" si="247"/>
        <v>0</v>
      </c>
      <c r="AV435" s="60">
        <f t="shared" si="248"/>
        <v>0</v>
      </c>
      <c r="AW435" s="104"/>
      <c r="AX435" s="104"/>
      <c r="AY435" s="104"/>
      <c r="AZ435" s="60">
        <f t="shared" si="238"/>
        <v>0</v>
      </c>
      <c r="BA435" s="104"/>
      <c r="BB435" s="104"/>
      <c r="BC435" s="104"/>
      <c r="BD435" s="60">
        <f>SUM(Tableau1[[#This Row],[ticket/carte/abonnement périmé]:[Autres ou non précisé 5]])</f>
        <v>0</v>
      </c>
      <c r="BE435" s="104"/>
      <c r="BF435" s="104"/>
      <c r="BG435" s="104"/>
      <c r="BH435" s="61">
        <f t="shared" si="249"/>
        <v>0</v>
      </c>
      <c r="BI435" s="137"/>
      <c r="BJ435" s="137"/>
      <c r="BK435" s="62">
        <f t="shared" si="250"/>
        <v>0</v>
      </c>
      <c r="BL435" s="137"/>
      <c r="BM435" s="137"/>
      <c r="BN435" s="137"/>
      <c r="BO435" s="137"/>
      <c r="BP435" s="137"/>
      <c r="BQ435" s="106"/>
      <c r="BR435" s="52">
        <f t="shared" si="251"/>
        <v>0</v>
      </c>
      <c r="BS435" s="52">
        <f t="shared" si="252"/>
        <v>0</v>
      </c>
      <c r="BT435" s="61">
        <f t="shared" si="253"/>
        <v>0</v>
      </c>
      <c r="BU435" s="64">
        <f t="shared" si="254"/>
        <v>0</v>
      </c>
      <c r="BV435" s="119">
        <f>SUM(Tableau1[[#This Row],[Achats confiserie]:[Achats boisson]])</f>
        <v>0</v>
      </c>
      <c r="BW435" s="104"/>
      <c r="BX435" s="105"/>
      <c r="BY435" s="104"/>
      <c r="BZ435" s="56">
        <f t="shared" si="255"/>
        <v>0</v>
      </c>
      <c r="CA435" s="210"/>
      <c r="CB435" s="210"/>
      <c r="CC435" s="56">
        <f t="shared" si="256"/>
        <v>0</v>
      </c>
      <c r="CD435" s="93"/>
      <c r="CE435" s="107"/>
      <c r="CF435" s="93"/>
      <c r="CG435" s="93"/>
      <c r="CH435" s="67">
        <f t="shared" si="257"/>
        <v>0</v>
      </c>
      <c r="CI435" s="68">
        <f t="shared" si="273"/>
        <v>0</v>
      </c>
      <c r="CJ435" s="93"/>
      <c r="CK435" s="93"/>
      <c r="CL435" s="93"/>
      <c r="CM435" s="93"/>
      <c r="CN435" s="93"/>
      <c r="CO435" s="68">
        <f t="shared" si="258"/>
        <v>0</v>
      </c>
      <c r="CP435" s="75">
        <f>SUM(Tableau1[[#This Row],[Fourniture eau]:[Energie (non précisé)]])</f>
        <v>0</v>
      </c>
      <c r="CQ435" s="93"/>
      <c r="CR435" s="93"/>
      <c r="CS435" s="93"/>
      <c r="CT435" s="93"/>
      <c r="CU435" s="93"/>
      <c r="CV435" s="93">
        <v>0</v>
      </c>
      <c r="CW435" s="93"/>
      <c r="CX435" s="68">
        <f>SUM(Tableau1[[#This Row],[Sous-traitance]:[Autres ou non précisé 12]])</f>
        <v>0</v>
      </c>
      <c r="CY435" s="107"/>
      <c r="CZ435" s="107"/>
      <c r="DA435" s="107"/>
      <c r="DB435" s="107"/>
      <c r="DC435" s="93"/>
      <c r="DD435" s="68">
        <f t="shared" si="239"/>
        <v>0</v>
      </c>
      <c r="DE435" s="93"/>
      <c r="DF435" s="107"/>
      <c r="DG435" s="107"/>
      <c r="DH435" s="107"/>
      <c r="DI435" s="68">
        <f>SUM(Tableau1[[#This Row],[Entretien et réparation matériel de projection]:[Autres ou non précisé 14]])</f>
        <v>0</v>
      </c>
      <c r="DJ435" s="104"/>
      <c r="DK435" s="104"/>
      <c r="DL435" s="105"/>
      <c r="DM435" s="68">
        <f t="shared" si="259"/>
        <v>0</v>
      </c>
      <c r="DN435" s="104"/>
      <c r="DO435" s="104"/>
      <c r="DP435" s="68">
        <f t="shared" si="260"/>
        <v>0</v>
      </c>
      <c r="DQ435" s="107"/>
      <c r="DR435" s="107"/>
      <c r="DS435" s="68">
        <f t="shared" si="261"/>
        <v>0</v>
      </c>
      <c r="DT435" s="107"/>
      <c r="DU435" s="107"/>
      <c r="DV435" s="107"/>
      <c r="DW435" s="68">
        <f>SUM(Tableau1[[#This Row],[Comission et courtage sur achats]:[Autres ou honoraires
 non précisé ]])</f>
        <v>0</v>
      </c>
      <c r="DX435" s="57"/>
      <c r="DY435" s="57"/>
      <c r="DZ435" s="107"/>
      <c r="EA435" s="107"/>
      <c r="EB435" s="107"/>
      <c r="EC435" s="68">
        <f t="shared" si="262"/>
        <v>0</v>
      </c>
      <c r="ED435" s="105"/>
      <c r="EE435" s="105"/>
      <c r="EF435" s="105"/>
      <c r="EG435" s="105"/>
      <c r="EH435" s="105"/>
      <c r="EI435" s="84">
        <f>SUM(Tableau1[[#This Row],[Transports sur films]:[autres ]])</f>
        <v>0</v>
      </c>
      <c r="EJ435" s="134">
        <v>0</v>
      </c>
      <c r="EK435" s="134"/>
      <c r="EL435" s="68">
        <f t="shared" si="263"/>
        <v>0</v>
      </c>
      <c r="EM435" s="107"/>
      <c r="EN435" s="107">
        <v>0</v>
      </c>
      <c r="EO435" s="107"/>
      <c r="EP435" s="107"/>
      <c r="EQ435" s="107"/>
      <c r="ER435" s="107"/>
      <c r="ES435" s="107"/>
      <c r="ET435" s="68">
        <f t="shared" si="264"/>
        <v>0</v>
      </c>
      <c r="EU435" s="107"/>
      <c r="EV435" s="107"/>
      <c r="EW435" s="107"/>
      <c r="EX435" s="107"/>
      <c r="EY435" s="107"/>
      <c r="EZ435" s="68">
        <f t="shared" si="241"/>
        <v>0</v>
      </c>
      <c r="FA435" s="107"/>
      <c r="FB435" s="107"/>
      <c r="FC435" s="70">
        <f t="shared" si="240"/>
        <v>0</v>
      </c>
      <c r="FD435" s="107"/>
      <c r="FE435" s="71">
        <f t="shared" si="265"/>
        <v>0</v>
      </c>
      <c r="FF435" s="72">
        <f t="shared" si="266"/>
        <v>0</v>
      </c>
      <c r="FG435" s="107"/>
      <c r="FH435" s="107"/>
      <c r="FI435" s="107"/>
      <c r="FJ435" s="56">
        <f t="shared" si="267"/>
        <v>0</v>
      </c>
      <c r="FK435" s="107"/>
      <c r="FL435" s="107"/>
      <c r="FM435" s="107"/>
      <c r="FN435" s="107"/>
      <c r="FO435" s="67">
        <f t="shared" si="268"/>
        <v>0</v>
      </c>
      <c r="FP435" s="103"/>
      <c r="FQ435" s="109"/>
      <c r="FR435" s="109"/>
      <c r="FS435" s="71">
        <f t="shared" si="269"/>
        <v>0</v>
      </c>
      <c r="FT435" s="110"/>
      <c r="FU435" s="110"/>
      <c r="FV435" s="67">
        <f>SUM(Tableau1[[#This Row],[Droits d''auteurs SACEM + cotisations SACEM]:[Autres ou non préciés]])</f>
        <v>0</v>
      </c>
      <c r="FW435" s="75">
        <f t="shared" si="270"/>
        <v>0</v>
      </c>
      <c r="FX435" s="111">
        <v>0</v>
      </c>
      <c r="FY435" s="111"/>
      <c r="FZ435" s="111"/>
      <c r="GA435" s="111"/>
      <c r="GB435" s="71">
        <f t="shared" si="271"/>
        <v>0</v>
      </c>
      <c r="GC435" s="112"/>
      <c r="GD435" s="112"/>
      <c r="GE435" s="67">
        <f t="shared" si="272"/>
        <v>0</v>
      </c>
      <c r="GF435" s="113"/>
      <c r="GG435" s="113"/>
      <c r="GH435" s="113"/>
      <c r="GI435" s="113"/>
      <c r="GJ435" s="114"/>
    </row>
    <row r="436" spans="1:192" ht="18.600000000000001" customHeight="1" x14ac:dyDescent="0.25">
      <c r="A436" s="96"/>
      <c r="B436" s="97"/>
      <c r="C436" s="99"/>
      <c r="D436" s="140"/>
      <c r="E436" s="51"/>
      <c r="F436" s="139">
        <f t="shared" si="276"/>
        <v>1</v>
      </c>
      <c r="G436" s="98"/>
      <c r="H436" s="99"/>
      <c r="I436" s="122"/>
      <c r="J436" s="98"/>
      <c r="K436" s="99"/>
      <c r="L436" s="99"/>
      <c r="M436" s="100"/>
      <c r="N436" s="99"/>
      <c r="O436" s="99"/>
      <c r="P436" s="101"/>
      <c r="Q436" s="52">
        <f t="shared" si="242"/>
        <v>0</v>
      </c>
      <c r="R436" s="52">
        <f t="shared" si="243"/>
        <v>0</v>
      </c>
      <c r="S436" s="53">
        <f t="shared" si="244"/>
        <v>0</v>
      </c>
      <c r="T436" s="54">
        <f t="shared" si="245"/>
        <v>0</v>
      </c>
      <c r="U436" s="115">
        <f>SUM(Tableau1[[#This Row],[Vente confiserie]:[Vente boisson]])</f>
        <v>0</v>
      </c>
      <c r="V436" s="102"/>
      <c r="W436" s="102"/>
      <c r="X436" s="136">
        <f>SUM(Tableau1[[#This Row],[Vente lunette]:[Location lunette]])</f>
        <v>0</v>
      </c>
      <c r="Y436" s="102"/>
      <c r="Z436" s="102"/>
      <c r="AA436" s="102"/>
      <c r="AB436" s="102"/>
      <c r="AC436" s="56">
        <f t="shared" si="274"/>
        <v>0</v>
      </c>
      <c r="AD436" s="103"/>
      <c r="AE436" s="103"/>
      <c r="AF436" s="103"/>
      <c r="AG436" s="103"/>
      <c r="AH436" s="103"/>
      <c r="AI436" s="103"/>
      <c r="AJ436" s="118">
        <f>(Tableau1[[#This Row],[Recette guichet ]]*1.1275177)-Tableau1[[#This Row],[Recette guichet ]]</f>
        <v>0</v>
      </c>
      <c r="AK436" s="103"/>
      <c r="AL436" s="56">
        <f t="shared" si="275"/>
        <v>0</v>
      </c>
      <c r="AM436" s="104"/>
      <c r="AN436" s="58"/>
      <c r="AO436" s="104"/>
      <c r="AP436" s="115">
        <f t="shared" si="246"/>
        <v>0</v>
      </c>
      <c r="AQ436" s="105"/>
      <c r="AR436" s="105"/>
      <c r="AS436" s="105"/>
      <c r="AT436" s="105"/>
      <c r="AU436" s="59">
        <f t="shared" si="247"/>
        <v>0</v>
      </c>
      <c r="AV436" s="60">
        <f t="shared" si="248"/>
        <v>0</v>
      </c>
      <c r="AW436" s="104"/>
      <c r="AX436" s="104"/>
      <c r="AY436" s="104"/>
      <c r="AZ436" s="60">
        <f t="shared" si="238"/>
        <v>0</v>
      </c>
      <c r="BA436" s="104"/>
      <c r="BB436" s="104"/>
      <c r="BC436" s="104"/>
      <c r="BD436" s="60">
        <f>SUM(Tableau1[[#This Row],[ticket/carte/abonnement périmé]:[Autres ou non précisé 5]])</f>
        <v>0</v>
      </c>
      <c r="BE436" s="104"/>
      <c r="BF436" s="104"/>
      <c r="BG436" s="104"/>
      <c r="BH436" s="61">
        <f t="shared" si="249"/>
        <v>0</v>
      </c>
      <c r="BI436" s="137"/>
      <c r="BJ436" s="137"/>
      <c r="BK436" s="62">
        <f t="shared" si="250"/>
        <v>0</v>
      </c>
      <c r="BL436" s="137"/>
      <c r="BM436" s="137"/>
      <c r="BN436" s="137"/>
      <c r="BO436" s="137"/>
      <c r="BP436" s="137"/>
      <c r="BQ436" s="106"/>
      <c r="BR436" s="52">
        <f t="shared" si="251"/>
        <v>0</v>
      </c>
      <c r="BS436" s="52">
        <f t="shared" si="252"/>
        <v>0</v>
      </c>
      <c r="BT436" s="61">
        <f t="shared" si="253"/>
        <v>0</v>
      </c>
      <c r="BU436" s="64">
        <f t="shared" si="254"/>
        <v>0</v>
      </c>
      <c r="BV436" s="119">
        <f>SUM(Tableau1[[#This Row],[Achats confiserie]:[Achats boisson]])</f>
        <v>0</v>
      </c>
      <c r="BW436" s="104"/>
      <c r="BX436" s="105"/>
      <c r="BY436" s="104"/>
      <c r="BZ436" s="56">
        <f t="shared" si="255"/>
        <v>0</v>
      </c>
      <c r="CA436" s="210"/>
      <c r="CB436" s="210"/>
      <c r="CC436" s="56">
        <f t="shared" si="256"/>
        <v>0</v>
      </c>
      <c r="CD436" s="93"/>
      <c r="CE436" s="107"/>
      <c r="CF436" s="93"/>
      <c r="CG436" s="93"/>
      <c r="CH436" s="67">
        <f t="shared" si="257"/>
        <v>0</v>
      </c>
      <c r="CI436" s="68">
        <f t="shared" si="273"/>
        <v>0</v>
      </c>
      <c r="CJ436" s="93"/>
      <c r="CK436" s="93"/>
      <c r="CL436" s="93"/>
      <c r="CM436" s="93"/>
      <c r="CN436" s="93"/>
      <c r="CO436" s="68">
        <f t="shared" si="258"/>
        <v>0</v>
      </c>
      <c r="CP436" s="75">
        <f>SUM(Tableau1[[#This Row],[Fourniture eau]:[Energie (non précisé)]])</f>
        <v>0</v>
      </c>
      <c r="CQ436" s="93"/>
      <c r="CR436" s="93"/>
      <c r="CS436" s="93"/>
      <c r="CT436" s="93"/>
      <c r="CU436" s="93"/>
      <c r="CV436" s="93">
        <v>0</v>
      </c>
      <c r="CW436" s="93"/>
      <c r="CX436" s="68">
        <f>SUM(Tableau1[[#This Row],[Sous-traitance]:[Autres ou non précisé 12]])</f>
        <v>0</v>
      </c>
      <c r="CY436" s="107"/>
      <c r="CZ436" s="107"/>
      <c r="DA436" s="107"/>
      <c r="DB436" s="107"/>
      <c r="DC436" s="93"/>
      <c r="DD436" s="68">
        <f t="shared" si="239"/>
        <v>0</v>
      </c>
      <c r="DE436" s="93"/>
      <c r="DF436" s="107"/>
      <c r="DG436" s="107"/>
      <c r="DH436" s="107"/>
      <c r="DI436" s="68">
        <f>SUM(Tableau1[[#This Row],[Entretien et réparation matériel de projection]:[Autres ou non précisé 14]])</f>
        <v>0</v>
      </c>
      <c r="DJ436" s="104"/>
      <c r="DK436" s="104"/>
      <c r="DL436" s="105"/>
      <c r="DM436" s="68">
        <f t="shared" si="259"/>
        <v>0</v>
      </c>
      <c r="DN436" s="104"/>
      <c r="DO436" s="104"/>
      <c r="DP436" s="68">
        <f t="shared" si="260"/>
        <v>0</v>
      </c>
      <c r="DQ436" s="107"/>
      <c r="DR436" s="107"/>
      <c r="DS436" s="68">
        <f t="shared" si="261"/>
        <v>0</v>
      </c>
      <c r="DT436" s="107"/>
      <c r="DU436" s="107"/>
      <c r="DV436" s="107"/>
      <c r="DW436" s="68">
        <f>SUM(Tableau1[[#This Row],[Comission et courtage sur achats]:[Autres ou honoraires
 non précisé ]])</f>
        <v>0</v>
      </c>
      <c r="DX436" s="57"/>
      <c r="DY436" s="57"/>
      <c r="DZ436" s="107"/>
      <c r="EA436" s="107"/>
      <c r="EB436" s="107"/>
      <c r="EC436" s="68">
        <f t="shared" si="262"/>
        <v>0</v>
      </c>
      <c r="ED436" s="105"/>
      <c r="EE436" s="105"/>
      <c r="EF436" s="105"/>
      <c r="EG436" s="105"/>
      <c r="EH436" s="105"/>
      <c r="EI436" s="84">
        <f>SUM(Tableau1[[#This Row],[Transports sur films]:[autres ]])</f>
        <v>0</v>
      </c>
      <c r="EJ436" s="134">
        <v>0</v>
      </c>
      <c r="EK436" s="134"/>
      <c r="EL436" s="68">
        <f t="shared" si="263"/>
        <v>0</v>
      </c>
      <c r="EM436" s="107"/>
      <c r="EN436" s="107">
        <v>0</v>
      </c>
      <c r="EO436" s="107"/>
      <c r="EP436" s="107"/>
      <c r="EQ436" s="107"/>
      <c r="ER436" s="107"/>
      <c r="ES436" s="107"/>
      <c r="ET436" s="68">
        <f t="shared" si="264"/>
        <v>0</v>
      </c>
      <c r="EU436" s="107"/>
      <c r="EV436" s="107"/>
      <c r="EW436" s="107"/>
      <c r="EX436" s="107"/>
      <c r="EY436" s="107"/>
      <c r="EZ436" s="68">
        <f t="shared" si="241"/>
        <v>0</v>
      </c>
      <c r="FA436" s="107"/>
      <c r="FB436" s="107"/>
      <c r="FC436" s="70">
        <f t="shared" si="240"/>
        <v>0</v>
      </c>
      <c r="FD436" s="107"/>
      <c r="FE436" s="71">
        <f t="shared" si="265"/>
        <v>0</v>
      </c>
      <c r="FF436" s="72">
        <f t="shared" si="266"/>
        <v>0</v>
      </c>
      <c r="FG436" s="107"/>
      <c r="FH436" s="107"/>
      <c r="FI436" s="107"/>
      <c r="FJ436" s="56">
        <f t="shared" si="267"/>
        <v>0</v>
      </c>
      <c r="FK436" s="107"/>
      <c r="FL436" s="107"/>
      <c r="FM436" s="107"/>
      <c r="FN436" s="107"/>
      <c r="FO436" s="67">
        <f t="shared" si="268"/>
        <v>0</v>
      </c>
      <c r="FP436" s="103"/>
      <c r="FQ436" s="109"/>
      <c r="FR436" s="109"/>
      <c r="FS436" s="71">
        <f t="shared" si="269"/>
        <v>0</v>
      </c>
      <c r="FT436" s="110"/>
      <c r="FU436" s="110"/>
      <c r="FV436" s="67">
        <f>SUM(Tableau1[[#This Row],[Droits d''auteurs SACEM + cotisations SACEM]:[Autres ou non préciés]])</f>
        <v>0</v>
      </c>
      <c r="FW436" s="75">
        <f t="shared" si="270"/>
        <v>0</v>
      </c>
      <c r="FX436" s="111">
        <v>0</v>
      </c>
      <c r="FY436" s="111"/>
      <c r="FZ436" s="111"/>
      <c r="GA436" s="111"/>
      <c r="GB436" s="71">
        <f t="shared" si="271"/>
        <v>0</v>
      </c>
      <c r="GC436" s="112"/>
      <c r="GD436" s="112"/>
      <c r="GE436" s="67">
        <f t="shared" si="272"/>
        <v>0</v>
      </c>
      <c r="GF436" s="113"/>
      <c r="GG436" s="113"/>
      <c r="GH436" s="113"/>
      <c r="GI436" s="113"/>
      <c r="GJ436" s="114"/>
    </row>
    <row r="437" spans="1:192" ht="18.600000000000001" customHeight="1" x14ac:dyDescent="0.25">
      <c r="A437" s="96"/>
      <c r="B437" s="97"/>
      <c r="C437" s="99"/>
      <c r="D437" s="140"/>
      <c r="E437" s="51"/>
      <c r="F437" s="139">
        <f t="shared" si="276"/>
        <v>1</v>
      </c>
      <c r="G437" s="98"/>
      <c r="H437" s="99"/>
      <c r="I437" s="122"/>
      <c r="J437" s="98"/>
      <c r="K437" s="99"/>
      <c r="L437" s="99"/>
      <c r="M437" s="100"/>
      <c r="N437" s="99"/>
      <c r="O437" s="99"/>
      <c r="P437" s="101"/>
      <c r="Q437" s="52">
        <f t="shared" si="242"/>
        <v>0</v>
      </c>
      <c r="R437" s="52">
        <f t="shared" si="243"/>
        <v>0</v>
      </c>
      <c r="S437" s="53">
        <f t="shared" si="244"/>
        <v>0</v>
      </c>
      <c r="T437" s="54">
        <f t="shared" si="245"/>
        <v>0</v>
      </c>
      <c r="U437" s="115">
        <f>SUM(Tableau1[[#This Row],[Vente confiserie]:[Vente boisson]])</f>
        <v>0</v>
      </c>
      <c r="V437" s="102"/>
      <c r="W437" s="102"/>
      <c r="X437" s="136">
        <f>SUM(Tableau1[[#This Row],[Vente lunette]:[Location lunette]])</f>
        <v>0</v>
      </c>
      <c r="Y437" s="102"/>
      <c r="Z437" s="102"/>
      <c r="AA437" s="102"/>
      <c r="AB437" s="102"/>
      <c r="AC437" s="56">
        <f t="shared" si="274"/>
        <v>0</v>
      </c>
      <c r="AD437" s="103"/>
      <c r="AE437" s="103"/>
      <c r="AF437" s="103"/>
      <c r="AG437" s="103"/>
      <c r="AH437" s="103"/>
      <c r="AI437" s="103"/>
      <c r="AJ437" s="118">
        <f>(Tableau1[[#This Row],[Recette guichet ]]*1.1275177)-Tableau1[[#This Row],[Recette guichet ]]</f>
        <v>0</v>
      </c>
      <c r="AK437" s="103"/>
      <c r="AL437" s="56">
        <f t="shared" si="275"/>
        <v>0</v>
      </c>
      <c r="AM437" s="104"/>
      <c r="AN437" s="58"/>
      <c r="AO437" s="104"/>
      <c r="AP437" s="115">
        <f t="shared" si="246"/>
        <v>0</v>
      </c>
      <c r="AQ437" s="105"/>
      <c r="AR437" s="105"/>
      <c r="AS437" s="105"/>
      <c r="AT437" s="105"/>
      <c r="AU437" s="59">
        <f t="shared" si="247"/>
        <v>0</v>
      </c>
      <c r="AV437" s="60">
        <f t="shared" si="248"/>
        <v>0</v>
      </c>
      <c r="AW437" s="104"/>
      <c r="AX437" s="104"/>
      <c r="AY437" s="104"/>
      <c r="AZ437" s="60">
        <f t="shared" si="238"/>
        <v>0</v>
      </c>
      <c r="BA437" s="104"/>
      <c r="BB437" s="104"/>
      <c r="BC437" s="104"/>
      <c r="BD437" s="60">
        <f>SUM(Tableau1[[#This Row],[ticket/carte/abonnement périmé]:[Autres ou non précisé 5]])</f>
        <v>0</v>
      </c>
      <c r="BE437" s="104"/>
      <c r="BF437" s="104"/>
      <c r="BG437" s="104"/>
      <c r="BH437" s="61">
        <f t="shared" si="249"/>
        <v>0</v>
      </c>
      <c r="BI437" s="137"/>
      <c r="BJ437" s="137"/>
      <c r="BK437" s="62">
        <f t="shared" si="250"/>
        <v>0</v>
      </c>
      <c r="BL437" s="137"/>
      <c r="BM437" s="137"/>
      <c r="BN437" s="137"/>
      <c r="BO437" s="137"/>
      <c r="BP437" s="137"/>
      <c r="BQ437" s="106"/>
      <c r="BR437" s="52">
        <f t="shared" si="251"/>
        <v>0</v>
      </c>
      <c r="BS437" s="52">
        <f t="shared" si="252"/>
        <v>0</v>
      </c>
      <c r="BT437" s="61">
        <f t="shared" si="253"/>
        <v>0</v>
      </c>
      <c r="BU437" s="64">
        <f t="shared" si="254"/>
        <v>0</v>
      </c>
      <c r="BV437" s="119">
        <f>SUM(Tableau1[[#This Row],[Achats confiserie]:[Achats boisson]])</f>
        <v>0</v>
      </c>
      <c r="BW437" s="104"/>
      <c r="BX437" s="105"/>
      <c r="BY437" s="104"/>
      <c r="BZ437" s="56">
        <f t="shared" si="255"/>
        <v>0</v>
      </c>
      <c r="CA437" s="210"/>
      <c r="CB437" s="210"/>
      <c r="CC437" s="56">
        <f t="shared" si="256"/>
        <v>0</v>
      </c>
      <c r="CD437" s="93"/>
      <c r="CE437" s="107"/>
      <c r="CF437" s="93"/>
      <c r="CG437" s="93"/>
      <c r="CH437" s="67">
        <f t="shared" si="257"/>
        <v>0</v>
      </c>
      <c r="CI437" s="68">
        <f t="shared" si="273"/>
        <v>0</v>
      </c>
      <c r="CJ437" s="93"/>
      <c r="CK437" s="93"/>
      <c r="CL437" s="93"/>
      <c r="CM437" s="93"/>
      <c r="CN437" s="93"/>
      <c r="CO437" s="68">
        <f t="shared" si="258"/>
        <v>0</v>
      </c>
      <c r="CP437" s="75">
        <f>SUM(Tableau1[[#This Row],[Fourniture eau]:[Energie (non précisé)]])</f>
        <v>0</v>
      </c>
      <c r="CQ437" s="93"/>
      <c r="CR437" s="93"/>
      <c r="CS437" s="93"/>
      <c r="CT437" s="93"/>
      <c r="CU437" s="93"/>
      <c r="CV437" s="93">
        <v>0</v>
      </c>
      <c r="CW437" s="93"/>
      <c r="CX437" s="68">
        <f>SUM(Tableau1[[#This Row],[Sous-traitance]:[Autres ou non précisé 12]])</f>
        <v>0</v>
      </c>
      <c r="CY437" s="107"/>
      <c r="CZ437" s="107"/>
      <c r="DA437" s="107"/>
      <c r="DB437" s="107"/>
      <c r="DC437" s="93"/>
      <c r="DD437" s="68">
        <f t="shared" si="239"/>
        <v>0</v>
      </c>
      <c r="DE437" s="93"/>
      <c r="DF437" s="107"/>
      <c r="DG437" s="107"/>
      <c r="DH437" s="107"/>
      <c r="DI437" s="68">
        <f>SUM(Tableau1[[#This Row],[Entretien et réparation matériel de projection]:[Autres ou non précisé 14]])</f>
        <v>0</v>
      </c>
      <c r="DJ437" s="104"/>
      <c r="DK437" s="104"/>
      <c r="DL437" s="105"/>
      <c r="DM437" s="68">
        <f t="shared" si="259"/>
        <v>0</v>
      </c>
      <c r="DN437" s="104"/>
      <c r="DO437" s="104"/>
      <c r="DP437" s="68">
        <f t="shared" si="260"/>
        <v>0</v>
      </c>
      <c r="DQ437" s="107"/>
      <c r="DR437" s="107"/>
      <c r="DS437" s="68">
        <f t="shared" si="261"/>
        <v>0</v>
      </c>
      <c r="DT437" s="107"/>
      <c r="DU437" s="107"/>
      <c r="DV437" s="107"/>
      <c r="DW437" s="68">
        <f>SUM(Tableau1[[#This Row],[Comission et courtage sur achats]:[Autres ou honoraires
 non précisé ]])</f>
        <v>0</v>
      </c>
      <c r="DX437" s="57"/>
      <c r="DY437" s="57"/>
      <c r="DZ437" s="107"/>
      <c r="EA437" s="107"/>
      <c r="EB437" s="107"/>
      <c r="EC437" s="68">
        <f t="shared" si="262"/>
        <v>0</v>
      </c>
      <c r="ED437" s="105"/>
      <c r="EE437" s="105"/>
      <c r="EF437" s="105"/>
      <c r="EG437" s="105"/>
      <c r="EH437" s="105"/>
      <c r="EI437" s="84">
        <f>SUM(Tableau1[[#This Row],[Transports sur films]:[autres ]])</f>
        <v>0</v>
      </c>
      <c r="EJ437" s="134">
        <v>0</v>
      </c>
      <c r="EK437" s="134"/>
      <c r="EL437" s="68">
        <f t="shared" si="263"/>
        <v>0</v>
      </c>
      <c r="EM437" s="107"/>
      <c r="EN437" s="107">
        <v>0</v>
      </c>
      <c r="EO437" s="107"/>
      <c r="EP437" s="107"/>
      <c r="EQ437" s="107"/>
      <c r="ER437" s="107"/>
      <c r="ES437" s="107"/>
      <c r="ET437" s="68">
        <f t="shared" si="264"/>
        <v>0</v>
      </c>
      <c r="EU437" s="107"/>
      <c r="EV437" s="107"/>
      <c r="EW437" s="107"/>
      <c r="EX437" s="107"/>
      <c r="EY437" s="107"/>
      <c r="EZ437" s="68">
        <f t="shared" si="241"/>
        <v>0</v>
      </c>
      <c r="FA437" s="107"/>
      <c r="FB437" s="107"/>
      <c r="FC437" s="70">
        <f t="shared" si="240"/>
        <v>0</v>
      </c>
      <c r="FD437" s="107"/>
      <c r="FE437" s="71">
        <f t="shared" si="265"/>
        <v>0</v>
      </c>
      <c r="FF437" s="72">
        <f t="shared" si="266"/>
        <v>0</v>
      </c>
      <c r="FG437" s="107"/>
      <c r="FH437" s="107"/>
      <c r="FI437" s="107"/>
      <c r="FJ437" s="56">
        <f t="shared" si="267"/>
        <v>0</v>
      </c>
      <c r="FK437" s="107"/>
      <c r="FL437" s="107"/>
      <c r="FM437" s="107"/>
      <c r="FN437" s="107"/>
      <c r="FO437" s="67">
        <f t="shared" si="268"/>
        <v>0</v>
      </c>
      <c r="FP437" s="103"/>
      <c r="FQ437" s="109"/>
      <c r="FR437" s="109"/>
      <c r="FS437" s="71">
        <f t="shared" si="269"/>
        <v>0</v>
      </c>
      <c r="FT437" s="110"/>
      <c r="FU437" s="110"/>
      <c r="FV437" s="67">
        <f>SUM(Tableau1[[#This Row],[Droits d''auteurs SACEM + cotisations SACEM]:[Autres ou non préciés]])</f>
        <v>0</v>
      </c>
      <c r="FW437" s="75">
        <f t="shared" si="270"/>
        <v>0</v>
      </c>
      <c r="FX437" s="111">
        <v>0</v>
      </c>
      <c r="FY437" s="111"/>
      <c r="FZ437" s="111"/>
      <c r="GA437" s="111"/>
      <c r="GB437" s="71">
        <f t="shared" si="271"/>
        <v>0</v>
      </c>
      <c r="GC437" s="112"/>
      <c r="GD437" s="112"/>
      <c r="GE437" s="67">
        <f t="shared" si="272"/>
        <v>0</v>
      </c>
      <c r="GF437" s="113"/>
      <c r="GG437" s="113"/>
      <c r="GH437" s="113"/>
      <c r="GI437" s="113"/>
      <c r="GJ437" s="114"/>
    </row>
    <row r="438" spans="1:192" ht="18.600000000000001" customHeight="1" x14ac:dyDescent="0.25">
      <c r="A438" s="96"/>
      <c r="B438" s="97"/>
      <c r="C438" s="99"/>
      <c r="D438" s="140"/>
      <c r="E438" s="51"/>
      <c r="F438" s="139">
        <f t="shared" si="276"/>
        <v>1</v>
      </c>
      <c r="G438" s="98"/>
      <c r="H438" s="99"/>
      <c r="I438" s="122"/>
      <c r="J438" s="98"/>
      <c r="K438" s="99"/>
      <c r="L438" s="99"/>
      <c r="M438" s="100"/>
      <c r="N438" s="99"/>
      <c r="O438" s="99"/>
      <c r="P438" s="101"/>
      <c r="Q438" s="52">
        <f t="shared" si="242"/>
        <v>0</v>
      </c>
      <c r="R438" s="52">
        <f t="shared" si="243"/>
        <v>0</v>
      </c>
      <c r="S438" s="53">
        <f t="shared" si="244"/>
        <v>0</v>
      </c>
      <c r="T438" s="54">
        <f t="shared" si="245"/>
        <v>0</v>
      </c>
      <c r="U438" s="115">
        <f>SUM(Tableau1[[#This Row],[Vente confiserie]:[Vente boisson]])</f>
        <v>0</v>
      </c>
      <c r="V438" s="102"/>
      <c r="W438" s="102"/>
      <c r="X438" s="136">
        <f>SUM(Tableau1[[#This Row],[Vente lunette]:[Location lunette]])</f>
        <v>0</v>
      </c>
      <c r="Y438" s="102"/>
      <c r="Z438" s="102"/>
      <c r="AA438" s="102"/>
      <c r="AB438" s="102"/>
      <c r="AC438" s="56">
        <f t="shared" si="274"/>
        <v>0</v>
      </c>
      <c r="AD438" s="103"/>
      <c r="AE438" s="103"/>
      <c r="AF438" s="103"/>
      <c r="AG438" s="103"/>
      <c r="AH438" s="103"/>
      <c r="AI438" s="103"/>
      <c r="AJ438" s="118">
        <f>(Tableau1[[#This Row],[Recette guichet ]]*1.1275177)-Tableau1[[#This Row],[Recette guichet ]]</f>
        <v>0</v>
      </c>
      <c r="AK438" s="103"/>
      <c r="AL438" s="56">
        <f t="shared" si="275"/>
        <v>0</v>
      </c>
      <c r="AM438" s="104"/>
      <c r="AN438" s="58"/>
      <c r="AO438" s="104"/>
      <c r="AP438" s="115">
        <f t="shared" si="246"/>
        <v>0</v>
      </c>
      <c r="AQ438" s="105"/>
      <c r="AR438" s="105"/>
      <c r="AS438" s="105"/>
      <c r="AT438" s="105"/>
      <c r="AU438" s="59">
        <f t="shared" si="247"/>
        <v>0</v>
      </c>
      <c r="AV438" s="60">
        <f t="shared" si="248"/>
        <v>0</v>
      </c>
      <c r="AW438" s="104"/>
      <c r="AX438" s="104"/>
      <c r="AY438" s="104"/>
      <c r="AZ438" s="60">
        <f t="shared" si="238"/>
        <v>0</v>
      </c>
      <c r="BA438" s="104"/>
      <c r="BB438" s="104"/>
      <c r="BC438" s="104"/>
      <c r="BD438" s="60">
        <f>SUM(Tableau1[[#This Row],[ticket/carte/abonnement périmé]:[Autres ou non précisé 5]])</f>
        <v>0</v>
      </c>
      <c r="BE438" s="104"/>
      <c r="BF438" s="104"/>
      <c r="BG438" s="104"/>
      <c r="BH438" s="61">
        <f t="shared" si="249"/>
        <v>0</v>
      </c>
      <c r="BI438" s="137"/>
      <c r="BJ438" s="137"/>
      <c r="BK438" s="62">
        <f t="shared" si="250"/>
        <v>0</v>
      </c>
      <c r="BL438" s="137"/>
      <c r="BM438" s="137"/>
      <c r="BN438" s="137"/>
      <c r="BO438" s="137"/>
      <c r="BP438" s="137"/>
      <c r="BQ438" s="106"/>
      <c r="BR438" s="52">
        <f t="shared" si="251"/>
        <v>0</v>
      </c>
      <c r="BS438" s="52">
        <f t="shared" si="252"/>
        <v>0</v>
      </c>
      <c r="BT438" s="61">
        <f t="shared" si="253"/>
        <v>0</v>
      </c>
      <c r="BU438" s="64">
        <f t="shared" si="254"/>
        <v>0</v>
      </c>
      <c r="BV438" s="119">
        <f>SUM(Tableau1[[#This Row],[Achats confiserie]:[Achats boisson]])</f>
        <v>0</v>
      </c>
      <c r="BW438" s="104"/>
      <c r="BX438" s="105"/>
      <c r="BY438" s="104"/>
      <c r="BZ438" s="56">
        <f t="shared" si="255"/>
        <v>0</v>
      </c>
      <c r="CA438" s="210"/>
      <c r="CB438" s="210"/>
      <c r="CC438" s="56">
        <f t="shared" si="256"/>
        <v>0</v>
      </c>
      <c r="CD438" s="93"/>
      <c r="CE438" s="107"/>
      <c r="CF438" s="93"/>
      <c r="CG438" s="93"/>
      <c r="CH438" s="67">
        <f t="shared" si="257"/>
        <v>0</v>
      </c>
      <c r="CI438" s="68">
        <f t="shared" si="273"/>
        <v>0</v>
      </c>
      <c r="CJ438" s="93"/>
      <c r="CK438" s="93"/>
      <c r="CL438" s="93"/>
      <c r="CM438" s="93"/>
      <c r="CN438" s="93"/>
      <c r="CO438" s="68">
        <f t="shared" si="258"/>
        <v>0</v>
      </c>
      <c r="CP438" s="75">
        <f>SUM(Tableau1[[#This Row],[Fourniture eau]:[Energie (non précisé)]])</f>
        <v>0</v>
      </c>
      <c r="CQ438" s="93"/>
      <c r="CR438" s="93"/>
      <c r="CS438" s="93"/>
      <c r="CT438" s="93"/>
      <c r="CU438" s="93"/>
      <c r="CV438" s="93">
        <v>0</v>
      </c>
      <c r="CW438" s="93"/>
      <c r="CX438" s="68">
        <f>SUM(Tableau1[[#This Row],[Sous-traitance]:[Autres ou non précisé 12]])</f>
        <v>0</v>
      </c>
      <c r="CY438" s="107"/>
      <c r="CZ438" s="107"/>
      <c r="DA438" s="107"/>
      <c r="DB438" s="107"/>
      <c r="DC438" s="93"/>
      <c r="DD438" s="68">
        <f t="shared" si="239"/>
        <v>0</v>
      </c>
      <c r="DE438" s="93"/>
      <c r="DF438" s="107"/>
      <c r="DG438" s="107"/>
      <c r="DH438" s="107"/>
      <c r="DI438" s="68">
        <f>SUM(Tableau1[[#This Row],[Entretien et réparation matériel de projection]:[Autres ou non précisé 14]])</f>
        <v>0</v>
      </c>
      <c r="DJ438" s="104"/>
      <c r="DK438" s="104"/>
      <c r="DL438" s="105"/>
      <c r="DM438" s="68">
        <f t="shared" si="259"/>
        <v>0</v>
      </c>
      <c r="DN438" s="104"/>
      <c r="DO438" s="104"/>
      <c r="DP438" s="68">
        <f t="shared" si="260"/>
        <v>0</v>
      </c>
      <c r="DQ438" s="107"/>
      <c r="DR438" s="107"/>
      <c r="DS438" s="68">
        <f t="shared" si="261"/>
        <v>0</v>
      </c>
      <c r="DT438" s="107"/>
      <c r="DU438" s="107"/>
      <c r="DV438" s="107"/>
      <c r="DW438" s="68">
        <f>SUM(Tableau1[[#This Row],[Comission et courtage sur achats]:[Autres ou honoraires
 non précisé ]])</f>
        <v>0</v>
      </c>
      <c r="DX438" s="57"/>
      <c r="DY438" s="57"/>
      <c r="DZ438" s="107"/>
      <c r="EA438" s="107"/>
      <c r="EB438" s="107"/>
      <c r="EC438" s="68">
        <f t="shared" si="262"/>
        <v>0</v>
      </c>
      <c r="ED438" s="105"/>
      <c r="EE438" s="105"/>
      <c r="EF438" s="105"/>
      <c r="EG438" s="105"/>
      <c r="EH438" s="105"/>
      <c r="EI438" s="84">
        <f>SUM(Tableau1[[#This Row],[Transports sur films]:[autres ]])</f>
        <v>0</v>
      </c>
      <c r="EJ438" s="134">
        <v>0</v>
      </c>
      <c r="EK438" s="134"/>
      <c r="EL438" s="68">
        <f t="shared" si="263"/>
        <v>0</v>
      </c>
      <c r="EM438" s="107"/>
      <c r="EN438" s="107">
        <v>0</v>
      </c>
      <c r="EO438" s="107"/>
      <c r="EP438" s="107"/>
      <c r="EQ438" s="107"/>
      <c r="ER438" s="107"/>
      <c r="ES438" s="107"/>
      <c r="ET438" s="68">
        <f t="shared" si="264"/>
        <v>0</v>
      </c>
      <c r="EU438" s="107"/>
      <c r="EV438" s="107"/>
      <c r="EW438" s="107"/>
      <c r="EX438" s="107"/>
      <c r="EY438" s="107"/>
      <c r="EZ438" s="68">
        <f t="shared" si="241"/>
        <v>0</v>
      </c>
      <c r="FA438" s="107"/>
      <c r="FB438" s="107"/>
      <c r="FC438" s="70">
        <f t="shared" si="240"/>
        <v>0</v>
      </c>
      <c r="FD438" s="107"/>
      <c r="FE438" s="71">
        <f t="shared" si="265"/>
        <v>0</v>
      </c>
      <c r="FF438" s="72">
        <f t="shared" si="266"/>
        <v>0</v>
      </c>
      <c r="FG438" s="107"/>
      <c r="FH438" s="107"/>
      <c r="FI438" s="107"/>
      <c r="FJ438" s="56">
        <f t="shared" si="267"/>
        <v>0</v>
      </c>
      <c r="FK438" s="107"/>
      <c r="FL438" s="107"/>
      <c r="FM438" s="107"/>
      <c r="FN438" s="107"/>
      <c r="FO438" s="67">
        <f t="shared" si="268"/>
        <v>0</v>
      </c>
      <c r="FP438" s="103"/>
      <c r="FQ438" s="109"/>
      <c r="FR438" s="109"/>
      <c r="FS438" s="71">
        <f t="shared" si="269"/>
        <v>0</v>
      </c>
      <c r="FT438" s="110"/>
      <c r="FU438" s="110"/>
      <c r="FV438" s="67">
        <f>SUM(Tableau1[[#This Row],[Droits d''auteurs SACEM + cotisations SACEM]:[Autres ou non préciés]])</f>
        <v>0</v>
      </c>
      <c r="FW438" s="75">
        <f t="shared" si="270"/>
        <v>0</v>
      </c>
      <c r="FX438" s="111">
        <v>0</v>
      </c>
      <c r="FY438" s="111"/>
      <c r="FZ438" s="111"/>
      <c r="GA438" s="111"/>
      <c r="GB438" s="71">
        <f t="shared" si="271"/>
        <v>0</v>
      </c>
      <c r="GC438" s="112"/>
      <c r="GD438" s="112"/>
      <c r="GE438" s="67">
        <f t="shared" si="272"/>
        <v>0</v>
      </c>
      <c r="GF438" s="113"/>
      <c r="GG438" s="113"/>
      <c r="GH438" s="113"/>
      <c r="GI438" s="113"/>
      <c r="GJ438" s="114"/>
    </row>
    <row r="439" spans="1:192" ht="18.600000000000001" customHeight="1" x14ac:dyDescent="0.25">
      <c r="A439" s="96"/>
      <c r="B439" s="97"/>
      <c r="C439" s="99"/>
      <c r="D439" s="140"/>
      <c r="E439" s="51"/>
      <c r="F439" s="139">
        <f t="shared" si="276"/>
        <v>1</v>
      </c>
      <c r="G439" s="98"/>
      <c r="H439" s="99"/>
      <c r="I439" s="122"/>
      <c r="J439" s="98"/>
      <c r="K439" s="99"/>
      <c r="L439" s="99"/>
      <c r="M439" s="100"/>
      <c r="N439" s="99"/>
      <c r="O439" s="99"/>
      <c r="P439" s="101"/>
      <c r="Q439" s="52">
        <f t="shared" si="242"/>
        <v>0</v>
      </c>
      <c r="R439" s="52">
        <f t="shared" si="243"/>
        <v>0</v>
      </c>
      <c r="S439" s="53">
        <f t="shared" si="244"/>
        <v>0</v>
      </c>
      <c r="T439" s="54">
        <f t="shared" si="245"/>
        <v>0</v>
      </c>
      <c r="U439" s="115">
        <f>SUM(Tableau1[[#This Row],[Vente confiserie]:[Vente boisson]])</f>
        <v>0</v>
      </c>
      <c r="V439" s="102"/>
      <c r="W439" s="102"/>
      <c r="X439" s="136">
        <f>SUM(Tableau1[[#This Row],[Vente lunette]:[Location lunette]])</f>
        <v>0</v>
      </c>
      <c r="Y439" s="102"/>
      <c r="Z439" s="102"/>
      <c r="AA439" s="102"/>
      <c r="AB439" s="102"/>
      <c r="AC439" s="56">
        <f t="shared" si="274"/>
        <v>0</v>
      </c>
      <c r="AD439" s="103"/>
      <c r="AE439" s="103"/>
      <c r="AF439" s="103"/>
      <c r="AG439" s="103"/>
      <c r="AH439" s="103"/>
      <c r="AI439" s="103"/>
      <c r="AJ439" s="118">
        <f>(Tableau1[[#This Row],[Recette guichet ]]*1.1275177)-Tableau1[[#This Row],[Recette guichet ]]</f>
        <v>0</v>
      </c>
      <c r="AK439" s="103"/>
      <c r="AL439" s="56">
        <f t="shared" si="275"/>
        <v>0</v>
      </c>
      <c r="AM439" s="104"/>
      <c r="AN439" s="58"/>
      <c r="AO439" s="104"/>
      <c r="AP439" s="115">
        <f t="shared" si="246"/>
        <v>0</v>
      </c>
      <c r="AQ439" s="105"/>
      <c r="AR439" s="105"/>
      <c r="AS439" s="105"/>
      <c r="AT439" s="105"/>
      <c r="AU439" s="59">
        <f t="shared" si="247"/>
        <v>0</v>
      </c>
      <c r="AV439" s="60">
        <f t="shared" si="248"/>
        <v>0</v>
      </c>
      <c r="AW439" s="104"/>
      <c r="AX439" s="104"/>
      <c r="AY439" s="104"/>
      <c r="AZ439" s="60">
        <f t="shared" si="238"/>
        <v>0</v>
      </c>
      <c r="BA439" s="104"/>
      <c r="BB439" s="104"/>
      <c r="BC439" s="104"/>
      <c r="BD439" s="60">
        <f>SUM(Tableau1[[#This Row],[ticket/carte/abonnement périmé]:[Autres ou non précisé 5]])</f>
        <v>0</v>
      </c>
      <c r="BE439" s="104"/>
      <c r="BF439" s="104"/>
      <c r="BG439" s="104"/>
      <c r="BH439" s="61">
        <f t="shared" si="249"/>
        <v>0</v>
      </c>
      <c r="BI439" s="137"/>
      <c r="BJ439" s="137"/>
      <c r="BK439" s="62">
        <f t="shared" si="250"/>
        <v>0</v>
      </c>
      <c r="BL439" s="137"/>
      <c r="BM439" s="137"/>
      <c r="BN439" s="137"/>
      <c r="BO439" s="137"/>
      <c r="BP439" s="137"/>
      <c r="BQ439" s="106"/>
      <c r="BR439" s="52">
        <f t="shared" si="251"/>
        <v>0</v>
      </c>
      <c r="BS439" s="52">
        <f t="shared" si="252"/>
        <v>0</v>
      </c>
      <c r="BT439" s="61">
        <f t="shared" si="253"/>
        <v>0</v>
      </c>
      <c r="BU439" s="64">
        <f t="shared" si="254"/>
        <v>0</v>
      </c>
      <c r="BV439" s="119">
        <f>SUM(Tableau1[[#This Row],[Achats confiserie]:[Achats boisson]])</f>
        <v>0</v>
      </c>
      <c r="BW439" s="104"/>
      <c r="BX439" s="105"/>
      <c r="BY439" s="104"/>
      <c r="BZ439" s="56">
        <f t="shared" si="255"/>
        <v>0</v>
      </c>
      <c r="CA439" s="210"/>
      <c r="CB439" s="210"/>
      <c r="CC439" s="56">
        <f t="shared" si="256"/>
        <v>0</v>
      </c>
      <c r="CD439" s="93"/>
      <c r="CE439" s="107"/>
      <c r="CF439" s="93"/>
      <c r="CG439" s="93"/>
      <c r="CH439" s="67">
        <f t="shared" si="257"/>
        <v>0</v>
      </c>
      <c r="CI439" s="68">
        <f t="shared" si="273"/>
        <v>0</v>
      </c>
      <c r="CJ439" s="93"/>
      <c r="CK439" s="93"/>
      <c r="CL439" s="93"/>
      <c r="CM439" s="93"/>
      <c r="CN439" s="93"/>
      <c r="CO439" s="68">
        <f t="shared" si="258"/>
        <v>0</v>
      </c>
      <c r="CP439" s="75">
        <f>SUM(Tableau1[[#This Row],[Fourniture eau]:[Energie (non précisé)]])</f>
        <v>0</v>
      </c>
      <c r="CQ439" s="93"/>
      <c r="CR439" s="93"/>
      <c r="CS439" s="93"/>
      <c r="CT439" s="93"/>
      <c r="CU439" s="93"/>
      <c r="CV439" s="93">
        <v>0</v>
      </c>
      <c r="CW439" s="93"/>
      <c r="CX439" s="68">
        <f>SUM(Tableau1[[#This Row],[Sous-traitance]:[Autres ou non précisé 12]])</f>
        <v>0</v>
      </c>
      <c r="CY439" s="107"/>
      <c r="CZ439" s="107"/>
      <c r="DA439" s="107"/>
      <c r="DB439" s="107"/>
      <c r="DC439" s="93"/>
      <c r="DD439" s="68">
        <f t="shared" si="239"/>
        <v>0</v>
      </c>
      <c r="DE439" s="93"/>
      <c r="DF439" s="107"/>
      <c r="DG439" s="107"/>
      <c r="DH439" s="107"/>
      <c r="DI439" s="68">
        <f>SUM(Tableau1[[#This Row],[Entretien et réparation matériel de projection]:[Autres ou non précisé 14]])</f>
        <v>0</v>
      </c>
      <c r="DJ439" s="104"/>
      <c r="DK439" s="104"/>
      <c r="DL439" s="105"/>
      <c r="DM439" s="68">
        <f t="shared" si="259"/>
        <v>0</v>
      </c>
      <c r="DN439" s="104"/>
      <c r="DO439" s="104"/>
      <c r="DP439" s="68">
        <f t="shared" si="260"/>
        <v>0</v>
      </c>
      <c r="DQ439" s="107"/>
      <c r="DR439" s="107"/>
      <c r="DS439" s="68">
        <f t="shared" si="261"/>
        <v>0</v>
      </c>
      <c r="DT439" s="107"/>
      <c r="DU439" s="107"/>
      <c r="DV439" s="107"/>
      <c r="DW439" s="68">
        <f>SUM(Tableau1[[#This Row],[Comission et courtage sur achats]:[Autres ou honoraires
 non précisé ]])</f>
        <v>0</v>
      </c>
      <c r="DX439" s="57"/>
      <c r="DY439" s="57"/>
      <c r="DZ439" s="107"/>
      <c r="EA439" s="107"/>
      <c r="EB439" s="107"/>
      <c r="EC439" s="68">
        <f t="shared" si="262"/>
        <v>0</v>
      </c>
      <c r="ED439" s="105"/>
      <c r="EE439" s="105"/>
      <c r="EF439" s="105"/>
      <c r="EG439" s="105"/>
      <c r="EH439" s="105"/>
      <c r="EI439" s="84">
        <f>SUM(Tableau1[[#This Row],[Transports sur films]:[autres ]])</f>
        <v>0</v>
      </c>
      <c r="EJ439" s="134">
        <v>0</v>
      </c>
      <c r="EK439" s="134"/>
      <c r="EL439" s="68">
        <f t="shared" si="263"/>
        <v>0</v>
      </c>
      <c r="EM439" s="107"/>
      <c r="EN439" s="107">
        <v>0</v>
      </c>
      <c r="EO439" s="107"/>
      <c r="EP439" s="107"/>
      <c r="EQ439" s="107"/>
      <c r="ER439" s="107"/>
      <c r="ES439" s="107"/>
      <c r="ET439" s="68">
        <f t="shared" si="264"/>
        <v>0</v>
      </c>
      <c r="EU439" s="107"/>
      <c r="EV439" s="107"/>
      <c r="EW439" s="107"/>
      <c r="EX439" s="107"/>
      <c r="EY439" s="107"/>
      <c r="EZ439" s="68">
        <f t="shared" si="241"/>
        <v>0</v>
      </c>
      <c r="FA439" s="107"/>
      <c r="FB439" s="107"/>
      <c r="FC439" s="70">
        <f t="shared" si="240"/>
        <v>0</v>
      </c>
      <c r="FD439" s="107"/>
      <c r="FE439" s="71">
        <f t="shared" si="265"/>
        <v>0</v>
      </c>
      <c r="FF439" s="72">
        <f t="shared" si="266"/>
        <v>0</v>
      </c>
      <c r="FG439" s="107"/>
      <c r="FH439" s="107"/>
      <c r="FI439" s="107"/>
      <c r="FJ439" s="56">
        <f t="shared" si="267"/>
        <v>0</v>
      </c>
      <c r="FK439" s="107"/>
      <c r="FL439" s="107"/>
      <c r="FM439" s="107"/>
      <c r="FN439" s="107"/>
      <c r="FO439" s="67">
        <f t="shared" si="268"/>
        <v>0</v>
      </c>
      <c r="FP439" s="103"/>
      <c r="FQ439" s="109"/>
      <c r="FR439" s="109"/>
      <c r="FS439" s="71">
        <f t="shared" si="269"/>
        <v>0</v>
      </c>
      <c r="FT439" s="110"/>
      <c r="FU439" s="110"/>
      <c r="FV439" s="67">
        <f>SUM(Tableau1[[#This Row],[Droits d''auteurs SACEM + cotisations SACEM]:[Autres ou non préciés]])</f>
        <v>0</v>
      </c>
      <c r="FW439" s="75">
        <f t="shared" si="270"/>
        <v>0</v>
      </c>
      <c r="FX439" s="111">
        <v>0</v>
      </c>
      <c r="FY439" s="111"/>
      <c r="FZ439" s="111"/>
      <c r="GA439" s="111"/>
      <c r="GB439" s="71">
        <f t="shared" si="271"/>
        <v>0</v>
      </c>
      <c r="GC439" s="112"/>
      <c r="GD439" s="112"/>
      <c r="GE439" s="67">
        <f t="shared" si="272"/>
        <v>0</v>
      </c>
      <c r="GF439" s="113"/>
      <c r="GG439" s="113"/>
      <c r="GH439" s="113"/>
      <c r="GI439" s="113"/>
      <c r="GJ439" s="114"/>
    </row>
    <row r="440" spans="1:192" ht="18.600000000000001" customHeight="1" x14ac:dyDescent="0.25">
      <c r="A440" s="96"/>
      <c r="B440" s="97"/>
      <c r="C440" s="99"/>
      <c r="D440" s="140"/>
      <c r="E440" s="51"/>
      <c r="F440" s="139">
        <f t="shared" si="276"/>
        <v>1</v>
      </c>
      <c r="G440" s="98"/>
      <c r="H440" s="99"/>
      <c r="I440" s="122"/>
      <c r="J440" s="98"/>
      <c r="K440" s="99"/>
      <c r="L440" s="99"/>
      <c r="M440" s="100"/>
      <c r="N440" s="99"/>
      <c r="O440" s="99"/>
      <c r="P440" s="101"/>
      <c r="Q440" s="52">
        <f t="shared" si="242"/>
        <v>0</v>
      </c>
      <c r="R440" s="52">
        <f t="shared" si="243"/>
        <v>0</v>
      </c>
      <c r="S440" s="53">
        <f t="shared" si="244"/>
        <v>0</v>
      </c>
      <c r="T440" s="54">
        <f t="shared" si="245"/>
        <v>0</v>
      </c>
      <c r="U440" s="115">
        <f>SUM(Tableau1[[#This Row],[Vente confiserie]:[Vente boisson]])</f>
        <v>0</v>
      </c>
      <c r="V440" s="102"/>
      <c r="W440" s="102"/>
      <c r="X440" s="136">
        <f>SUM(Tableau1[[#This Row],[Vente lunette]:[Location lunette]])</f>
        <v>0</v>
      </c>
      <c r="Y440" s="102"/>
      <c r="Z440" s="102"/>
      <c r="AA440" s="102"/>
      <c r="AB440" s="102"/>
      <c r="AC440" s="56">
        <f t="shared" si="274"/>
        <v>0</v>
      </c>
      <c r="AD440" s="103"/>
      <c r="AE440" s="103"/>
      <c r="AF440" s="103"/>
      <c r="AG440" s="103"/>
      <c r="AH440" s="103"/>
      <c r="AI440" s="103"/>
      <c r="AJ440" s="118">
        <f>(Tableau1[[#This Row],[Recette guichet ]]*1.1275177)-Tableau1[[#This Row],[Recette guichet ]]</f>
        <v>0</v>
      </c>
      <c r="AK440" s="103"/>
      <c r="AL440" s="56">
        <f t="shared" si="275"/>
        <v>0</v>
      </c>
      <c r="AM440" s="104"/>
      <c r="AN440" s="58"/>
      <c r="AO440" s="104"/>
      <c r="AP440" s="115">
        <f t="shared" si="246"/>
        <v>0</v>
      </c>
      <c r="AQ440" s="105"/>
      <c r="AR440" s="105"/>
      <c r="AS440" s="105"/>
      <c r="AT440" s="105"/>
      <c r="AU440" s="59">
        <f t="shared" si="247"/>
        <v>0</v>
      </c>
      <c r="AV440" s="60">
        <f t="shared" si="248"/>
        <v>0</v>
      </c>
      <c r="AW440" s="104"/>
      <c r="AX440" s="104"/>
      <c r="AY440" s="104"/>
      <c r="AZ440" s="60">
        <f t="shared" ref="AZ440:AZ499" si="277">SUM(BA440:BC440)</f>
        <v>0</v>
      </c>
      <c r="BA440" s="104"/>
      <c r="BB440" s="104"/>
      <c r="BC440" s="104"/>
      <c r="BD440" s="60">
        <f>SUM(Tableau1[[#This Row],[ticket/carte/abonnement périmé]:[Autres ou non précisé 5]])</f>
        <v>0</v>
      </c>
      <c r="BE440" s="104"/>
      <c r="BF440" s="104"/>
      <c r="BG440" s="104"/>
      <c r="BH440" s="61">
        <f t="shared" si="249"/>
        <v>0</v>
      </c>
      <c r="BI440" s="137"/>
      <c r="BJ440" s="137"/>
      <c r="BK440" s="62">
        <f t="shared" si="250"/>
        <v>0</v>
      </c>
      <c r="BL440" s="137"/>
      <c r="BM440" s="137"/>
      <c r="BN440" s="137"/>
      <c r="BO440" s="137"/>
      <c r="BP440" s="137"/>
      <c r="BQ440" s="106"/>
      <c r="BR440" s="52">
        <f t="shared" si="251"/>
        <v>0</v>
      </c>
      <c r="BS440" s="52">
        <f t="shared" si="252"/>
        <v>0</v>
      </c>
      <c r="BT440" s="61">
        <f t="shared" si="253"/>
        <v>0</v>
      </c>
      <c r="BU440" s="64">
        <f t="shared" si="254"/>
        <v>0</v>
      </c>
      <c r="BV440" s="119">
        <f>SUM(Tableau1[[#This Row],[Achats confiserie]:[Achats boisson]])</f>
        <v>0</v>
      </c>
      <c r="BW440" s="104"/>
      <c r="BX440" s="105"/>
      <c r="BY440" s="104"/>
      <c r="BZ440" s="56">
        <f t="shared" si="255"/>
        <v>0</v>
      </c>
      <c r="CA440" s="210"/>
      <c r="CB440" s="210"/>
      <c r="CC440" s="56">
        <f t="shared" si="256"/>
        <v>0</v>
      </c>
      <c r="CD440" s="93"/>
      <c r="CE440" s="107"/>
      <c r="CF440" s="93"/>
      <c r="CG440" s="93"/>
      <c r="CH440" s="67">
        <f t="shared" si="257"/>
        <v>0</v>
      </c>
      <c r="CI440" s="68">
        <f t="shared" si="273"/>
        <v>0</v>
      </c>
      <c r="CJ440" s="93"/>
      <c r="CK440" s="93"/>
      <c r="CL440" s="93"/>
      <c r="CM440" s="93"/>
      <c r="CN440" s="93"/>
      <c r="CO440" s="68">
        <f t="shared" si="258"/>
        <v>0</v>
      </c>
      <c r="CP440" s="75">
        <f>SUM(Tableau1[[#This Row],[Fourniture eau]:[Energie (non précisé)]])</f>
        <v>0</v>
      </c>
      <c r="CQ440" s="93"/>
      <c r="CR440" s="93"/>
      <c r="CS440" s="93"/>
      <c r="CT440" s="93"/>
      <c r="CU440" s="93"/>
      <c r="CV440" s="93">
        <v>0</v>
      </c>
      <c r="CW440" s="93"/>
      <c r="CX440" s="68">
        <f>SUM(Tableau1[[#This Row],[Sous-traitance]:[Autres ou non précisé 12]])</f>
        <v>0</v>
      </c>
      <c r="CY440" s="107"/>
      <c r="CZ440" s="107"/>
      <c r="DA440" s="107"/>
      <c r="DB440" s="107"/>
      <c r="DC440" s="93"/>
      <c r="DD440" s="68">
        <f t="shared" ref="DD440:DD499" si="278">SUM(DE440:DH440)</f>
        <v>0</v>
      </c>
      <c r="DE440" s="93"/>
      <c r="DF440" s="107"/>
      <c r="DG440" s="107"/>
      <c r="DH440" s="107"/>
      <c r="DI440" s="68">
        <f>SUM(Tableau1[[#This Row],[Entretien et réparation matériel de projection]:[Autres ou non précisé 14]])</f>
        <v>0</v>
      </c>
      <c r="DJ440" s="104"/>
      <c r="DK440" s="104"/>
      <c r="DL440" s="105"/>
      <c r="DM440" s="68">
        <f t="shared" si="259"/>
        <v>0</v>
      </c>
      <c r="DN440" s="104"/>
      <c r="DO440" s="104"/>
      <c r="DP440" s="68">
        <f t="shared" si="260"/>
        <v>0</v>
      </c>
      <c r="DQ440" s="107"/>
      <c r="DR440" s="107"/>
      <c r="DS440" s="68">
        <f t="shared" si="261"/>
        <v>0</v>
      </c>
      <c r="DT440" s="107"/>
      <c r="DU440" s="107"/>
      <c r="DV440" s="107"/>
      <c r="DW440" s="68">
        <f>SUM(Tableau1[[#This Row],[Comission et courtage sur achats]:[Autres ou honoraires
 non précisé ]])</f>
        <v>0</v>
      </c>
      <c r="DX440" s="57"/>
      <c r="DY440" s="57"/>
      <c r="DZ440" s="107"/>
      <c r="EA440" s="107"/>
      <c r="EB440" s="107"/>
      <c r="EC440" s="68">
        <f t="shared" si="262"/>
        <v>0</v>
      </c>
      <c r="ED440" s="105"/>
      <c r="EE440" s="105"/>
      <c r="EF440" s="105"/>
      <c r="EG440" s="105"/>
      <c r="EH440" s="105"/>
      <c r="EI440" s="84">
        <f>SUM(Tableau1[[#This Row],[Transports sur films]:[autres ]])</f>
        <v>0</v>
      </c>
      <c r="EJ440" s="134">
        <v>0</v>
      </c>
      <c r="EK440" s="134"/>
      <c r="EL440" s="68">
        <f t="shared" si="263"/>
        <v>0</v>
      </c>
      <c r="EM440" s="107"/>
      <c r="EN440" s="107">
        <v>0</v>
      </c>
      <c r="EO440" s="107"/>
      <c r="EP440" s="107"/>
      <c r="EQ440" s="107"/>
      <c r="ER440" s="107"/>
      <c r="ES440" s="107"/>
      <c r="ET440" s="68">
        <f t="shared" si="264"/>
        <v>0</v>
      </c>
      <c r="EU440" s="107"/>
      <c r="EV440" s="107"/>
      <c r="EW440" s="107"/>
      <c r="EX440" s="107"/>
      <c r="EY440" s="107"/>
      <c r="EZ440" s="68">
        <f t="shared" si="241"/>
        <v>0</v>
      </c>
      <c r="FA440" s="107"/>
      <c r="FB440" s="107"/>
      <c r="FC440" s="70">
        <f t="shared" ref="FC440:FC499" si="279">SUM(FD440:FD440)</f>
        <v>0</v>
      </c>
      <c r="FD440" s="107"/>
      <c r="FE440" s="71">
        <f t="shared" si="265"/>
        <v>0</v>
      </c>
      <c r="FF440" s="72">
        <f t="shared" si="266"/>
        <v>0</v>
      </c>
      <c r="FG440" s="107"/>
      <c r="FH440" s="107"/>
      <c r="FI440" s="107"/>
      <c r="FJ440" s="56">
        <f t="shared" si="267"/>
        <v>0</v>
      </c>
      <c r="FK440" s="107"/>
      <c r="FL440" s="107"/>
      <c r="FM440" s="107"/>
      <c r="FN440" s="107"/>
      <c r="FO440" s="67">
        <f t="shared" si="268"/>
        <v>0</v>
      </c>
      <c r="FP440" s="103"/>
      <c r="FQ440" s="109"/>
      <c r="FR440" s="109"/>
      <c r="FS440" s="71">
        <f t="shared" si="269"/>
        <v>0</v>
      </c>
      <c r="FT440" s="110"/>
      <c r="FU440" s="110"/>
      <c r="FV440" s="67">
        <f>SUM(Tableau1[[#This Row],[Droits d''auteurs SACEM + cotisations SACEM]:[Autres ou non préciés]])</f>
        <v>0</v>
      </c>
      <c r="FW440" s="75">
        <f t="shared" si="270"/>
        <v>0</v>
      </c>
      <c r="FX440" s="111">
        <v>0</v>
      </c>
      <c r="FY440" s="111"/>
      <c r="FZ440" s="111"/>
      <c r="GA440" s="111"/>
      <c r="GB440" s="71">
        <f t="shared" si="271"/>
        <v>0</v>
      </c>
      <c r="GC440" s="112"/>
      <c r="GD440" s="112"/>
      <c r="GE440" s="67">
        <f t="shared" si="272"/>
        <v>0</v>
      </c>
      <c r="GF440" s="113"/>
      <c r="GG440" s="113"/>
      <c r="GH440" s="113"/>
      <c r="GI440" s="113"/>
      <c r="GJ440" s="114"/>
    </row>
    <row r="441" spans="1:192" ht="18.600000000000001" customHeight="1" x14ac:dyDescent="0.25">
      <c r="A441" s="96"/>
      <c r="B441" s="97"/>
      <c r="C441" s="99"/>
      <c r="D441" s="140"/>
      <c r="E441" s="51"/>
      <c r="F441" s="139">
        <f t="shared" si="276"/>
        <v>1</v>
      </c>
      <c r="G441" s="98"/>
      <c r="H441" s="99"/>
      <c r="I441" s="122"/>
      <c r="J441" s="98"/>
      <c r="K441" s="99"/>
      <c r="L441" s="99"/>
      <c r="M441" s="100"/>
      <c r="N441" s="99"/>
      <c r="O441" s="99"/>
      <c r="P441" s="101"/>
      <c r="Q441" s="52">
        <f t="shared" si="242"/>
        <v>0</v>
      </c>
      <c r="R441" s="52">
        <f t="shared" si="243"/>
        <v>0</v>
      </c>
      <c r="S441" s="53">
        <f t="shared" si="244"/>
        <v>0</v>
      </c>
      <c r="T441" s="54">
        <f t="shared" si="245"/>
        <v>0</v>
      </c>
      <c r="U441" s="115">
        <f>SUM(Tableau1[[#This Row],[Vente confiserie]:[Vente boisson]])</f>
        <v>0</v>
      </c>
      <c r="V441" s="102"/>
      <c r="W441" s="102"/>
      <c r="X441" s="136">
        <f>SUM(Tableau1[[#This Row],[Vente lunette]:[Location lunette]])</f>
        <v>0</v>
      </c>
      <c r="Y441" s="102"/>
      <c r="Z441" s="102"/>
      <c r="AA441" s="102"/>
      <c r="AB441" s="102"/>
      <c r="AC441" s="56">
        <f t="shared" si="274"/>
        <v>0</v>
      </c>
      <c r="AD441" s="103"/>
      <c r="AE441" s="103"/>
      <c r="AF441" s="103"/>
      <c r="AG441" s="103"/>
      <c r="AH441" s="103"/>
      <c r="AI441" s="103"/>
      <c r="AJ441" s="118">
        <f>(Tableau1[[#This Row],[Recette guichet ]]*1.1275177)-Tableau1[[#This Row],[Recette guichet ]]</f>
        <v>0</v>
      </c>
      <c r="AK441" s="103"/>
      <c r="AL441" s="56">
        <f t="shared" si="275"/>
        <v>0</v>
      </c>
      <c r="AM441" s="104"/>
      <c r="AN441" s="58"/>
      <c r="AO441" s="104"/>
      <c r="AP441" s="115">
        <f t="shared" si="246"/>
        <v>0</v>
      </c>
      <c r="AQ441" s="105"/>
      <c r="AR441" s="105"/>
      <c r="AS441" s="105"/>
      <c r="AT441" s="105"/>
      <c r="AU441" s="59">
        <f t="shared" si="247"/>
        <v>0</v>
      </c>
      <c r="AV441" s="60">
        <f t="shared" si="248"/>
        <v>0</v>
      </c>
      <c r="AW441" s="104"/>
      <c r="AX441" s="104"/>
      <c r="AY441" s="104"/>
      <c r="AZ441" s="60">
        <f t="shared" si="277"/>
        <v>0</v>
      </c>
      <c r="BA441" s="104"/>
      <c r="BB441" s="104"/>
      <c r="BC441" s="104"/>
      <c r="BD441" s="60">
        <f>SUM(Tableau1[[#This Row],[ticket/carte/abonnement périmé]:[Autres ou non précisé 5]])</f>
        <v>0</v>
      </c>
      <c r="BE441" s="104"/>
      <c r="BF441" s="104"/>
      <c r="BG441" s="104"/>
      <c r="BH441" s="61">
        <f t="shared" si="249"/>
        <v>0</v>
      </c>
      <c r="BI441" s="137"/>
      <c r="BJ441" s="137"/>
      <c r="BK441" s="62">
        <f t="shared" si="250"/>
        <v>0</v>
      </c>
      <c r="BL441" s="137"/>
      <c r="BM441" s="137"/>
      <c r="BN441" s="137"/>
      <c r="BO441" s="137"/>
      <c r="BP441" s="137"/>
      <c r="BQ441" s="106"/>
      <c r="BR441" s="52">
        <f t="shared" si="251"/>
        <v>0</v>
      </c>
      <c r="BS441" s="52">
        <f t="shared" si="252"/>
        <v>0</v>
      </c>
      <c r="BT441" s="61">
        <f t="shared" si="253"/>
        <v>0</v>
      </c>
      <c r="BU441" s="64">
        <f t="shared" si="254"/>
        <v>0</v>
      </c>
      <c r="BV441" s="119">
        <f>SUM(Tableau1[[#This Row],[Achats confiserie]:[Achats boisson]])</f>
        <v>0</v>
      </c>
      <c r="BW441" s="104"/>
      <c r="BX441" s="105"/>
      <c r="BY441" s="104"/>
      <c r="BZ441" s="56">
        <f t="shared" si="255"/>
        <v>0</v>
      </c>
      <c r="CA441" s="210"/>
      <c r="CB441" s="210"/>
      <c r="CC441" s="56">
        <f t="shared" si="256"/>
        <v>0</v>
      </c>
      <c r="CD441" s="93"/>
      <c r="CE441" s="107"/>
      <c r="CF441" s="93"/>
      <c r="CG441" s="93"/>
      <c r="CH441" s="67">
        <f t="shared" si="257"/>
        <v>0</v>
      </c>
      <c r="CI441" s="68">
        <f t="shared" si="273"/>
        <v>0</v>
      </c>
      <c r="CJ441" s="93"/>
      <c r="CK441" s="93"/>
      <c r="CL441" s="93"/>
      <c r="CM441" s="93"/>
      <c r="CN441" s="93"/>
      <c r="CO441" s="68">
        <f t="shared" si="258"/>
        <v>0</v>
      </c>
      <c r="CP441" s="75">
        <f>SUM(Tableau1[[#This Row],[Fourniture eau]:[Energie (non précisé)]])</f>
        <v>0</v>
      </c>
      <c r="CQ441" s="93"/>
      <c r="CR441" s="93"/>
      <c r="CS441" s="93"/>
      <c r="CT441" s="93"/>
      <c r="CU441" s="93"/>
      <c r="CV441" s="93">
        <v>0</v>
      </c>
      <c r="CW441" s="93"/>
      <c r="CX441" s="68">
        <f>SUM(Tableau1[[#This Row],[Sous-traitance]:[Autres ou non précisé 12]])</f>
        <v>0</v>
      </c>
      <c r="CY441" s="107"/>
      <c r="CZ441" s="107"/>
      <c r="DA441" s="107"/>
      <c r="DB441" s="107"/>
      <c r="DC441" s="93"/>
      <c r="DD441" s="68">
        <f t="shared" si="278"/>
        <v>0</v>
      </c>
      <c r="DE441" s="93"/>
      <c r="DF441" s="107"/>
      <c r="DG441" s="107"/>
      <c r="DH441" s="107"/>
      <c r="DI441" s="68">
        <f>SUM(Tableau1[[#This Row],[Entretien et réparation matériel de projection]:[Autres ou non précisé 14]])</f>
        <v>0</v>
      </c>
      <c r="DJ441" s="104"/>
      <c r="DK441" s="104"/>
      <c r="DL441" s="105"/>
      <c r="DM441" s="68">
        <f t="shared" si="259"/>
        <v>0</v>
      </c>
      <c r="DN441" s="104"/>
      <c r="DO441" s="104"/>
      <c r="DP441" s="68">
        <f t="shared" si="260"/>
        <v>0</v>
      </c>
      <c r="DQ441" s="107"/>
      <c r="DR441" s="107"/>
      <c r="DS441" s="68">
        <f t="shared" si="261"/>
        <v>0</v>
      </c>
      <c r="DT441" s="107"/>
      <c r="DU441" s="107"/>
      <c r="DV441" s="107"/>
      <c r="DW441" s="68">
        <f>SUM(Tableau1[[#This Row],[Comission et courtage sur achats]:[Autres ou honoraires
 non précisé ]])</f>
        <v>0</v>
      </c>
      <c r="DX441" s="57"/>
      <c r="DY441" s="57"/>
      <c r="DZ441" s="107"/>
      <c r="EA441" s="107"/>
      <c r="EB441" s="107"/>
      <c r="EC441" s="68">
        <f t="shared" si="262"/>
        <v>0</v>
      </c>
      <c r="ED441" s="105"/>
      <c r="EE441" s="105"/>
      <c r="EF441" s="105"/>
      <c r="EG441" s="105"/>
      <c r="EH441" s="105"/>
      <c r="EI441" s="84">
        <f>SUM(Tableau1[[#This Row],[Transports sur films]:[autres ]])</f>
        <v>0</v>
      </c>
      <c r="EJ441" s="134">
        <v>0</v>
      </c>
      <c r="EK441" s="134"/>
      <c r="EL441" s="68">
        <f t="shared" si="263"/>
        <v>0</v>
      </c>
      <c r="EM441" s="107"/>
      <c r="EN441" s="107">
        <v>0</v>
      </c>
      <c r="EO441" s="107"/>
      <c r="EP441" s="107"/>
      <c r="EQ441" s="107"/>
      <c r="ER441" s="107"/>
      <c r="ES441" s="107"/>
      <c r="ET441" s="68">
        <f t="shared" si="264"/>
        <v>0</v>
      </c>
      <c r="EU441" s="107"/>
      <c r="EV441" s="107"/>
      <c r="EW441" s="107"/>
      <c r="EX441" s="107"/>
      <c r="EY441" s="107"/>
      <c r="EZ441" s="68">
        <f t="shared" si="241"/>
        <v>0</v>
      </c>
      <c r="FA441" s="107"/>
      <c r="FB441" s="107"/>
      <c r="FC441" s="70">
        <f t="shared" si="279"/>
        <v>0</v>
      </c>
      <c r="FD441" s="107"/>
      <c r="FE441" s="71">
        <f t="shared" si="265"/>
        <v>0</v>
      </c>
      <c r="FF441" s="72">
        <f t="shared" si="266"/>
        <v>0</v>
      </c>
      <c r="FG441" s="107"/>
      <c r="FH441" s="107"/>
      <c r="FI441" s="107"/>
      <c r="FJ441" s="56">
        <f t="shared" si="267"/>
        <v>0</v>
      </c>
      <c r="FK441" s="107"/>
      <c r="FL441" s="107"/>
      <c r="FM441" s="107"/>
      <c r="FN441" s="107"/>
      <c r="FO441" s="67">
        <f t="shared" si="268"/>
        <v>0</v>
      </c>
      <c r="FP441" s="103"/>
      <c r="FQ441" s="109"/>
      <c r="FR441" s="109"/>
      <c r="FS441" s="71">
        <f t="shared" si="269"/>
        <v>0</v>
      </c>
      <c r="FT441" s="110"/>
      <c r="FU441" s="110"/>
      <c r="FV441" s="67">
        <f>SUM(Tableau1[[#This Row],[Droits d''auteurs SACEM + cotisations SACEM]:[Autres ou non préciés]])</f>
        <v>0</v>
      </c>
      <c r="FW441" s="75">
        <f t="shared" si="270"/>
        <v>0</v>
      </c>
      <c r="FX441" s="111">
        <v>0</v>
      </c>
      <c r="FY441" s="111"/>
      <c r="FZ441" s="111"/>
      <c r="GA441" s="111"/>
      <c r="GB441" s="71">
        <f t="shared" si="271"/>
        <v>0</v>
      </c>
      <c r="GC441" s="112"/>
      <c r="GD441" s="112"/>
      <c r="GE441" s="67">
        <f t="shared" si="272"/>
        <v>0</v>
      </c>
      <c r="GF441" s="113"/>
      <c r="GG441" s="113"/>
      <c r="GH441" s="113"/>
      <c r="GI441" s="113"/>
      <c r="GJ441" s="114"/>
    </row>
    <row r="442" spans="1:192" ht="18.600000000000001" customHeight="1" x14ac:dyDescent="0.25">
      <c r="A442" s="96"/>
      <c r="B442" s="97"/>
      <c r="C442" s="99"/>
      <c r="D442" s="140"/>
      <c r="E442" s="51"/>
      <c r="F442" s="139">
        <f t="shared" si="276"/>
        <v>1</v>
      </c>
      <c r="G442" s="98"/>
      <c r="H442" s="99"/>
      <c r="I442" s="122"/>
      <c r="J442" s="98"/>
      <c r="K442" s="99"/>
      <c r="L442" s="99"/>
      <c r="M442" s="100"/>
      <c r="N442" s="99"/>
      <c r="O442" s="99"/>
      <c r="P442" s="101"/>
      <c r="Q442" s="52">
        <f t="shared" si="242"/>
        <v>0</v>
      </c>
      <c r="R442" s="52">
        <f t="shared" si="243"/>
        <v>0</v>
      </c>
      <c r="S442" s="53">
        <f t="shared" si="244"/>
        <v>0</v>
      </c>
      <c r="T442" s="54">
        <f t="shared" si="245"/>
        <v>0</v>
      </c>
      <c r="U442" s="115">
        <f>SUM(Tableau1[[#This Row],[Vente confiserie]:[Vente boisson]])</f>
        <v>0</v>
      </c>
      <c r="V442" s="102"/>
      <c r="W442" s="102"/>
      <c r="X442" s="136">
        <f>SUM(Tableau1[[#This Row],[Vente lunette]:[Location lunette]])</f>
        <v>0</v>
      </c>
      <c r="Y442" s="102"/>
      <c r="Z442" s="102"/>
      <c r="AA442" s="102"/>
      <c r="AB442" s="102"/>
      <c r="AC442" s="56">
        <f t="shared" si="274"/>
        <v>0</v>
      </c>
      <c r="AD442" s="103"/>
      <c r="AE442" s="103"/>
      <c r="AF442" s="103"/>
      <c r="AG442" s="103"/>
      <c r="AH442" s="103"/>
      <c r="AI442" s="103"/>
      <c r="AJ442" s="118">
        <f>(Tableau1[[#This Row],[Recette guichet ]]*1.1275177)-Tableau1[[#This Row],[Recette guichet ]]</f>
        <v>0</v>
      </c>
      <c r="AK442" s="103"/>
      <c r="AL442" s="56">
        <f t="shared" si="275"/>
        <v>0</v>
      </c>
      <c r="AM442" s="104"/>
      <c r="AN442" s="58"/>
      <c r="AO442" s="104"/>
      <c r="AP442" s="115">
        <f t="shared" si="246"/>
        <v>0</v>
      </c>
      <c r="AQ442" s="105"/>
      <c r="AR442" s="105"/>
      <c r="AS442" s="105"/>
      <c r="AT442" s="105"/>
      <c r="AU442" s="59">
        <f t="shared" si="247"/>
        <v>0</v>
      </c>
      <c r="AV442" s="60">
        <f t="shared" si="248"/>
        <v>0</v>
      </c>
      <c r="AW442" s="104"/>
      <c r="AX442" s="104"/>
      <c r="AY442" s="104"/>
      <c r="AZ442" s="60">
        <f t="shared" si="277"/>
        <v>0</v>
      </c>
      <c r="BA442" s="104"/>
      <c r="BB442" s="104"/>
      <c r="BC442" s="104"/>
      <c r="BD442" s="60">
        <f>SUM(Tableau1[[#This Row],[ticket/carte/abonnement périmé]:[Autres ou non précisé 5]])</f>
        <v>0</v>
      </c>
      <c r="BE442" s="104"/>
      <c r="BF442" s="104"/>
      <c r="BG442" s="104"/>
      <c r="BH442" s="61">
        <f t="shared" si="249"/>
        <v>0</v>
      </c>
      <c r="BI442" s="137"/>
      <c r="BJ442" s="137"/>
      <c r="BK442" s="62">
        <f t="shared" si="250"/>
        <v>0</v>
      </c>
      <c r="BL442" s="137"/>
      <c r="BM442" s="137"/>
      <c r="BN442" s="137"/>
      <c r="BO442" s="137"/>
      <c r="BP442" s="137"/>
      <c r="BQ442" s="106"/>
      <c r="BR442" s="52">
        <f t="shared" si="251"/>
        <v>0</v>
      </c>
      <c r="BS442" s="52">
        <f t="shared" si="252"/>
        <v>0</v>
      </c>
      <c r="BT442" s="61">
        <f t="shared" si="253"/>
        <v>0</v>
      </c>
      <c r="BU442" s="64">
        <f t="shared" si="254"/>
        <v>0</v>
      </c>
      <c r="BV442" s="119">
        <f>SUM(Tableau1[[#This Row],[Achats confiserie]:[Achats boisson]])</f>
        <v>0</v>
      </c>
      <c r="BW442" s="104"/>
      <c r="BX442" s="105"/>
      <c r="BY442" s="104"/>
      <c r="BZ442" s="56">
        <f t="shared" si="255"/>
        <v>0</v>
      </c>
      <c r="CA442" s="210"/>
      <c r="CB442" s="210"/>
      <c r="CC442" s="56">
        <f t="shared" si="256"/>
        <v>0</v>
      </c>
      <c r="CD442" s="93"/>
      <c r="CE442" s="107"/>
      <c r="CF442" s="93"/>
      <c r="CG442" s="93"/>
      <c r="CH442" s="67">
        <f t="shared" si="257"/>
        <v>0</v>
      </c>
      <c r="CI442" s="68">
        <f t="shared" si="273"/>
        <v>0</v>
      </c>
      <c r="CJ442" s="93"/>
      <c r="CK442" s="93"/>
      <c r="CL442" s="93"/>
      <c r="CM442" s="93"/>
      <c r="CN442" s="93"/>
      <c r="CO442" s="68">
        <f t="shared" si="258"/>
        <v>0</v>
      </c>
      <c r="CP442" s="75">
        <f>SUM(Tableau1[[#This Row],[Fourniture eau]:[Energie (non précisé)]])</f>
        <v>0</v>
      </c>
      <c r="CQ442" s="93"/>
      <c r="CR442" s="93"/>
      <c r="CS442" s="93"/>
      <c r="CT442" s="93"/>
      <c r="CU442" s="93"/>
      <c r="CV442" s="93">
        <v>0</v>
      </c>
      <c r="CW442" s="93"/>
      <c r="CX442" s="68">
        <f>SUM(Tableau1[[#This Row],[Sous-traitance]:[Autres ou non précisé 12]])</f>
        <v>0</v>
      </c>
      <c r="CY442" s="107"/>
      <c r="CZ442" s="107"/>
      <c r="DA442" s="107"/>
      <c r="DB442" s="107"/>
      <c r="DC442" s="93"/>
      <c r="DD442" s="68">
        <f t="shared" si="278"/>
        <v>0</v>
      </c>
      <c r="DE442" s="93"/>
      <c r="DF442" s="107"/>
      <c r="DG442" s="107"/>
      <c r="DH442" s="107"/>
      <c r="DI442" s="68">
        <f>SUM(Tableau1[[#This Row],[Entretien et réparation matériel de projection]:[Autres ou non précisé 14]])</f>
        <v>0</v>
      </c>
      <c r="DJ442" s="104"/>
      <c r="DK442" s="104"/>
      <c r="DL442" s="105"/>
      <c r="DM442" s="68">
        <f t="shared" si="259"/>
        <v>0</v>
      </c>
      <c r="DN442" s="104"/>
      <c r="DO442" s="104"/>
      <c r="DP442" s="68">
        <f t="shared" si="260"/>
        <v>0</v>
      </c>
      <c r="DQ442" s="107"/>
      <c r="DR442" s="107"/>
      <c r="DS442" s="68">
        <f t="shared" si="261"/>
        <v>0</v>
      </c>
      <c r="DT442" s="107"/>
      <c r="DU442" s="107"/>
      <c r="DV442" s="107"/>
      <c r="DW442" s="68">
        <f>SUM(Tableau1[[#This Row],[Comission et courtage sur achats]:[Autres ou honoraires
 non précisé ]])</f>
        <v>0</v>
      </c>
      <c r="DX442" s="57"/>
      <c r="DY442" s="57"/>
      <c r="DZ442" s="107"/>
      <c r="EA442" s="107"/>
      <c r="EB442" s="107"/>
      <c r="EC442" s="68">
        <f t="shared" si="262"/>
        <v>0</v>
      </c>
      <c r="ED442" s="105"/>
      <c r="EE442" s="105"/>
      <c r="EF442" s="105"/>
      <c r="EG442" s="105"/>
      <c r="EH442" s="105"/>
      <c r="EI442" s="84">
        <f>SUM(Tableau1[[#This Row],[Transports sur films]:[autres ]])</f>
        <v>0</v>
      </c>
      <c r="EJ442" s="134">
        <v>0</v>
      </c>
      <c r="EK442" s="134"/>
      <c r="EL442" s="68">
        <f t="shared" si="263"/>
        <v>0</v>
      </c>
      <c r="EM442" s="107"/>
      <c r="EN442" s="107">
        <v>0</v>
      </c>
      <c r="EO442" s="107"/>
      <c r="EP442" s="107"/>
      <c r="EQ442" s="107"/>
      <c r="ER442" s="107"/>
      <c r="ES442" s="107"/>
      <c r="ET442" s="68">
        <f t="shared" si="264"/>
        <v>0</v>
      </c>
      <c r="EU442" s="107"/>
      <c r="EV442" s="107"/>
      <c r="EW442" s="107"/>
      <c r="EX442" s="107"/>
      <c r="EY442" s="107"/>
      <c r="EZ442" s="68">
        <f t="shared" si="241"/>
        <v>0</v>
      </c>
      <c r="FA442" s="107"/>
      <c r="FB442" s="107"/>
      <c r="FC442" s="70">
        <f t="shared" si="279"/>
        <v>0</v>
      </c>
      <c r="FD442" s="107"/>
      <c r="FE442" s="71">
        <f t="shared" si="265"/>
        <v>0</v>
      </c>
      <c r="FF442" s="72">
        <f t="shared" si="266"/>
        <v>0</v>
      </c>
      <c r="FG442" s="107"/>
      <c r="FH442" s="107"/>
      <c r="FI442" s="107"/>
      <c r="FJ442" s="56">
        <f t="shared" si="267"/>
        <v>0</v>
      </c>
      <c r="FK442" s="107"/>
      <c r="FL442" s="107"/>
      <c r="FM442" s="107"/>
      <c r="FN442" s="107"/>
      <c r="FO442" s="67">
        <f t="shared" si="268"/>
        <v>0</v>
      </c>
      <c r="FP442" s="103"/>
      <c r="FQ442" s="109"/>
      <c r="FR442" s="109"/>
      <c r="FS442" s="71">
        <f t="shared" si="269"/>
        <v>0</v>
      </c>
      <c r="FT442" s="110"/>
      <c r="FU442" s="110"/>
      <c r="FV442" s="67">
        <f>SUM(Tableau1[[#This Row],[Droits d''auteurs SACEM + cotisations SACEM]:[Autres ou non préciés]])</f>
        <v>0</v>
      </c>
      <c r="FW442" s="75">
        <f t="shared" si="270"/>
        <v>0</v>
      </c>
      <c r="FX442" s="111">
        <v>0</v>
      </c>
      <c r="FY442" s="111"/>
      <c r="FZ442" s="111"/>
      <c r="GA442" s="111"/>
      <c r="GB442" s="71">
        <f t="shared" si="271"/>
        <v>0</v>
      </c>
      <c r="GC442" s="112"/>
      <c r="GD442" s="112"/>
      <c r="GE442" s="67">
        <f t="shared" si="272"/>
        <v>0</v>
      </c>
      <c r="GF442" s="113"/>
      <c r="GG442" s="113"/>
      <c r="GH442" s="113"/>
      <c r="GI442" s="113"/>
      <c r="GJ442" s="114"/>
    </row>
    <row r="443" spans="1:192" ht="18.600000000000001" customHeight="1" x14ac:dyDescent="0.25">
      <c r="A443" s="96"/>
      <c r="B443" s="97"/>
      <c r="C443" s="99"/>
      <c r="D443" s="140"/>
      <c r="E443" s="51"/>
      <c r="F443" s="139">
        <f t="shared" si="276"/>
        <v>1</v>
      </c>
      <c r="G443" s="98"/>
      <c r="H443" s="99"/>
      <c r="I443" s="122"/>
      <c r="J443" s="98"/>
      <c r="K443" s="99"/>
      <c r="L443" s="99"/>
      <c r="M443" s="100"/>
      <c r="N443" s="99"/>
      <c r="O443" s="99"/>
      <c r="P443" s="101"/>
      <c r="Q443" s="52">
        <f t="shared" si="242"/>
        <v>0</v>
      </c>
      <c r="R443" s="52">
        <f t="shared" si="243"/>
        <v>0</v>
      </c>
      <c r="S443" s="53">
        <f t="shared" si="244"/>
        <v>0</v>
      </c>
      <c r="T443" s="54">
        <f t="shared" si="245"/>
        <v>0</v>
      </c>
      <c r="U443" s="115">
        <f>SUM(Tableau1[[#This Row],[Vente confiserie]:[Vente boisson]])</f>
        <v>0</v>
      </c>
      <c r="V443" s="102"/>
      <c r="W443" s="102"/>
      <c r="X443" s="136">
        <f>SUM(Tableau1[[#This Row],[Vente lunette]:[Location lunette]])</f>
        <v>0</v>
      </c>
      <c r="Y443" s="102"/>
      <c r="Z443" s="102"/>
      <c r="AA443" s="102"/>
      <c r="AB443" s="102"/>
      <c r="AC443" s="56">
        <f t="shared" si="274"/>
        <v>0</v>
      </c>
      <c r="AD443" s="103"/>
      <c r="AE443" s="103"/>
      <c r="AF443" s="103"/>
      <c r="AG443" s="103"/>
      <c r="AH443" s="103"/>
      <c r="AI443" s="103"/>
      <c r="AJ443" s="118">
        <f>(Tableau1[[#This Row],[Recette guichet ]]*1.1275177)-Tableau1[[#This Row],[Recette guichet ]]</f>
        <v>0</v>
      </c>
      <c r="AK443" s="103"/>
      <c r="AL443" s="56">
        <f t="shared" si="275"/>
        <v>0</v>
      </c>
      <c r="AM443" s="104"/>
      <c r="AN443" s="58"/>
      <c r="AO443" s="104"/>
      <c r="AP443" s="115">
        <f t="shared" si="246"/>
        <v>0</v>
      </c>
      <c r="AQ443" s="105"/>
      <c r="AR443" s="105"/>
      <c r="AS443" s="105"/>
      <c r="AT443" s="105"/>
      <c r="AU443" s="59">
        <f t="shared" si="247"/>
        <v>0</v>
      </c>
      <c r="AV443" s="60">
        <f t="shared" si="248"/>
        <v>0</v>
      </c>
      <c r="AW443" s="104"/>
      <c r="AX443" s="104"/>
      <c r="AY443" s="104"/>
      <c r="AZ443" s="60">
        <f t="shared" si="277"/>
        <v>0</v>
      </c>
      <c r="BA443" s="104"/>
      <c r="BB443" s="104"/>
      <c r="BC443" s="104"/>
      <c r="BD443" s="60">
        <f>SUM(Tableau1[[#This Row],[ticket/carte/abonnement périmé]:[Autres ou non précisé 5]])</f>
        <v>0</v>
      </c>
      <c r="BE443" s="104"/>
      <c r="BF443" s="104"/>
      <c r="BG443" s="104"/>
      <c r="BH443" s="61">
        <f t="shared" si="249"/>
        <v>0</v>
      </c>
      <c r="BI443" s="137"/>
      <c r="BJ443" s="137"/>
      <c r="BK443" s="62">
        <f t="shared" si="250"/>
        <v>0</v>
      </c>
      <c r="BL443" s="137"/>
      <c r="BM443" s="137"/>
      <c r="BN443" s="137"/>
      <c r="BO443" s="137"/>
      <c r="BP443" s="137"/>
      <c r="BQ443" s="106"/>
      <c r="BR443" s="52">
        <f t="shared" si="251"/>
        <v>0</v>
      </c>
      <c r="BS443" s="52">
        <f t="shared" si="252"/>
        <v>0</v>
      </c>
      <c r="BT443" s="61">
        <f t="shared" si="253"/>
        <v>0</v>
      </c>
      <c r="BU443" s="64">
        <f t="shared" si="254"/>
        <v>0</v>
      </c>
      <c r="BV443" s="119">
        <f>SUM(Tableau1[[#This Row],[Achats confiserie]:[Achats boisson]])</f>
        <v>0</v>
      </c>
      <c r="BW443" s="104"/>
      <c r="BX443" s="105"/>
      <c r="BY443" s="104"/>
      <c r="BZ443" s="56">
        <f t="shared" si="255"/>
        <v>0</v>
      </c>
      <c r="CA443" s="210"/>
      <c r="CB443" s="210"/>
      <c r="CC443" s="56">
        <f t="shared" si="256"/>
        <v>0</v>
      </c>
      <c r="CD443" s="93"/>
      <c r="CE443" s="107"/>
      <c r="CF443" s="93"/>
      <c r="CG443" s="93"/>
      <c r="CH443" s="67">
        <f t="shared" si="257"/>
        <v>0</v>
      </c>
      <c r="CI443" s="68">
        <f t="shared" si="273"/>
        <v>0</v>
      </c>
      <c r="CJ443" s="93"/>
      <c r="CK443" s="93"/>
      <c r="CL443" s="93"/>
      <c r="CM443" s="93"/>
      <c r="CN443" s="93"/>
      <c r="CO443" s="68">
        <f t="shared" si="258"/>
        <v>0</v>
      </c>
      <c r="CP443" s="75">
        <f>SUM(Tableau1[[#This Row],[Fourniture eau]:[Energie (non précisé)]])</f>
        <v>0</v>
      </c>
      <c r="CQ443" s="93"/>
      <c r="CR443" s="93"/>
      <c r="CS443" s="93"/>
      <c r="CT443" s="93"/>
      <c r="CU443" s="93"/>
      <c r="CV443" s="93">
        <v>0</v>
      </c>
      <c r="CW443" s="93"/>
      <c r="CX443" s="68">
        <f>SUM(Tableau1[[#This Row],[Sous-traitance]:[Autres ou non précisé 12]])</f>
        <v>0</v>
      </c>
      <c r="CY443" s="107"/>
      <c r="CZ443" s="107"/>
      <c r="DA443" s="107"/>
      <c r="DB443" s="107"/>
      <c r="DC443" s="93"/>
      <c r="DD443" s="68">
        <f t="shared" si="278"/>
        <v>0</v>
      </c>
      <c r="DE443" s="93"/>
      <c r="DF443" s="107"/>
      <c r="DG443" s="107"/>
      <c r="DH443" s="107"/>
      <c r="DI443" s="68">
        <f>SUM(Tableau1[[#This Row],[Entretien et réparation matériel de projection]:[Autres ou non précisé 14]])</f>
        <v>0</v>
      </c>
      <c r="DJ443" s="104"/>
      <c r="DK443" s="104"/>
      <c r="DL443" s="105"/>
      <c r="DM443" s="68">
        <f t="shared" si="259"/>
        <v>0</v>
      </c>
      <c r="DN443" s="104"/>
      <c r="DO443" s="104"/>
      <c r="DP443" s="68">
        <f t="shared" si="260"/>
        <v>0</v>
      </c>
      <c r="DQ443" s="107"/>
      <c r="DR443" s="107"/>
      <c r="DS443" s="68">
        <f t="shared" si="261"/>
        <v>0</v>
      </c>
      <c r="DT443" s="107"/>
      <c r="DU443" s="107"/>
      <c r="DV443" s="107"/>
      <c r="DW443" s="68">
        <f>SUM(Tableau1[[#This Row],[Comission et courtage sur achats]:[Autres ou honoraires
 non précisé ]])</f>
        <v>0</v>
      </c>
      <c r="DX443" s="57"/>
      <c r="DY443" s="57"/>
      <c r="DZ443" s="107"/>
      <c r="EA443" s="107"/>
      <c r="EB443" s="107"/>
      <c r="EC443" s="68">
        <f t="shared" si="262"/>
        <v>0</v>
      </c>
      <c r="ED443" s="105"/>
      <c r="EE443" s="105"/>
      <c r="EF443" s="105"/>
      <c r="EG443" s="105"/>
      <c r="EH443" s="105"/>
      <c r="EI443" s="84">
        <f>SUM(Tableau1[[#This Row],[Transports sur films]:[autres ]])</f>
        <v>0</v>
      </c>
      <c r="EJ443" s="134">
        <v>0</v>
      </c>
      <c r="EK443" s="134"/>
      <c r="EL443" s="68">
        <f t="shared" si="263"/>
        <v>0</v>
      </c>
      <c r="EM443" s="107"/>
      <c r="EN443" s="107">
        <v>0</v>
      </c>
      <c r="EO443" s="107"/>
      <c r="EP443" s="107"/>
      <c r="EQ443" s="107"/>
      <c r="ER443" s="107"/>
      <c r="ES443" s="107"/>
      <c r="ET443" s="68">
        <f t="shared" si="264"/>
        <v>0</v>
      </c>
      <c r="EU443" s="107"/>
      <c r="EV443" s="107"/>
      <c r="EW443" s="107"/>
      <c r="EX443" s="107"/>
      <c r="EY443" s="107"/>
      <c r="EZ443" s="68">
        <f t="shared" ref="EZ443:EZ499" si="280">SUM(FA443:FB443)</f>
        <v>0</v>
      </c>
      <c r="FA443" s="107"/>
      <c r="FB443" s="107"/>
      <c r="FC443" s="70">
        <f t="shared" si="279"/>
        <v>0</v>
      </c>
      <c r="FD443" s="107"/>
      <c r="FE443" s="71">
        <f t="shared" si="265"/>
        <v>0</v>
      </c>
      <c r="FF443" s="72">
        <f t="shared" si="266"/>
        <v>0</v>
      </c>
      <c r="FG443" s="107"/>
      <c r="FH443" s="107"/>
      <c r="FI443" s="107"/>
      <c r="FJ443" s="56">
        <f t="shared" si="267"/>
        <v>0</v>
      </c>
      <c r="FK443" s="107"/>
      <c r="FL443" s="107"/>
      <c r="FM443" s="107"/>
      <c r="FN443" s="107"/>
      <c r="FO443" s="67">
        <f t="shared" si="268"/>
        <v>0</v>
      </c>
      <c r="FP443" s="103"/>
      <c r="FQ443" s="109"/>
      <c r="FR443" s="109"/>
      <c r="FS443" s="71">
        <f t="shared" si="269"/>
        <v>0</v>
      </c>
      <c r="FT443" s="110"/>
      <c r="FU443" s="110"/>
      <c r="FV443" s="67">
        <f>SUM(Tableau1[[#This Row],[Droits d''auteurs SACEM + cotisations SACEM]:[Autres ou non préciés]])</f>
        <v>0</v>
      </c>
      <c r="FW443" s="75">
        <f t="shared" si="270"/>
        <v>0</v>
      </c>
      <c r="FX443" s="111">
        <v>0</v>
      </c>
      <c r="FY443" s="111"/>
      <c r="FZ443" s="111"/>
      <c r="GA443" s="111"/>
      <c r="GB443" s="71">
        <f t="shared" si="271"/>
        <v>0</v>
      </c>
      <c r="GC443" s="112"/>
      <c r="GD443" s="112"/>
      <c r="GE443" s="67">
        <f t="shared" si="272"/>
        <v>0</v>
      </c>
      <c r="GF443" s="113"/>
      <c r="GG443" s="113"/>
      <c r="GH443" s="113"/>
      <c r="GI443" s="113"/>
      <c r="GJ443" s="114"/>
    </row>
    <row r="444" spans="1:192" ht="18.600000000000001" customHeight="1" x14ac:dyDescent="0.25">
      <c r="A444" s="96"/>
      <c r="B444" s="97"/>
      <c r="C444" s="99"/>
      <c r="D444" s="140"/>
      <c r="E444" s="51"/>
      <c r="F444" s="139">
        <f t="shared" si="276"/>
        <v>1</v>
      </c>
      <c r="G444" s="98"/>
      <c r="H444" s="99"/>
      <c r="I444" s="122"/>
      <c r="J444" s="98"/>
      <c r="K444" s="99"/>
      <c r="L444" s="99"/>
      <c r="M444" s="100"/>
      <c r="N444" s="99"/>
      <c r="O444" s="99"/>
      <c r="P444" s="101"/>
      <c r="Q444" s="52">
        <f t="shared" si="242"/>
        <v>0</v>
      </c>
      <c r="R444" s="52">
        <f t="shared" si="243"/>
        <v>0</v>
      </c>
      <c r="S444" s="53">
        <f t="shared" si="244"/>
        <v>0</v>
      </c>
      <c r="T444" s="54">
        <f t="shared" si="245"/>
        <v>0</v>
      </c>
      <c r="U444" s="115">
        <f>SUM(Tableau1[[#This Row],[Vente confiserie]:[Vente boisson]])</f>
        <v>0</v>
      </c>
      <c r="V444" s="102"/>
      <c r="W444" s="102"/>
      <c r="X444" s="136">
        <f>SUM(Tableau1[[#This Row],[Vente lunette]:[Location lunette]])</f>
        <v>0</v>
      </c>
      <c r="Y444" s="102"/>
      <c r="Z444" s="102"/>
      <c r="AA444" s="102"/>
      <c r="AB444" s="102"/>
      <c r="AC444" s="56">
        <f t="shared" si="274"/>
        <v>0</v>
      </c>
      <c r="AD444" s="103"/>
      <c r="AE444" s="103"/>
      <c r="AF444" s="103"/>
      <c r="AG444" s="103"/>
      <c r="AH444" s="103"/>
      <c r="AI444" s="103"/>
      <c r="AJ444" s="118">
        <f>(Tableau1[[#This Row],[Recette guichet ]]*1.1275177)-Tableau1[[#This Row],[Recette guichet ]]</f>
        <v>0</v>
      </c>
      <c r="AK444" s="103"/>
      <c r="AL444" s="56">
        <f t="shared" si="275"/>
        <v>0</v>
      </c>
      <c r="AM444" s="104"/>
      <c r="AN444" s="58"/>
      <c r="AO444" s="104"/>
      <c r="AP444" s="115">
        <f t="shared" si="246"/>
        <v>0</v>
      </c>
      <c r="AQ444" s="105"/>
      <c r="AR444" s="105"/>
      <c r="AS444" s="105"/>
      <c r="AT444" s="105"/>
      <c r="AU444" s="59">
        <f t="shared" si="247"/>
        <v>0</v>
      </c>
      <c r="AV444" s="60">
        <f t="shared" si="248"/>
        <v>0</v>
      </c>
      <c r="AW444" s="104"/>
      <c r="AX444" s="104"/>
      <c r="AY444" s="104"/>
      <c r="AZ444" s="60">
        <f t="shared" si="277"/>
        <v>0</v>
      </c>
      <c r="BA444" s="104"/>
      <c r="BB444" s="104"/>
      <c r="BC444" s="104"/>
      <c r="BD444" s="60">
        <f>SUM(Tableau1[[#This Row],[ticket/carte/abonnement périmé]:[Autres ou non précisé 5]])</f>
        <v>0</v>
      </c>
      <c r="BE444" s="104"/>
      <c r="BF444" s="104"/>
      <c r="BG444" s="104"/>
      <c r="BH444" s="61">
        <f t="shared" si="249"/>
        <v>0</v>
      </c>
      <c r="BI444" s="137"/>
      <c r="BJ444" s="137"/>
      <c r="BK444" s="62">
        <f t="shared" si="250"/>
        <v>0</v>
      </c>
      <c r="BL444" s="137"/>
      <c r="BM444" s="137"/>
      <c r="BN444" s="137"/>
      <c r="BO444" s="137"/>
      <c r="BP444" s="137"/>
      <c r="BQ444" s="106"/>
      <c r="BR444" s="52">
        <f t="shared" si="251"/>
        <v>0</v>
      </c>
      <c r="BS444" s="52">
        <f t="shared" si="252"/>
        <v>0</v>
      </c>
      <c r="BT444" s="61">
        <f t="shared" si="253"/>
        <v>0</v>
      </c>
      <c r="BU444" s="64">
        <f t="shared" si="254"/>
        <v>0</v>
      </c>
      <c r="BV444" s="119">
        <f>SUM(Tableau1[[#This Row],[Achats confiserie]:[Achats boisson]])</f>
        <v>0</v>
      </c>
      <c r="BW444" s="104"/>
      <c r="BX444" s="105"/>
      <c r="BY444" s="104"/>
      <c r="BZ444" s="56">
        <f t="shared" si="255"/>
        <v>0</v>
      </c>
      <c r="CA444" s="210"/>
      <c r="CB444" s="210"/>
      <c r="CC444" s="56">
        <f t="shared" si="256"/>
        <v>0</v>
      </c>
      <c r="CD444" s="93"/>
      <c r="CE444" s="107"/>
      <c r="CF444" s="93"/>
      <c r="CG444" s="93"/>
      <c r="CH444" s="67">
        <f t="shared" si="257"/>
        <v>0</v>
      </c>
      <c r="CI444" s="68">
        <f t="shared" si="273"/>
        <v>0</v>
      </c>
      <c r="CJ444" s="93"/>
      <c r="CK444" s="93"/>
      <c r="CL444" s="93"/>
      <c r="CM444" s="93"/>
      <c r="CN444" s="93"/>
      <c r="CO444" s="68">
        <f t="shared" si="258"/>
        <v>0</v>
      </c>
      <c r="CP444" s="75">
        <f>SUM(Tableau1[[#This Row],[Fourniture eau]:[Energie (non précisé)]])</f>
        <v>0</v>
      </c>
      <c r="CQ444" s="93"/>
      <c r="CR444" s="93"/>
      <c r="CS444" s="93"/>
      <c r="CT444" s="93"/>
      <c r="CU444" s="93"/>
      <c r="CV444" s="93">
        <v>0</v>
      </c>
      <c r="CW444" s="93"/>
      <c r="CX444" s="68">
        <f>SUM(Tableau1[[#This Row],[Sous-traitance]:[Autres ou non précisé 12]])</f>
        <v>0</v>
      </c>
      <c r="CY444" s="107"/>
      <c r="CZ444" s="107"/>
      <c r="DA444" s="107"/>
      <c r="DB444" s="107"/>
      <c r="DC444" s="93"/>
      <c r="DD444" s="68">
        <f t="shared" si="278"/>
        <v>0</v>
      </c>
      <c r="DE444" s="93"/>
      <c r="DF444" s="107"/>
      <c r="DG444" s="107"/>
      <c r="DH444" s="107"/>
      <c r="DI444" s="68">
        <f>SUM(Tableau1[[#This Row],[Entretien et réparation matériel de projection]:[Autres ou non précisé 14]])</f>
        <v>0</v>
      </c>
      <c r="DJ444" s="104"/>
      <c r="DK444" s="104"/>
      <c r="DL444" s="105"/>
      <c r="DM444" s="68">
        <f t="shared" si="259"/>
        <v>0</v>
      </c>
      <c r="DN444" s="104"/>
      <c r="DO444" s="104"/>
      <c r="DP444" s="68">
        <f t="shared" si="260"/>
        <v>0</v>
      </c>
      <c r="DQ444" s="107"/>
      <c r="DR444" s="107"/>
      <c r="DS444" s="68">
        <f t="shared" si="261"/>
        <v>0</v>
      </c>
      <c r="DT444" s="107"/>
      <c r="DU444" s="107"/>
      <c r="DV444" s="107"/>
      <c r="DW444" s="68">
        <f>SUM(Tableau1[[#This Row],[Comission et courtage sur achats]:[Autres ou honoraires
 non précisé ]])</f>
        <v>0</v>
      </c>
      <c r="DX444" s="57"/>
      <c r="DY444" s="57"/>
      <c r="DZ444" s="107"/>
      <c r="EA444" s="107"/>
      <c r="EB444" s="107"/>
      <c r="EC444" s="68">
        <f t="shared" si="262"/>
        <v>0</v>
      </c>
      <c r="ED444" s="105"/>
      <c r="EE444" s="105"/>
      <c r="EF444" s="105"/>
      <c r="EG444" s="105"/>
      <c r="EH444" s="105"/>
      <c r="EI444" s="84">
        <f>SUM(Tableau1[[#This Row],[Transports sur films]:[autres ]])</f>
        <v>0</v>
      </c>
      <c r="EJ444" s="134">
        <v>0</v>
      </c>
      <c r="EK444" s="134"/>
      <c r="EL444" s="68">
        <f t="shared" si="263"/>
        <v>0</v>
      </c>
      <c r="EM444" s="107"/>
      <c r="EN444" s="107">
        <v>0</v>
      </c>
      <c r="EO444" s="107"/>
      <c r="EP444" s="107"/>
      <c r="EQ444" s="107"/>
      <c r="ER444" s="107"/>
      <c r="ES444" s="107"/>
      <c r="ET444" s="68">
        <f t="shared" si="264"/>
        <v>0</v>
      </c>
      <c r="EU444" s="107"/>
      <c r="EV444" s="107"/>
      <c r="EW444" s="107"/>
      <c r="EX444" s="107"/>
      <c r="EY444" s="107"/>
      <c r="EZ444" s="68">
        <f t="shared" si="280"/>
        <v>0</v>
      </c>
      <c r="FA444" s="107"/>
      <c r="FB444" s="107"/>
      <c r="FC444" s="70">
        <f t="shared" si="279"/>
        <v>0</v>
      </c>
      <c r="FD444" s="107"/>
      <c r="FE444" s="71">
        <f t="shared" si="265"/>
        <v>0</v>
      </c>
      <c r="FF444" s="72">
        <f t="shared" si="266"/>
        <v>0</v>
      </c>
      <c r="FG444" s="107"/>
      <c r="FH444" s="107"/>
      <c r="FI444" s="107"/>
      <c r="FJ444" s="56">
        <f t="shared" si="267"/>
        <v>0</v>
      </c>
      <c r="FK444" s="107"/>
      <c r="FL444" s="107"/>
      <c r="FM444" s="107"/>
      <c r="FN444" s="107"/>
      <c r="FO444" s="67">
        <f t="shared" si="268"/>
        <v>0</v>
      </c>
      <c r="FP444" s="103"/>
      <c r="FQ444" s="109"/>
      <c r="FR444" s="109"/>
      <c r="FS444" s="71">
        <f t="shared" si="269"/>
        <v>0</v>
      </c>
      <c r="FT444" s="110"/>
      <c r="FU444" s="110"/>
      <c r="FV444" s="67">
        <f>SUM(Tableau1[[#This Row],[Droits d''auteurs SACEM + cotisations SACEM]:[Autres ou non préciés]])</f>
        <v>0</v>
      </c>
      <c r="FW444" s="75">
        <f t="shared" si="270"/>
        <v>0</v>
      </c>
      <c r="FX444" s="111">
        <v>0</v>
      </c>
      <c r="FY444" s="111"/>
      <c r="FZ444" s="111"/>
      <c r="GA444" s="111"/>
      <c r="GB444" s="71">
        <f t="shared" si="271"/>
        <v>0</v>
      </c>
      <c r="GC444" s="112"/>
      <c r="GD444" s="112"/>
      <c r="GE444" s="67">
        <f t="shared" si="272"/>
        <v>0</v>
      </c>
      <c r="GF444" s="113"/>
      <c r="GG444" s="113"/>
      <c r="GH444" s="113"/>
      <c r="GI444" s="113"/>
      <c r="GJ444" s="114"/>
    </row>
    <row r="445" spans="1:192" ht="18.600000000000001" customHeight="1" x14ac:dyDescent="0.25">
      <c r="A445" s="96"/>
      <c r="B445" s="97"/>
      <c r="C445" s="99"/>
      <c r="D445" s="140"/>
      <c r="E445" s="51"/>
      <c r="F445" s="139">
        <f t="shared" si="276"/>
        <v>1</v>
      </c>
      <c r="G445" s="98"/>
      <c r="H445" s="99"/>
      <c r="I445" s="122"/>
      <c r="J445" s="98"/>
      <c r="K445" s="99"/>
      <c r="L445" s="99"/>
      <c r="M445" s="100"/>
      <c r="N445" s="99"/>
      <c r="O445" s="99"/>
      <c r="P445" s="101"/>
      <c r="Q445" s="52">
        <f t="shared" si="242"/>
        <v>0</v>
      </c>
      <c r="R445" s="52">
        <f t="shared" si="243"/>
        <v>0</v>
      </c>
      <c r="S445" s="53">
        <f t="shared" si="244"/>
        <v>0</v>
      </c>
      <c r="T445" s="54">
        <f t="shared" si="245"/>
        <v>0</v>
      </c>
      <c r="U445" s="115">
        <f>SUM(Tableau1[[#This Row],[Vente confiserie]:[Vente boisson]])</f>
        <v>0</v>
      </c>
      <c r="V445" s="102"/>
      <c r="W445" s="102"/>
      <c r="X445" s="136">
        <f>SUM(Tableau1[[#This Row],[Vente lunette]:[Location lunette]])</f>
        <v>0</v>
      </c>
      <c r="Y445" s="102"/>
      <c r="Z445" s="102"/>
      <c r="AA445" s="102"/>
      <c r="AB445" s="102"/>
      <c r="AC445" s="56">
        <f t="shared" si="274"/>
        <v>0</v>
      </c>
      <c r="AD445" s="103"/>
      <c r="AE445" s="103"/>
      <c r="AF445" s="103"/>
      <c r="AG445" s="103"/>
      <c r="AH445" s="103"/>
      <c r="AI445" s="103"/>
      <c r="AJ445" s="118">
        <f>(Tableau1[[#This Row],[Recette guichet ]]*1.1275177)-Tableau1[[#This Row],[Recette guichet ]]</f>
        <v>0</v>
      </c>
      <c r="AK445" s="103"/>
      <c r="AL445" s="56">
        <f t="shared" si="275"/>
        <v>0</v>
      </c>
      <c r="AM445" s="104"/>
      <c r="AN445" s="58"/>
      <c r="AO445" s="104"/>
      <c r="AP445" s="115">
        <f t="shared" si="246"/>
        <v>0</v>
      </c>
      <c r="AQ445" s="105"/>
      <c r="AR445" s="105"/>
      <c r="AS445" s="105"/>
      <c r="AT445" s="105"/>
      <c r="AU445" s="59">
        <f t="shared" si="247"/>
        <v>0</v>
      </c>
      <c r="AV445" s="60">
        <f t="shared" si="248"/>
        <v>0</v>
      </c>
      <c r="AW445" s="104"/>
      <c r="AX445" s="104"/>
      <c r="AY445" s="104"/>
      <c r="AZ445" s="60">
        <f t="shared" si="277"/>
        <v>0</v>
      </c>
      <c r="BA445" s="104"/>
      <c r="BB445" s="104"/>
      <c r="BC445" s="104"/>
      <c r="BD445" s="60">
        <f>SUM(Tableau1[[#This Row],[ticket/carte/abonnement périmé]:[Autres ou non précisé 5]])</f>
        <v>0</v>
      </c>
      <c r="BE445" s="104"/>
      <c r="BF445" s="104"/>
      <c r="BG445" s="104"/>
      <c r="BH445" s="61">
        <f t="shared" si="249"/>
        <v>0</v>
      </c>
      <c r="BI445" s="137"/>
      <c r="BJ445" s="137"/>
      <c r="BK445" s="62">
        <f t="shared" si="250"/>
        <v>0</v>
      </c>
      <c r="BL445" s="137"/>
      <c r="BM445" s="137"/>
      <c r="BN445" s="137"/>
      <c r="BO445" s="137"/>
      <c r="BP445" s="137"/>
      <c r="BQ445" s="106"/>
      <c r="BR445" s="52">
        <f t="shared" si="251"/>
        <v>0</v>
      </c>
      <c r="BS445" s="52">
        <f t="shared" si="252"/>
        <v>0</v>
      </c>
      <c r="BT445" s="61">
        <f t="shared" si="253"/>
        <v>0</v>
      </c>
      <c r="BU445" s="64">
        <f t="shared" si="254"/>
        <v>0</v>
      </c>
      <c r="BV445" s="119">
        <f>SUM(Tableau1[[#This Row],[Achats confiserie]:[Achats boisson]])</f>
        <v>0</v>
      </c>
      <c r="BW445" s="104"/>
      <c r="BX445" s="105"/>
      <c r="BY445" s="104"/>
      <c r="BZ445" s="56">
        <f t="shared" si="255"/>
        <v>0</v>
      </c>
      <c r="CA445" s="210"/>
      <c r="CB445" s="210"/>
      <c r="CC445" s="56">
        <f t="shared" si="256"/>
        <v>0</v>
      </c>
      <c r="CD445" s="93"/>
      <c r="CE445" s="107"/>
      <c r="CF445" s="93"/>
      <c r="CG445" s="93"/>
      <c r="CH445" s="67">
        <f t="shared" si="257"/>
        <v>0</v>
      </c>
      <c r="CI445" s="68">
        <f t="shared" si="273"/>
        <v>0</v>
      </c>
      <c r="CJ445" s="93"/>
      <c r="CK445" s="93"/>
      <c r="CL445" s="93"/>
      <c r="CM445" s="93"/>
      <c r="CN445" s="93"/>
      <c r="CO445" s="68">
        <f t="shared" si="258"/>
        <v>0</v>
      </c>
      <c r="CP445" s="75">
        <f>SUM(Tableau1[[#This Row],[Fourniture eau]:[Energie (non précisé)]])</f>
        <v>0</v>
      </c>
      <c r="CQ445" s="93"/>
      <c r="CR445" s="93"/>
      <c r="CS445" s="93"/>
      <c r="CT445" s="93"/>
      <c r="CU445" s="93"/>
      <c r="CV445" s="93">
        <v>0</v>
      </c>
      <c r="CW445" s="93"/>
      <c r="CX445" s="68">
        <f>SUM(Tableau1[[#This Row],[Sous-traitance]:[Autres ou non précisé 12]])</f>
        <v>0</v>
      </c>
      <c r="CY445" s="107"/>
      <c r="CZ445" s="107"/>
      <c r="DA445" s="107"/>
      <c r="DB445" s="107"/>
      <c r="DC445" s="93"/>
      <c r="DD445" s="68">
        <f t="shared" si="278"/>
        <v>0</v>
      </c>
      <c r="DE445" s="93"/>
      <c r="DF445" s="107"/>
      <c r="DG445" s="107"/>
      <c r="DH445" s="107"/>
      <c r="DI445" s="68">
        <f>SUM(Tableau1[[#This Row],[Entretien et réparation matériel de projection]:[Autres ou non précisé 14]])</f>
        <v>0</v>
      </c>
      <c r="DJ445" s="104"/>
      <c r="DK445" s="104"/>
      <c r="DL445" s="105"/>
      <c r="DM445" s="68">
        <f t="shared" si="259"/>
        <v>0</v>
      </c>
      <c r="DN445" s="104"/>
      <c r="DO445" s="104"/>
      <c r="DP445" s="68">
        <f t="shared" si="260"/>
        <v>0</v>
      </c>
      <c r="DQ445" s="107"/>
      <c r="DR445" s="107"/>
      <c r="DS445" s="68">
        <f t="shared" si="261"/>
        <v>0</v>
      </c>
      <c r="DT445" s="107"/>
      <c r="DU445" s="107"/>
      <c r="DV445" s="107"/>
      <c r="DW445" s="68">
        <f>SUM(Tableau1[[#This Row],[Comission et courtage sur achats]:[Autres ou honoraires
 non précisé ]])</f>
        <v>0</v>
      </c>
      <c r="DX445" s="57"/>
      <c r="DY445" s="57"/>
      <c r="DZ445" s="107"/>
      <c r="EA445" s="107"/>
      <c r="EB445" s="107"/>
      <c r="EC445" s="68">
        <f t="shared" si="262"/>
        <v>0</v>
      </c>
      <c r="ED445" s="105"/>
      <c r="EE445" s="105"/>
      <c r="EF445" s="105"/>
      <c r="EG445" s="105"/>
      <c r="EH445" s="105"/>
      <c r="EI445" s="84">
        <f>SUM(Tableau1[[#This Row],[Transports sur films]:[autres ]])</f>
        <v>0</v>
      </c>
      <c r="EJ445" s="134">
        <v>0</v>
      </c>
      <c r="EK445" s="134"/>
      <c r="EL445" s="68">
        <f t="shared" si="263"/>
        <v>0</v>
      </c>
      <c r="EM445" s="107"/>
      <c r="EN445" s="107">
        <v>0</v>
      </c>
      <c r="EO445" s="107"/>
      <c r="EP445" s="107"/>
      <c r="EQ445" s="107"/>
      <c r="ER445" s="107"/>
      <c r="ES445" s="107"/>
      <c r="ET445" s="68">
        <f t="shared" si="264"/>
        <v>0</v>
      </c>
      <c r="EU445" s="107"/>
      <c r="EV445" s="107"/>
      <c r="EW445" s="107"/>
      <c r="EX445" s="107"/>
      <c r="EY445" s="107"/>
      <c r="EZ445" s="68">
        <f t="shared" si="280"/>
        <v>0</v>
      </c>
      <c r="FA445" s="107"/>
      <c r="FB445" s="107"/>
      <c r="FC445" s="70">
        <f t="shared" si="279"/>
        <v>0</v>
      </c>
      <c r="FD445" s="107"/>
      <c r="FE445" s="71">
        <f t="shared" si="265"/>
        <v>0</v>
      </c>
      <c r="FF445" s="72">
        <f t="shared" si="266"/>
        <v>0</v>
      </c>
      <c r="FG445" s="107"/>
      <c r="FH445" s="107"/>
      <c r="FI445" s="107"/>
      <c r="FJ445" s="56">
        <f t="shared" si="267"/>
        <v>0</v>
      </c>
      <c r="FK445" s="107"/>
      <c r="FL445" s="107"/>
      <c r="FM445" s="107"/>
      <c r="FN445" s="107"/>
      <c r="FO445" s="67">
        <f t="shared" si="268"/>
        <v>0</v>
      </c>
      <c r="FP445" s="103"/>
      <c r="FQ445" s="109"/>
      <c r="FR445" s="109"/>
      <c r="FS445" s="71">
        <f t="shared" si="269"/>
        <v>0</v>
      </c>
      <c r="FT445" s="110"/>
      <c r="FU445" s="110"/>
      <c r="FV445" s="67">
        <f>SUM(Tableau1[[#This Row],[Droits d''auteurs SACEM + cotisations SACEM]:[Autres ou non préciés]])</f>
        <v>0</v>
      </c>
      <c r="FW445" s="75">
        <f t="shared" si="270"/>
        <v>0</v>
      </c>
      <c r="FX445" s="111">
        <v>0</v>
      </c>
      <c r="FY445" s="111"/>
      <c r="FZ445" s="111"/>
      <c r="GA445" s="111"/>
      <c r="GB445" s="71">
        <f t="shared" si="271"/>
        <v>0</v>
      </c>
      <c r="GC445" s="112"/>
      <c r="GD445" s="112"/>
      <c r="GE445" s="67">
        <f t="shared" si="272"/>
        <v>0</v>
      </c>
      <c r="GF445" s="113"/>
      <c r="GG445" s="113"/>
      <c r="GH445" s="113"/>
      <c r="GI445" s="113"/>
      <c r="GJ445" s="114"/>
    </row>
    <row r="446" spans="1:192" ht="18.600000000000001" customHeight="1" x14ac:dyDescent="0.25">
      <c r="A446" s="96"/>
      <c r="B446" s="97"/>
      <c r="C446" s="99"/>
      <c r="D446" s="140"/>
      <c r="E446" s="51"/>
      <c r="F446" s="139">
        <f t="shared" si="276"/>
        <v>1</v>
      </c>
      <c r="G446" s="98"/>
      <c r="H446" s="99"/>
      <c r="I446" s="122"/>
      <c r="J446" s="98"/>
      <c r="K446" s="99"/>
      <c r="L446" s="99"/>
      <c r="M446" s="100"/>
      <c r="N446" s="99"/>
      <c r="O446" s="99"/>
      <c r="P446" s="101"/>
      <c r="Q446" s="52">
        <f t="shared" si="242"/>
        <v>0</v>
      </c>
      <c r="R446" s="52">
        <f t="shared" si="243"/>
        <v>0</v>
      </c>
      <c r="S446" s="53">
        <f t="shared" si="244"/>
        <v>0</v>
      </c>
      <c r="T446" s="54">
        <f t="shared" si="245"/>
        <v>0</v>
      </c>
      <c r="U446" s="115">
        <f>SUM(Tableau1[[#This Row],[Vente confiserie]:[Vente boisson]])</f>
        <v>0</v>
      </c>
      <c r="V446" s="102"/>
      <c r="W446" s="102"/>
      <c r="X446" s="136">
        <f>SUM(Tableau1[[#This Row],[Vente lunette]:[Location lunette]])</f>
        <v>0</v>
      </c>
      <c r="Y446" s="102"/>
      <c r="Z446" s="102"/>
      <c r="AA446" s="102"/>
      <c r="AB446" s="102"/>
      <c r="AC446" s="56">
        <f t="shared" si="274"/>
        <v>0</v>
      </c>
      <c r="AD446" s="103"/>
      <c r="AE446" s="103"/>
      <c r="AF446" s="103"/>
      <c r="AG446" s="103"/>
      <c r="AH446" s="103"/>
      <c r="AI446" s="103"/>
      <c r="AJ446" s="118">
        <f>(Tableau1[[#This Row],[Recette guichet ]]*1.1275177)-Tableau1[[#This Row],[Recette guichet ]]</f>
        <v>0</v>
      </c>
      <c r="AK446" s="103"/>
      <c r="AL446" s="56">
        <f t="shared" si="275"/>
        <v>0</v>
      </c>
      <c r="AM446" s="104"/>
      <c r="AN446" s="58"/>
      <c r="AO446" s="104"/>
      <c r="AP446" s="115">
        <f t="shared" si="246"/>
        <v>0</v>
      </c>
      <c r="AQ446" s="105"/>
      <c r="AR446" s="105"/>
      <c r="AS446" s="105"/>
      <c r="AT446" s="105"/>
      <c r="AU446" s="59">
        <f t="shared" si="247"/>
        <v>0</v>
      </c>
      <c r="AV446" s="60">
        <f t="shared" si="248"/>
        <v>0</v>
      </c>
      <c r="AW446" s="104"/>
      <c r="AX446" s="104"/>
      <c r="AY446" s="104"/>
      <c r="AZ446" s="60">
        <f t="shared" si="277"/>
        <v>0</v>
      </c>
      <c r="BA446" s="104"/>
      <c r="BB446" s="104"/>
      <c r="BC446" s="104"/>
      <c r="BD446" s="60">
        <f>SUM(Tableau1[[#This Row],[ticket/carte/abonnement périmé]:[Autres ou non précisé 5]])</f>
        <v>0</v>
      </c>
      <c r="BE446" s="104"/>
      <c r="BF446" s="104"/>
      <c r="BG446" s="104"/>
      <c r="BH446" s="61">
        <f t="shared" si="249"/>
        <v>0</v>
      </c>
      <c r="BI446" s="137"/>
      <c r="BJ446" s="137"/>
      <c r="BK446" s="62">
        <f t="shared" si="250"/>
        <v>0</v>
      </c>
      <c r="BL446" s="137"/>
      <c r="BM446" s="137"/>
      <c r="BN446" s="137"/>
      <c r="BO446" s="137"/>
      <c r="BP446" s="137"/>
      <c r="BQ446" s="106"/>
      <c r="BR446" s="52">
        <f t="shared" si="251"/>
        <v>0</v>
      </c>
      <c r="BS446" s="52">
        <f t="shared" si="252"/>
        <v>0</v>
      </c>
      <c r="BT446" s="61">
        <f t="shared" si="253"/>
        <v>0</v>
      </c>
      <c r="BU446" s="64">
        <f t="shared" si="254"/>
        <v>0</v>
      </c>
      <c r="BV446" s="119">
        <f>SUM(Tableau1[[#This Row],[Achats confiserie]:[Achats boisson]])</f>
        <v>0</v>
      </c>
      <c r="BW446" s="104"/>
      <c r="BX446" s="105"/>
      <c r="BY446" s="104"/>
      <c r="BZ446" s="56">
        <f t="shared" si="255"/>
        <v>0</v>
      </c>
      <c r="CA446" s="210"/>
      <c r="CB446" s="210"/>
      <c r="CC446" s="56">
        <f t="shared" si="256"/>
        <v>0</v>
      </c>
      <c r="CD446" s="93"/>
      <c r="CE446" s="107"/>
      <c r="CF446" s="93"/>
      <c r="CG446" s="93"/>
      <c r="CH446" s="67">
        <f t="shared" si="257"/>
        <v>0</v>
      </c>
      <c r="CI446" s="68">
        <f t="shared" si="273"/>
        <v>0</v>
      </c>
      <c r="CJ446" s="93"/>
      <c r="CK446" s="93"/>
      <c r="CL446" s="93"/>
      <c r="CM446" s="93"/>
      <c r="CN446" s="93"/>
      <c r="CO446" s="68">
        <f t="shared" si="258"/>
        <v>0</v>
      </c>
      <c r="CP446" s="75">
        <f>SUM(Tableau1[[#This Row],[Fourniture eau]:[Energie (non précisé)]])</f>
        <v>0</v>
      </c>
      <c r="CQ446" s="93"/>
      <c r="CR446" s="93"/>
      <c r="CS446" s="93"/>
      <c r="CT446" s="93"/>
      <c r="CU446" s="93"/>
      <c r="CV446" s="93">
        <v>0</v>
      </c>
      <c r="CW446" s="93"/>
      <c r="CX446" s="68">
        <f>SUM(Tableau1[[#This Row],[Sous-traitance]:[Autres ou non précisé 12]])</f>
        <v>0</v>
      </c>
      <c r="CY446" s="107"/>
      <c r="CZ446" s="107"/>
      <c r="DA446" s="107"/>
      <c r="DB446" s="107"/>
      <c r="DC446" s="93"/>
      <c r="DD446" s="68">
        <f t="shared" si="278"/>
        <v>0</v>
      </c>
      <c r="DE446" s="93"/>
      <c r="DF446" s="107"/>
      <c r="DG446" s="107"/>
      <c r="DH446" s="107"/>
      <c r="DI446" s="68">
        <f>SUM(Tableau1[[#This Row],[Entretien et réparation matériel de projection]:[Autres ou non précisé 14]])</f>
        <v>0</v>
      </c>
      <c r="DJ446" s="104"/>
      <c r="DK446" s="104"/>
      <c r="DL446" s="105"/>
      <c r="DM446" s="68">
        <f t="shared" si="259"/>
        <v>0</v>
      </c>
      <c r="DN446" s="104"/>
      <c r="DO446" s="104"/>
      <c r="DP446" s="68">
        <f t="shared" si="260"/>
        <v>0</v>
      </c>
      <c r="DQ446" s="107"/>
      <c r="DR446" s="107"/>
      <c r="DS446" s="68">
        <f t="shared" si="261"/>
        <v>0</v>
      </c>
      <c r="DT446" s="107"/>
      <c r="DU446" s="107"/>
      <c r="DV446" s="107"/>
      <c r="DW446" s="68">
        <f>SUM(Tableau1[[#This Row],[Comission et courtage sur achats]:[Autres ou honoraires
 non précisé ]])</f>
        <v>0</v>
      </c>
      <c r="DX446" s="57"/>
      <c r="DY446" s="57"/>
      <c r="DZ446" s="107"/>
      <c r="EA446" s="107"/>
      <c r="EB446" s="107"/>
      <c r="EC446" s="68">
        <f t="shared" si="262"/>
        <v>0</v>
      </c>
      <c r="ED446" s="105"/>
      <c r="EE446" s="105"/>
      <c r="EF446" s="105"/>
      <c r="EG446" s="105"/>
      <c r="EH446" s="105"/>
      <c r="EI446" s="84">
        <f>SUM(Tableau1[[#This Row],[Transports sur films]:[autres ]])</f>
        <v>0</v>
      </c>
      <c r="EJ446" s="134">
        <v>0</v>
      </c>
      <c r="EK446" s="134"/>
      <c r="EL446" s="68">
        <f t="shared" si="263"/>
        <v>0</v>
      </c>
      <c r="EM446" s="107"/>
      <c r="EN446" s="107">
        <v>0</v>
      </c>
      <c r="EO446" s="107"/>
      <c r="EP446" s="107"/>
      <c r="EQ446" s="107"/>
      <c r="ER446" s="107"/>
      <c r="ES446" s="107"/>
      <c r="ET446" s="68">
        <f t="shared" si="264"/>
        <v>0</v>
      </c>
      <c r="EU446" s="107"/>
      <c r="EV446" s="107"/>
      <c r="EW446" s="107"/>
      <c r="EX446" s="107"/>
      <c r="EY446" s="107"/>
      <c r="EZ446" s="68">
        <f t="shared" si="280"/>
        <v>0</v>
      </c>
      <c r="FA446" s="107"/>
      <c r="FB446" s="107"/>
      <c r="FC446" s="70">
        <f t="shared" si="279"/>
        <v>0</v>
      </c>
      <c r="FD446" s="107"/>
      <c r="FE446" s="71">
        <f t="shared" si="265"/>
        <v>0</v>
      </c>
      <c r="FF446" s="72">
        <f t="shared" si="266"/>
        <v>0</v>
      </c>
      <c r="FG446" s="107"/>
      <c r="FH446" s="107"/>
      <c r="FI446" s="107"/>
      <c r="FJ446" s="56">
        <f t="shared" si="267"/>
        <v>0</v>
      </c>
      <c r="FK446" s="107"/>
      <c r="FL446" s="107"/>
      <c r="FM446" s="107"/>
      <c r="FN446" s="107"/>
      <c r="FO446" s="67">
        <f t="shared" si="268"/>
        <v>0</v>
      </c>
      <c r="FP446" s="103"/>
      <c r="FQ446" s="109"/>
      <c r="FR446" s="109"/>
      <c r="FS446" s="71">
        <f t="shared" si="269"/>
        <v>0</v>
      </c>
      <c r="FT446" s="110"/>
      <c r="FU446" s="110"/>
      <c r="FV446" s="67">
        <f>SUM(Tableau1[[#This Row],[Droits d''auteurs SACEM + cotisations SACEM]:[Autres ou non préciés]])</f>
        <v>0</v>
      </c>
      <c r="FW446" s="75">
        <f t="shared" si="270"/>
        <v>0</v>
      </c>
      <c r="FX446" s="111">
        <v>0</v>
      </c>
      <c r="FY446" s="111"/>
      <c r="FZ446" s="111"/>
      <c r="GA446" s="111"/>
      <c r="GB446" s="71">
        <f t="shared" si="271"/>
        <v>0</v>
      </c>
      <c r="GC446" s="112"/>
      <c r="GD446" s="112"/>
      <c r="GE446" s="67">
        <f t="shared" si="272"/>
        <v>0</v>
      </c>
      <c r="GF446" s="113"/>
      <c r="GG446" s="113"/>
      <c r="GH446" s="113"/>
      <c r="GI446" s="113"/>
      <c r="GJ446" s="114"/>
    </row>
    <row r="447" spans="1:192" ht="18.600000000000001" customHeight="1" x14ac:dyDescent="0.25">
      <c r="A447" s="96"/>
      <c r="B447" s="97"/>
      <c r="C447" s="99"/>
      <c r="D447" s="140"/>
      <c r="E447" s="51"/>
      <c r="F447" s="139">
        <f t="shared" si="276"/>
        <v>1</v>
      </c>
      <c r="G447" s="98"/>
      <c r="H447" s="99"/>
      <c r="I447" s="122"/>
      <c r="J447" s="98"/>
      <c r="K447" s="99"/>
      <c r="L447" s="99"/>
      <c r="M447" s="100"/>
      <c r="N447" s="99"/>
      <c r="O447" s="99"/>
      <c r="P447" s="101"/>
      <c r="Q447" s="52">
        <f t="shared" si="242"/>
        <v>0</v>
      </c>
      <c r="R447" s="52">
        <f t="shared" si="243"/>
        <v>0</v>
      </c>
      <c r="S447" s="53">
        <f t="shared" si="244"/>
        <v>0</v>
      </c>
      <c r="T447" s="54">
        <f t="shared" si="245"/>
        <v>0</v>
      </c>
      <c r="U447" s="115">
        <f>SUM(Tableau1[[#This Row],[Vente confiserie]:[Vente boisson]])</f>
        <v>0</v>
      </c>
      <c r="V447" s="102"/>
      <c r="W447" s="102"/>
      <c r="X447" s="136">
        <f>SUM(Tableau1[[#This Row],[Vente lunette]:[Location lunette]])</f>
        <v>0</v>
      </c>
      <c r="Y447" s="102"/>
      <c r="Z447" s="102"/>
      <c r="AA447" s="102"/>
      <c r="AB447" s="102"/>
      <c r="AC447" s="56">
        <f t="shared" si="274"/>
        <v>0</v>
      </c>
      <c r="AD447" s="103"/>
      <c r="AE447" s="103"/>
      <c r="AF447" s="103"/>
      <c r="AG447" s="103"/>
      <c r="AH447" s="103"/>
      <c r="AI447" s="103"/>
      <c r="AJ447" s="118">
        <f>(Tableau1[[#This Row],[Recette guichet ]]*1.1275177)-Tableau1[[#This Row],[Recette guichet ]]</f>
        <v>0</v>
      </c>
      <c r="AK447" s="103"/>
      <c r="AL447" s="56">
        <f t="shared" si="275"/>
        <v>0</v>
      </c>
      <c r="AM447" s="104"/>
      <c r="AN447" s="58"/>
      <c r="AO447" s="104"/>
      <c r="AP447" s="115">
        <f t="shared" si="246"/>
        <v>0</v>
      </c>
      <c r="AQ447" s="105"/>
      <c r="AR447" s="105"/>
      <c r="AS447" s="105"/>
      <c r="AT447" s="105"/>
      <c r="AU447" s="59">
        <f t="shared" si="247"/>
        <v>0</v>
      </c>
      <c r="AV447" s="60">
        <f t="shared" si="248"/>
        <v>0</v>
      </c>
      <c r="AW447" s="104"/>
      <c r="AX447" s="104"/>
      <c r="AY447" s="104"/>
      <c r="AZ447" s="60">
        <f t="shared" si="277"/>
        <v>0</v>
      </c>
      <c r="BA447" s="104"/>
      <c r="BB447" s="104"/>
      <c r="BC447" s="104"/>
      <c r="BD447" s="60">
        <f>SUM(Tableau1[[#This Row],[ticket/carte/abonnement périmé]:[Autres ou non précisé 5]])</f>
        <v>0</v>
      </c>
      <c r="BE447" s="104"/>
      <c r="BF447" s="104"/>
      <c r="BG447" s="104"/>
      <c r="BH447" s="61">
        <f t="shared" si="249"/>
        <v>0</v>
      </c>
      <c r="BI447" s="137"/>
      <c r="BJ447" s="137"/>
      <c r="BK447" s="62">
        <f t="shared" si="250"/>
        <v>0</v>
      </c>
      <c r="BL447" s="137"/>
      <c r="BM447" s="137"/>
      <c r="BN447" s="137"/>
      <c r="BO447" s="137"/>
      <c r="BP447" s="137"/>
      <c r="BQ447" s="106"/>
      <c r="BR447" s="52">
        <f t="shared" si="251"/>
        <v>0</v>
      </c>
      <c r="BS447" s="52">
        <f t="shared" si="252"/>
        <v>0</v>
      </c>
      <c r="BT447" s="61">
        <f t="shared" si="253"/>
        <v>0</v>
      </c>
      <c r="BU447" s="64">
        <f t="shared" si="254"/>
        <v>0</v>
      </c>
      <c r="BV447" s="119">
        <f>SUM(Tableau1[[#This Row],[Achats confiserie]:[Achats boisson]])</f>
        <v>0</v>
      </c>
      <c r="BW447" s="104"/>
      <c r="BX447" s="105"/>
      <c r="BY447" s="104"/>
      <c r="BZ447" s="56">
        <f t="shared" si="255"/>
        <v>0</v>
      </c>
      <c r="CA447" s="210"/>
      <c r="CB447" s="210"/>
      <c r="CC447" s="56">
        <f t="shared" si="256"/>
        <v>0</v>
      </c>
      <c r="CD447" s="93"/>
      <c r="CE447" s="107"/>
      <c r="CF447" s="93"/>
      <c r="CG447" s="93"/>
      <c r="CH447" s="67">
        <f t="shared" si="257"/>
        <v>0</v>
      </c>
      <c r="CI447" s="68">
        <f t="shared" si="273"/>
        <v>0</v>
      </c>
      <c r="CJ447" s="93"/>
      <c r="CK447" s="93"/>
      <c r="CL447" s="93"/>
      <c r="CM447" s="93"/>
      <c r="CN447" s="93"/>
      <c r="CO447" s="68">
        <f t="shared" si="258"/>
        <v>0</v>
      </c>
      <c r="CP447" s="75">
        <f>SUM(Tableau1[[#This Row],[Fourniture eau]:[Energie (non précisé)]])</f>
        <v>0</v>
      </c>
      <c r="CQ447" s="93"/>
      <c r="CR447" s="93"/>
      <c r="CS447" s="93"/>
      <c r="CT447" s="93"/>
      <c r="CU447" s="93"/>
      <c r="CV447" s="93">
        <v>0</v>
      </c>
      <c r="CW447" s="93"/>
      <c r="CX447" s="68">
        <f>SUM(Tableau1[[#This Row],[Sous-traitance]:[Autres ou non précisé 12]])</f>
        <v>0</v>
      </c>
      <c r="CY447" s="107"/>
      <c r="CZ447" s="107"/>
      <c r="DA447" s="107"/>
      <c r="DB447" s="107"/>
      <c r="DC447" s="93"/>
      <c r="DD447" s="68">
        <f t="shared" si="278"/>
        <v>0</v>
      </c>
      <c r="DE447" s="93"/>
      <c r="DF447" s="107"/>
      <c r="DG447" s="107"/>
      <c r="DH447" s="107"/>
      <c r="DI447" s="68">
        <f>SUM(Tableau1[[#This Row],[Entretien et réparation matériel de projection]:[Autres ou non précisé 14]])</f>
        <v>0</v>
      </c>
      <c r="DJ447" s="104"/>
      <c r="DK447" s="104"/>
      <c r="DL447" s="105"/>
      <c r="DM447" s="68">
        <f t="shared" si="259"/>
        <v>0</v>
      </c>
      <c r="DN447" s="104"/>
      <c r="DO447" s="104"/>
      <c r="DP447" s="68">
        <f t="shared" si="260"/>
        <v>0</v>
      </c>
      <c r="DQ447" s="107"/>
      <c r="DR447" s="107"/>
      <c r="DS447" s="68">
        <f t="shared" si="261"/>
        <v>0</v>
      </c>
      <c r="DT447" s="107"/>
      <c r="DU447" s="107"/>
      <c r="DV447" s="107"/>
      <c r="DW447" s="68">
        <f>SUM(Tableau1[[#This Row],[Comission et courtage sur achats]:[Autres ou honoraires
 non précisé ]])</f>
        <v>0</v>
      </c>
      <c r="DX447" s="57"/>
      <c r="DY447" s="57"/>
      <c r="DZ447" s="107"/>
      <c r="EA447" s="107"/>
      <c r="EB447" s="107"/>
      <c r="EC447" s="68">
        <f t="shared" si="262"/>
        <v>0</v>
      </c>
      <c r="ED447" s="105"/>
      <c r="EE447" s="105"/>
      <c r="EF447" s="105"/>
      <c r="EG447" s="105"/>
      <c r="EH447" s="105"/>
      <c r="EI447" s="84">
        <f>SUM(Tableau1[[#This Row],[Transports sur films]:[autres ]])</f>
        <v>0</v>
      </c>
      <c r="EJ447" s="134">
        <v>0</v>
      </c>
      <c r="EK447" s="134"/>
      <c r="EL447" s="68">
        <f t="shared" si="263"/>
        <v>0</v>
      </c>
      <c r="EM447" s="107"/>
      <c r="EN447" s="107">
        <v>0</v>
      </c>
      <c r="EO447" s="107"/>
      <c r="EP447" s="107"/>
      <c r="EQ447" s="107"/>
      <c r="ER447" s="107"/>
      <c r="ES447" s="107"/>
      <c r="ET447" s="68">
        <f t="shared" si="264"/>
        <v>0</v>
      </c>
      <c r="EU447" s="107"/>
      <c r="EV447" s="107"/>
      <c r="EW447" s="107"/>
      <c r="EX447" s="107"/>
      <c r="EY447" s="107"/>
      <c r="EZ447" s="68">
        <f t="shared" si="280"/>
        <v>0</v>
      </c>
      <c r="FA447" s="107"/>
      <c r="FB447" s="107"/>
      <c r="FC447" s="70">
        <f t="shared" si="279"/>
        <v>0</v>
      </c>
      <c r="FD447" s="107"/>
      <c r="FE447" s="71">
        <f t="shared" si="265"/>
        <v>0</v>
      </c>
      <c r="FF447" s="72">
        <f t="shared" si="266"/>
        <v>0</v>
      </c>
      <c r="FG447" s="107"/>
      <c r="FH447" s="107"/>
      <c r="FI447" s="107"/>
      <c r="FJ447" s="56">
        <f t="shared" si="267"/>
        <v>0</v>
      </c>
      <c r="FK447" s="107"/>
      <c r="FL447" s="107"/>
      <c r="FM447" s="107"/>
      <c r="FN447" s="107"/>
      <c r="FO447" s="67">
        <f t="shared" si="268"/>
        <v>0</v>
      </c>
      <c r="FP447" s="103"/>
      <c r="FQ447" s="109"/>
      <c r="FR447" s="109"/>
      <c r="FS447" s="71">
        <f t="shared" si="269"/>
        <v>0</v>
      </c>
      <c r="FT447" s="110"/>
      <c r="FU447" s="110"/>
      <c r="FV447" s="67">
        <f>SUM(Tableau1[[#This Row],[Droits d''auteurs SACEM + cotisations SACEM]:[Autres ou non préciés]])</f>
        <v>0</v>
      </c>
      <c r="FW447" s="75">
        <f t="shared" si="270"/>
        <v>0</v>
      </c>
      <c r="FX447" s="111">
        <v>0</v>
      </c>
      <c r="FY447" s="111"/>
      <c r="FZ447" s="111"/>
      <c r="GA447" s="111"/>
      <c r="GB447" s="71">
        <f t="shared" si="271"/>
        <v>0</v>
      </c>
      <c r="GC447" s="112"/>
      <c r="GD447" s="112"/>
      <c r="GE447" s="67">
        <f t="shared" si="272"/>
        <v>0</v>
      </c>
      <c r="GF447" s="113"/>
      <c r="GG447" s="113"/>
      <c r="GH447" s="113"/>
      <c r="GI447" s="113"/>
      <c r="GJ447" s="114"/>
    </row>
    <row r="448" spans="1:192" ht="18.600000000000001" customHeight="1" x14ac:dyDescent="0.25">
      <c r="A448" s="96"/>
      <c r="B448" s="97"/>
      <c r="C448" s="99"/>
      <c r="D448" s="140"/>
      <c r="E448" s="51"/>
      <c r="F448" s="139">
        <f t="shared" si="276"/>
        <v>1</v>
      </c>
      <c r="G448" s="98"/>
      <c r="H448" s="99"/>
      <c r="I448" s="122"/>
      <c r="J448" s="98"/>
      <c r="K448" s="99"/>
      <c r="L448" s="99"/>
      <c r="M448" s="100"/>
      <c r="N448" s="99"/>
      <c r="O448" s="99"/>
      <c r="P448" s="101"/>
      <c r="Q448" s="52">
        <f t="shared" si="242"/>
        <v>0</v>
      </c>
      <c r="R448" s="52">
        <f t="shared" si="243"/>
        <v>0</v>
      </c>
      <c r="S448" s="53">
        <f t="shared" si="244"/>
        <v>0</v>
      </c>
      <c r="T448" s="54">
        <f t="shared" si="245"/>
        <v>0</v>
      </c>
      <c r="U448" s="115">
        <f>SUM(Tableau1[[#This Row],[Vente confiserie]:[Vente boisson]])</f>
        <v>0</v>
      </c>
      <c r="V448" s="102"/>
      <c r="W448" s="102"/>
      <c r="X448" s="136">
        <f>SUM(Tableau1[[#This Row],[Vente lunette]:[Location lunette]])</f>
        <v>0</v>
      </c>
      <c r="Y448" s="102"/>
      <c r="Z448" s="102"/>
      <c r="AA448" s="102"/>
      <c r="AB448" s="102"/>
      <c r="AC448" s="56">
        <f t="shared" si="274"/>
        <v>0</v>
      </c>
      <c r="AD448" s="103"/>
      <c r="AE448" s="103"/>
      <c r="AF448" s="103"/>
      <c r="AG448" s="103"/>
      <c r="AH448" s="103"/>
      <c r="AI448" s="103"/>
      <c r="AJ448" s="118">
        <f>(Tableau1[[#This Row],[Recette guichet ]]*1.1275177)-Tableau1[[#This Row],[Recette guichet ]]</f>
        <v>0</v>
      </c>
      <c r="AK448" s="103"/>
      <c r="AL448" s="56">
        <f t="shared" si="275"/>
        <v>0</v>
      </c>
      <c r="AM448" s="104"/>
      <c r="AN448" s="58"/>
      <c r="AO448" s="104"/>
      <c r="AP448" s="115">
        <f t="shared" si="246"/>
        <v>0</v>
      </c>
      <c r="AQ448" s="105"/>
      <c r="AR448" s="105"/>
      <c r="AS448" s="105"/>
      <c r="AT448" s="105"/>
      <c r="AU448" s="59">
        <f t="shared" si="247"/>
        <v>0</v>
      </c>
      <c r="AV448" s="60">
        <f t="shared" si="248"/>
        <v>0</v>
      </c>
      <c r="AW448" s="104"/>
      <c r="AX448" s="104"/>
      <c r="AY448" s="104"/>
      <c r="AZ448" s="60">
        <f t="shared" si="277"/>
        <v>0</v>
      </c>
      <c r="BA448" s="104"/>
      <c r="BB448" s="104"/>
      <c r="BC448" s="104"/>
      <c r="BD448" s="60">
        <f>SUM(Tableau1[[#This Row],[ticket/carte/abonnement périmé]:[Autres ou non précisé 5]])</f>
        <v>0</v>
      </c>
      <c r="BE448" s="104"/>
      <c r="BF448" s="104"/>
      <c r="BG448" s="104"/>
      <c r="BH448" s="61">
        <f t="shared" si="249"/>
        <v>0</v>
      </c>
      <c r="BI448" s="137"/>
      <c r="BJ448" s="137"/>
      <c r="BK448" s="62">
        <f t="shared" si="250"/>
        <v>0</v>
      </c>
      <c r="BL448" s="137"/>
      <c r="BM448" s="137"/>
      <c r="BN448" s="137"/>
      <c r="BO448" s="137"/>
      <c r="BP448" s="137"/>
      <c r="BQ448" s="106"/>
      <c r="BR448" s="52">
        <f t="shared" si="251"/>
        <v>0</v>
      </c>
      <c r="BS448" s="52">
        <f t="shared" si="252"/>
        <v>0</v>
      </c>
      <c r="BT448" s="61">
        <f t="shared" si="253"/>
        <v>0</v>
      </c>
      <c r="BU448" s="64">
        <f t="shared" si="254"/>
        <v>0</v>
      </c>
      <c r="BV448" s="119">
        <f>SUM(Tableau1[[#This Row],[Achats confiserie]:[Achats boisson]])</f>
        <v>0</v>
      </c>
      <c r="BW448" s="104"/>
      <c r="BX448" s="105"/>
      <c r="BY448" s="104"/>
      <c r="BZ448" s="56">
        <f t="shared" si="255"/>
        <v>0</v>
      </c>
      <c r="CA448" s="210"/>
      <c r="CB448" s="210"/>
      <c r="CC448" s="56">
        <f t="shared" si="256"/>
        <v>0</v>
      </c>
      <c r="CD448" s="93"/>
      <c r="CE448" s="107"/>
      <c r="CF448" s="93"/>
      <c r="CG448" s="93"/>
      <c r="CH448" s="67">
        <f t="shared" si="257"/>
        <v>0</v>
      </c>
      <c r="CI448" s="68">
        <f t="shared" si="273"/>
        <v>0</v>
      </c>
      <c r="CJ448" s="93"/>
      <c r="CK448" s="93"/>
      <c r="CL448" s="93"/>
      <c r="CM448" s="93"/>
      <c r="CN448" s="93"/>
      <c r="CO448" s="68">
        <f t="shared" si="258"/>
        <v>0</v>
      </c>
      <c r="CP448" s="75">
        <f>SUM(Tableau1[[#This Row],[Fourniture eau]:[Energie (non précisé)]])</f>
        <v>0</v>
      </c>
      <c r="CQ448" s="93"/>
      <c r="CR448" s="93"/>
      <c r="CS448" s="93"/>
      <c r="CT448" s="93"/>
      <c r="CU448" s="93"/>
      <c r="CV448" s="93">
        <v>0</v>
      </c>
      <c r="CW448" s="93"/>
      <c r="CX448" s="68">
        <f>SUM(Tableau1[[#This Row],[Sous-traitance]:[Autres ou non précisé 12]])</f>
        <v>0</v>
      </c>
      <c r="CY448" s="107"/>
      <c r="CZ448" s="107"/>
      <c r="DA448" s="107"/>
      <c r="DB448" s="107"/>
      <c r="DC448" s="93"/>
      <c r="DD448" s="68">
        <f t="shared" si="278"/>
        <v>0</v>
      </c>
      <c r="DE448" s="93"/>
      <c r="DF448" s="107"/>
      <c r="DG448" s="107"/>
      <c r="DH448" s="107"/>
      <c r="DI448" s="68">
        <f>SUM(Tableau1[[#This Row],[Entretien et réparation matériel de projection]:[Autres ou non précisé 14]])</f>
        <v>0</v>
      </c>
      <c r="DJ448" s="104"/>
      <c r="DK448" s="104"/>
      <c r="DL448" s="105"/>
      <c r="DM448" s="68">
        <f t="shared" si="259"/>
        <v>0</v>
      </c>
      <c r="DN448" s="104"/>
      <c r="DO448" s="104"/>
      <c r="DP448" s="68">
        <f t="shared" si="260"/>
        <v>0</v>
      </c>
      <c r="DQ448" s="107"/>
      <c r="DR448" s="107"/>
      <c r="DS448" s="68">
        <f t="shared" si="261"/>
        <v>0</v>
      </c>
      <c r="DT448" s="107"/>
      <c r="DU448" s="107"/>
      <c r="DV448" s="107"/>
      <c r="DW448" s="68">
        <f>SUM(Tableau1[[#This Row],[Comission et courtage sur achats]:[Autres ou honoraires
 non précisé ]])</f>
        <v>0</v>
      </c>
      <c r="DX448" s="57"/>
      <c r="DY448" s="57"/>
      <c r="DZ448" s="107"/>
      <c r="EA448" s="107"/>
      <c r="EB448" s="107"/>
      <c r="EC448" s="68">
        <f t="shared" si="262"/>
        <v>0</v>
      </c>
      <c r="ED448" s="105"/>
      <c r="EE448" s="105"/>
      <c r="EF448" s="105"/>
      <c r="EG448" s="105"/>
      <c r="EH448" s="105"/>
      <c r="EI448" s="84">
        <f>SUM(Tableau1[[#This Row],[Transports sur films]:[autres ]])</f>
        <v>0</v>
      </c>
      <c r="EJ448" s="134">
        <v>0</v>
      </c>
      <c r="EK448" s="134"/>
      <c r="EL448" s="68">
        <f t="shared" si="263"/>
        <v>0</v>
      </c>
      <c r="EM448" s="107"/>
      <c r="EN448" s="107">
        <v>0</v>
      </c>
      <c r="EO448" s="107"/>
      <c r="EP448" s="107"/>
      <c r="EQ448" s="107"/>
      <c r="ER448" s="107"/>
      <c r="ES448" s="107"/>
      <c r="ET448" s="68">
        <f t="shared" si="264"/>
        <v>0</v>
      </c>
      <c r="EU448" s="107"/>
      <c r="EV448" s="107"/>
      <c r="EW448" s="107"/>
      <c r="EX448" s="107"/>
      <c r="EY448" s="107"/>
      <c r="EZ448" s="68">
        <f t="shared" si="280"/>
        <v>0</v>
      </c>
      <c r="FA448" s="107"/>
      <c r="FB448" s="107"/>
      <c r="FC448" s="70">
        <f t="shared" si="279"/>
        <v>0</v>
      </c>
      <c r="FD448" s="107"/>
      <c r="FE448" s="71">
        <f t="shared" si="265"/>
        <v>0</v>
      </c>
      <c r="FF448" s="72">
        <f t="shared" si="266"/>
        <v>0</v>
      </c>
      <c r="FG448" s="107"/>
      <c r="FH448" s="107"/>
      <c r="FI448" s="107"/>
      <c r="FJ448" s="56">
        <f t="shared" si="267"/>
        <v>0</v>
      </c>
      <c r="FK448" s="107"/>
      <c r="FL448" s="107"/>
      <c r="FM448" s="107"/>
      <c r="FN448" s="107"/>
      <c r="FO448" s="67">
        <f t="shared" si="268"/>
        <v>0</v>
      </c>
      <c r="FP448" s="103"/>
      <c r="FQ448" s="109"/>
      <c r="FR448" s="109"/>
      <c r="FS448" s="71">
        <f t="shared" si="269"/>
        <v>0</v>
      </c>
      <c r="FT448" s="110"/>
      <c r="FU448" s="110"/>
      <c r="FV448" s="67">
        <f>SUM(Tableau1[[#This Row],[Droits d''auteurs SACEM + cotisations SACEM]:[Autres ou non préciés]])</f>
        <v>0</v>
      </c>
      <c r="FW448" s="75">
        <f t="shared" si="270"/>
        <v>0</v>
      </c>
      <c r="FX448" s="111">
        <v>0</v>
      </c>
      <c r="FY448" s="111"/>
      <c r="FZ448" s="111"/>
      <c r="GA448" s="111"/>
      <c r="GB448" s="71">
        <f t="shared" si="271"/>
        <v>0</v>
      </c>
      <c r="GC448" s="112"/>
      <c r="GD448" s="112"/>
      <c r="GE448" s="67">
        <f t="shared" si="272"/>
        <v>0</v>
      </c>
      <c r="GF448" s="113"/>
      <c r="GG448" s="113"/>
      <c r="GH448" s="113"/>
      <c r="GI448" s="113"/>
      <c r="GJ448" s="114"/>
    </row>
    <row r="449" spans="1:192" ht="18.600000000000001" customHeight="1" x14ac:dyDescent="0.25">
      <c r="A449" s="96"/>
      <c r="B449" s="97"/>
      <c r="C449" s="99"/>
      <c r="D449" s="140"/>
      <c r="E449" s="51"/>
      <c r="F449" s="139">
        <f t="shared" si="276"/>
        <v>1</v>
      </c>
      <c r="G449" s="98"/>
      <c r="H449" s="99"/>
      <c r="I449" s="122"/>
      <c r="J449" s="98"/>
      <c r="K449" s="99"/>
      <c r="L449" s="99"/>
      <c r="M449" s="100"/>
      <c r="N449" s="99"/>
      <c r="O449" s="99"/>
      <c r="P449" s="101"/>
      <c r="Q449" s="52">
        <f t="shared" si="242"/>
        <v>0</v>
      </c>
      <c r="R449" s="52">
        <f t="shared" si="243"/>
        <v>0</v>
      </c>
      <c r="S449" s="53">
        <f t="shared" si="244"/>
        <v>0</v>
      </c>
      <c r="T449" s="54">
        <f t="shared" si="245"/>
        <v>0</v>
      </c>
      <c r="U449" s="115">
        <f>SUM(Tableau1[[#This Row],[Vente confiserie]:[Vente boisson]])</f>
        <v>0</v>
      </c>
      <c r="V449" s="102"/>
      <c r="W449" s="102"/>
      <c r="X449" s="136">
        <f>SUM(Tableau1[[#This Row],[Vente lunette]:[Location lunette]])</f>
        <v>0</v>
      </c>
      <c r="Y449" s="102"/>
      <c r="Z449" s="102"/>
      <c r="AA449" s="102"/>
      <c r="AB449" s="102"/>
      <c r="AC449" s="56">
        <f t="shared" si="274"/>
        <v>0</v>
      </c>
      <c r="AD449" s="103"/>
      <c r="AE449" s="103"/>
      <c r="AF449" s="103"/>
      <c r="AG449" s="103"/>
      <c r="AH449" s="103"/>
      <c r="AI449" s="103"/>
      <c r="AJ449" s="118">
        <f>(Tableau1[[#This Row],[Recette guichet ]]*1.1275177)-Tableau1[[#This Row],[Recette guichet ]]</f>
        <v>0</v>
      </c>
      <c r="AK449" s="103"/>
      <c r="AL449" s="56">
        <f t="shared" si="275"/>
        <v>0</v>
      </c>
      <c r="AM449" s="104"/>
      <c r="AN449" s="58"/>
      <c r="AO449" s="104"/>
      <c r="AP449" s="115">
        <f t="shared" si="246"/>
        <v>0</v>
      </c>
      <c r="AQ449" s="105"/>
      <c r="AR449" s="105"/>
      <c r="AS449" s="105"/>
      <c r="AT449" s="105"/>
      <c r="AU449" s="59">
        <f t="shared" si="247"/>
        <v>0</v>
      </c>
      <c r="AV449" s="60">
        <f t="shared" si="248"/>
        <v>0</v>
      </c>
      <c r="AW449" s="104"/>
      <c r="AX449" s="104"/>
      <c r="AY449" s="104"/>
      <c r="AZ449" s="60">
        <f t="shared" si="277"/>
        <v>0</v>
      </c>
      <c r="BA449" s="104"/>
      <c r="BB449" s="104"/>
      <c r="BC449" s="104"/>
      <c r="BD449" s="60">
        <f>SUM(Tableau1[[#This Row],[ticket/carte/abonnement périmé]:[Autres ou non précisé 5]])</f>
        <v>0</v>
      </c>
      <c r="BE449" s="104"/>
      <c r="BF449" s="104"/>
      <c r="BG449" s="104"/>
      <c r="BH449" s="61">
        <f t="shared" si="249"/>
        <v>0</v>
      </c>
      <c r="BI449" s="137"/>
      <c r="BJ449" s="137"/>
      <c r="BK449" s="62">
        <f t="shared" si="250"/>
        <v>0</v>
      </c>
      <c r="BL449" s="137"/>
      <c r="BM449" s="137"/>
      <c r="BN449" s="137"/>
      <c r="BO449" s="137"/>
      <c r="BP449" s="137"/>
      <c r="BQ449" s="106"/>
      <c r="BR449" s="52">
        <f t="shared" si="251"/>
        <v>0</v>
      </c>
      <c r="BS449" s="52">
        <f t="shared" si="252"/>
        <v>0</v>
      </c>
      <c r="BT449" s="61">
        <f t="shared" si="253"/>
        <v>0</v>
      </c>
      <c r="BU449" s="64">
        <f t="shared" si="254"/>
        <v>0</v>
      </c>
      <c r="BV449" s="119">
        <f>SUM(Tableau1[[#This Row],[Achats confiserie]:[Achats boisson]])</f>
        <v>0</v>
      </c>
      <c r="BW449" s="104"/>
      <c r="BX449" s="105"/>
      <c r="BY449" s="104"/>
      <c r="BZ449" s="56">
        <f t="shared" si="255"/>
        <v>0</v>
      </c>
      <c r="CA449" s="210"/>
      <c r="CB449" s="210"/>
      <c r="CC449" s="56">
        <f t="shared" si="256"/>
        <v>0</v>
      </c>
      <c r="CD449" s="93"/>
      <c r="CE449" s="107"/>
      <c r="CF449" s="93"/>
      <c r="CG449" s="93"/>
      <c r="CH449" s="67">
        <f t="shared" si="257"/>
        <v>0</v>
      </c>
      <c r="CI449" s="68">
        <f t="shared" si="273"/>
        <v>0</v>
      </c>
      <c r="CJ449" s="93"/>
      <c r="CK449" s="93"/>
      <c r="CL449" s="93"/>
      <c r="CM449" s="93"/>
      <c r="CN449" s="93"/>
      <c r="CO449" s="68">
        <f t="shared" si="258"/>
        <v>0</v>
      </c>
      <c r="CP449" s="75">
        <f>SUM(Tableau1[[#This Row],[Fourniture eau]:[Energie (non précisé)]])</f>
        <v>0</v>
      </c>
      <c r="CQ449" s="93"/>
      <c r="CR449" s="93"/>
      <c r="CS449" s="93"/>
      <c r="CT449" s="93"/>
      <c r="CU449" s="93"/>
      <c r="CV449" s="93">
        <v>0</v>
      </c>
      <c r="CW449" s="93"/>
      <c r="CX449" s="68">
        <f>SUM(Tableau1[[#This Row],[Sous-traitance]:[Autres ou non précisé 12]])</f>
        <v>0</v>
      </c>
      <c r="CY449" s="107"/>
      <c r="CZ449" s="107"/>
      <c r="DA449" s="107"/>
      <c r="DB449" s="107"/>
      <c r="DC449" s="93"/>
      <c r="DD449" s="68">
        <f t="shared" si="278"/>
        <v>0</v>
      </c>
      <c r="DE449" s="93"/>
      <c r="DF449" s="107"/>
      <c r="DG449" s="107"/>
      <c r="DH449" s="107"/>
      <c r="DI449" s="68">
        <f>SUM(Tableau1[[#This Row],[Entretien et réparation matériel de projection]:[Autres ou non précisé 14]])</f>
        <v>0</v>
      </c>
      <c r="DJ449" s="104"/>
      <c r="DK449" s="104"/>
      <c r="DL449" s="105"/>
      <c r="DM449" s="68">
        <f t="shared" si="259"/>
        <v>0</v>
      </c>
      <c r="DN449" s="104"/>
      <c r="DO449" s="104"/>
      <c r="DP449" s="68">
        <f t="shared" si="260"/>
        <v>0</v>
      </c>
      <c r="DQ449" s="107"/>
      <c r="DR449" s="107"/>
      <c r="DS449" s="68">
        <f t="shared" si="261"/>
        <v>0</v>
      </c>
      <c r="DT449" s="107"/>
      <c r="DU449" s="107"/>
      <c r="DV449" s="107"/>
      <c r="DW449" s="68">
        <f>SUM(Tableau1[[#This Row],[Comission et courtage sur achats]:[Autres ou honoraires
 non précisé ]])</f>
        <v>0</v>
      </c>
      <c r="DX449" s="57"/>
      <c r="DY449" s="57"/>
      <c r="DZ449" s="107"/>
      <c r="EA449" s="107"/>
      <c r="EB449" s="107"/>
      <c r="EC449" s="68">
        <f t="shared" si="262"/>
        <v>0</v>
      </c>
      <c r="ED449" s="105"/>
      <c r="EE449" s="105"/>
      <c r="EF449" s="105"/>
      <c r="EG449" s="105"/>
      <c r="EH449" s="105"/>
      <c r="EI449" s="84">
        <f>SUM(Tableau1[[#This Row],[Transports sur films]:[autres ]])</f>
        <v>0</v>
      </c>
      <c r="EJ449" s="134">
        <v>0</v>
      </c>
      <c r="EK449" s="134"/>
      <c r="EL449" s="68">
        <f t="shared" si="263"/>
        <v>0</v>
      </c>
      <c r="EM449" s="107"/>
      <c r="EN449" s="107">
        <v>0</v>
      </c>
      <c r="EO449" s="107"/>
      <c r="EP449" s="107"/>
      <c r="EQ449" s="107"/>
      <c r="ER449" s="107"/>
      <c r="ES449" s="107"/>
      <c r="ET449" s="68">
        <f t="shared" si="264"/>
        <v>0</v>
      </c>
      <c r="EU449" s="107"/>
      <c r="EV449" s="107"/>
      <c r="EW449" s="107"/>
      <c r="EX449" s="107"/>
      <c r="EY449" s="107"/>
      <c r="EZ449" s="68">
        <f t="shared" si="280"/>
        <v>0</v>
      </c>
      <c r="FA449" s="107"/>
      <c r="FB449" s="107"/>
      <c r="FC449" s="70">
        <f t="shared" si="279"/>
        <v>0</v>
      </c>
      <c r="FD449" s="107"/>
      <c r="FE449" s="71">
        <f t="shared" si="265"/>
        <v>0</v>
      </c>
      <c r="FF449" s="72">
        <f t="shared" si="266"/>
        <v>0</v>
      </c>
      <c r="FG449" s="107"/>
      <c r="FH449" s="107"/>
      <c r="FI449" s="107"/>
      <c r="FJ449" s="56">
        <f t="shared" si="267"/>
        <v>0</v>
      </c>
      <c r="FK449" s="107"/>
      <c r="FL449" s="107"/>
      <c r="FM449" s="107"/>
      <c r="FN449" s="107"/>
      <c r="FO449" s="67">
        <f t="shared" si="268"/>
        <v>0</v>
      </c>
      <c r="FP449" s="103"/>
      <c r="FQ449" s="109"/>
      <c r="FR449" s="109"/>
      <c r="FS449" s="71">
        <f t="shared" si="269"/>
        <v>0</v>
      </c>
      <c r="FT449" s="110"/>
      <c r="FU449" s="110"/>
      <c r="FV449" s="67">
        <f>SUM(Tableau1[[#This Row],[Droits d''auteurs SACEM + cotisations SACEM]:[Autres ou non préciés]])</f>
        <v>0</v>
      </c>
      <c r="FW449" s="75">
        <f t="shared" si="270"/>
        <v>0</v>
      </c>
      <c r="FX449" s="111">
        <v>0</v>
      </c>
      <c r="FY449" s="111"/>
      <c r="FZ449" s="111"/>
      <c r="GA449" s="111"/>
      <c r="GB449" s="71">
        <f t="shared" si="271"/>
        <v>0</v>
      </c>
      <c r="GC449" s="112"/>
      <c r="GD449" s="112"/>
      <c r="GE449" s="67">
        <f t="shared" si="272"/>
        <v>0</v>
      </c>
      <c r="GF449" s="113"/>
      <c r="GG449" s="113"/>
      <c r="GH449" s="113"/>
      <c r="GI449" s="113"/>
      <c r="GJ449" s="114"/>
    </row>
    <row r="450" spans="1:192" ht="18.600000000000001" customHeight="1" x14ac:dyDescent="0.25">
      <c r="A450" s="96"/>
      <c r="B450" s="97"/>
      <c r="C450" s="99"/>
      <c r="D450" s="140"/>
      <c r="E450" s="51"/>
      <c r="F450" s="139">
        <f t="shared" si="276"/>
        <v>1</v>
      </c>
      <c r="G450" s="98"/>
      <c r="H450" s="99"/>
      <c r="I450" s="122"/>
      <c r="J450" s="98"/>
      <c r="K450" s="99"/>
      <c r="L450" s="99"/>
      <c r="M450" s="100"/>
      <c r="N450" s="99"/>
      <c r="O450" s="99"/>
      <c r="P450" s="101"/>
      <c r="Q450" s="52">
        <f t="shared" si="242"/>
        <v>0</v>
      </c>
      <c r="R450" s="52">
        <f t="shared" si="243"/>
        <v>0</v>
      </c>
      <c r="S450" s="53">
        <f t="shared" si="244"/>
        <v>0</v>
      </c>
      <c r="T450" s="54">
        <f t="shared" si="245"/>
        <v>0</v>
      </c>
      <c r="U450" s="115">
        <f>SUM(Tableau1[[#This Row],[Vente confiserie]:[Vente boisson]])</f>
        <v>0</v>
      </c>
      <c r="V450" s="102"/>
      <c r="W450" s="102"/>
      <c r="X450" s="136">
        <f>SUM(Tableau1[[#This Row],[Vente lunette]:[Location lunette]])</f>
        <v>0</v>
      </c>
      <c r="Y450" s="102"/>
      <c r="Z450" s="102"/>
      <c r="AA450" s="102"/>
      <c r="AB450" s="102"/>
      <c r="AC450" s="56">
        <f t="shared" si="274"/>
        <v>0</v>
      </c>
      <c r="AD450" s="103"/>
      <c r="AE450" s="103"/>
      <c r="AF450" s="103"/>
      <c r="AG450" s="103"/>
      <c r="AH450" s="103"/>
      <c r="AI450" s="103"/>
      <c r="AJ450" s="118">
        <f>(Tableau1[[#This Row],[Recette guichet ]]*1.1275177)-Tableau1[[#This Row],[Recette guichet ]]</f>
        <v>0</v>
      </c>
      <c r="AK450" s="103"/>
      <c r="AL450" s="56">
        <f t="shared" si="275"/>
        <v>0</v>
      </c>
      <c r="AM450" s="104"/>
      <c r="AN450" s="58"/>
      <c r="AO450" s="104"/>
      <c r="AP450" s="115">
        <f t="shared" si="246"/>
        <v>0</v>
      </c>
      <c r="AQ450" s="105"/>
      <c r="AR450" s="105"/>
      <c r="AS450" s="105"/>
      <c r="AT450" s="105"/>
      <c r="AU450" s="59">
        <f t="shared" si="247"/>
        <v>0</v>
      </c>
      <c r="AV450" s="60">
        <f t="shared" si="248"/>
        <v>0</v>
      </c>
      <c r="AW450" s="104"/>
      <c r="AX450" s="104"/>
      <c r="AY450" s="104"/>
      <c r="AZ450" s="60">
        <f t="shared" si="277"/>
        <v>0</v>
      </c>
      <c r="BA450" s="104"/>
      <c r="BB450" s="104"/>
      <c r="BC450" s="104"/>
      <c r="BD450" s="60">
        <f>SUM(Tableau1[[#This Row],[ticket/carte/abonnement périmé]:[Autres ou non précisé 5]])</f>
        <v>0</v>
      </c>
      <c r="BE450" s="104"/>
      <c r="BF450" s="104"/>
      <c r="BG450" s="104"/>
      <c r="BH450" s="61">
        <f t="shared" si="249"/>
        <v>0</v>
      </c>
      <c r="BI450" s="137"/>
      <c r="BJ450" s="137"/>
      <c r="BK450" s="62">
        <f t="shared" si="250"/>
        <v>0</v>
      </c>
      <c r="BL450" s="137"/>
      <c r="BM450" s="137"/>
      <c r="BN450" s="137"/>
      <c r="BO450" s="137"/>
      <c r="BP450" s="137"/>
      <c r="BQ450" s="106"/>
      <c r="BR450" s="52">
        <f t="shared" si="251"/>
        <v>0</v>
      </c>
      <c r="BS450" s="52">
        <f t="shared" si="252"/>
        <v>0</v>
      </c>
      <c r="BT450" s="61">
        <f t="shared" si="253"/>
        <v>0</v>
      </c>
      <c r="BU450" s="64">
        <f t="shared" si="254"/>
        <v>0</v>
      </c>
      <c r="BV450" s="119">
        <f>SUM(Tableau1[[#This Row],[Achats confiserie]:[Achats boisson]])</f>
        <v>0</v>
      </c>
      <c r="BW450" s="104"/>
      <c r="BX450" s="105"/>
      <c r="BY450" s="104"/>
      <c r="BZ450" s="56">
        <f t="shared" si="255"/>
        <v>0</v>
      </c>
      <c r="CA450" s="210"/>
      <c r="CB450" s="210"/>
      <c r="CC450" s="56">
        <f t="shared" si="256"/>
        <v>0</v>
      </c>
      <c r="CD450" s="93"/>
      <c r="CE450" s="107"/>
      <c r="CF450" s="93"/>
      <c r="CG450" s="93"/>
      <c r="CH450" s="67">
        <f t="shared" si="257"/>
        <v>0</v>
      </c>
      <c r="CI450" s="68">
        <f t="shared" si="273"/>
        <v>0</v>
      </c>
      <c r="CJ450" s="93"/>
      <c r="CK450" s="93"/>
      <c r="CL450" s="93"/>
      <c r="CM450" s="93"/>
      <c r="CN450" s="93"/>
      <c r="CO450" s="68">
        <f t="shared" si="258"/>
        <v>0</v>
      </c>
      <c r="CP450" s="75">
        <f>SUM(Tableau1[[#This Row],[Fourniture eau]:[Energie (non précisé)]])</f>
        <v>0</v>
      </c>
      <c r="CQ450" s="93"/>
      <c r="CR450" s="93"/>
      <c r="CS450" s="93"/>
      <c r="CT450" s="93"/>
      <c r="CU450" s="93"/>
      <c r="CV450" s="93">
        <v>0</v>
      </c>
      <c r="CW450" s="93"/>
      <c r="CX450" s="68">
        <f>SUM(Tableau1[[#This Row],[Sous-traitance]:[Autres ou non précisé 12]])</f>
        <v>0</v>
      </c>
      <c r="CY450" s="107"/>
      <c r="CZ450" s="107"/>
      <c r="DA450" s="107"/>
      <c r="DB450" s="107"/>
      <c r="DC450" s="93"/>
      <c r="DD450" s="68">
        <f t="shared" si="278"/>
        <v>0</v>
      </c>
      <c r="DE450" s="93"/>
      <c r="DF450" s="107"/>
      <c r="DG450" s="107"/>
      <c r="DH450" s="107"/>
      <c r="DI450" s="68">
        <f>SUM(Tableau1[[#This Row],[Entretien et réparation matériel de projection]:[Autres ou non précisé 14]])</f>
        <v>0</v>
      </c>
      <c r="DJ450" s="104"/>
      <c r="DK450" s="104"/>
      <c r="DL450" s="105"/>
      <c r="DM450" s="68">
        <f t="shared" si="259"/>
        <v>0</v>
      </c>
      <c r="DN450" s="104"/>
      <c r="DO450" s="104"/>
      <c r="DP450" s="68">
        <f t="shared" si="260"/>
        <v>0</v>
      </c>
      <c r="DQ450" s="107"/>
      <c r="DR450" s="107"/>
      <c r="DS450" s="68">
        <f t="shared" si="261"/>
        <v>0</v>
      </c>
      <c r="DT450" s="107"/>
      <c r="DU450" s="107"/>
      <c r="DV450" s="107"/>
      <c r="DW450" s="68">
        <f>SUM(Tableau1[[#This Row],[Comission et courtage sur achats]:[Autres ou honoraires
 non précisé ]])</f>
        <v>0</v>
      </c>
      <c r="DX450" s="57"/>
      <c r="DY450" s="57"/>
      <c r="DZ450" s="107"/>
      <c r="EA450" s="107"/>
      <c r="EB450" s="107"/>
      <c r="EC450" s="68">
        <f t="shared" si="262"/>
        <v>0</v>
      </c>
      <c r="ED450" s="105"/>
      <c r="EE450" s="105"/>
      <c r="EF450" s="105"/>
      <c r="EG450" s="105"/>
      <c r="EH450" s="105"/>
      <c r="EI450" s="84">
        <f>SUM(Tableau1[[#This Row],[Transports sur films]:[autres ]])</f>
        <v>0</v>
      </c>
      <c r="EJ450" s="134">
        <v>0</v>
      </c>
      <c r="EK450" s="134"/>
      <c r="EL450" s="68">
        <f t="shared" si="263"/>
        <v>0</v>
      </c>
      <c r="EM450" s="107"/>
      <c r="EN450" s="107">
        <v>0</v>
      </c>
      <c r="EO450" s="107"/>
      <c r="EP450" s="107"/>
      <c r="EQ450" s="107"/>
      <c r="ER450" s="107"/>
      <c r="ES450" s="107"/>
      <c r="ET450" s="68">
        <f t="shared" si="264"/>
        <v>0</v>
      </c>
      <c r="EU450" s="107"/>
      <c r="EV450" s="107"/>
      <c r="EW450" s="107"/>
      <c r="EX450" s="107"/>
      <c r="EY450" s="107"/>
      <c r="EZ450" s="68">
        <f t="shared" si="280"/>
        <v>0</v>
      </c>
      <c r="FA450" s="107"/>
      <c r="FB450" s="107"/>
      <c r="FC450" s="70">
        <f t="shared" si="279"/>
        <v>0</v>
      </c>
      <c r="FD450" s="107"/>
      <c r="FE450" s="71">
        <f t="shared" si="265"/>
        <v>0</v>
      </c>
      <c r="FF450" s="72">
        <f t="shared" si="266"/>
        <v>0</v>
      </c>
      <c r="FG450" s="107"/>
      <c r="FH450" s="107"/>
      <c r="FI450" s="107"/>
      <c r="FJ450" s="56">
        <f t="shared" si="267"/>
        <v>0</v>
      </c>
      <c r="FK450" s="107"/>
      <c r="FL450" s="107"/>
      <c r="FM450" s="107"/>
      <c r="FN450" s="107"/>
      <c r="FO450" s="67">
        <f t="shared" si="268"/>
        <v>0</v>
      </c>
      <c r="FP450" s="103"/>
      <c r="FQ450" s="109"/>
      <c r="FR450" s="109"/>
      <c r="FS450" s="71">
        <f t="shared" si="269"/>
        <v>0</v>
      </c>
      <c r="FT450" s="110"/>
      <c r="FU450" s="110"/>
      <c r="FV450" s="67">
        <f>SUM(Tableau1[[#This Row],[Droits d''auteurs SACEM + cotisations SACEM]:[Autres ou non préciés]])</f>
        <v>0</v>
      </c>
      <c r="FW450" s="75">
        <f t="shared" si="270"/>
        <v>0</v>
      </c>
      <c r="FX450" s="111">
        <v>0</v>
      </c>
      <c r="FY450" s="111"/>
      <c r="FZ450" s="111"/>
      <c r="GA450" s="111"/>
      <c r="GB450" s="71">
        <f t="shared" si="271"/>
        <v>0</v>
      </c>
      <c r="GC450" s="112"/>
      <c r="GD450" s="112"/>
      <c r="GE450" s="67">
        <f t="shared" si="272"/>
        <v>0</v>
      </c>
      <c r="GF450" s="113"/>
      <c r="GG450" s="113"/>
      <c r="GH450" s="113"/>
      <c r="GI450" s="113"/>
      <c r="GJ450" s="114"/>
    </row>
    <row r="451" spans="1:192" ht="18.600000000000001" customHeight="1" x14ac:dyDescent="0.25">
      <c r="A451" s="96"/>
      <c r="B451" s="97"/>
      <c r="C451" s="99"/>
      <c r="D451" s="140"/>
      <c r="E451" s="51"/>
      <c r="F451" s="139">
        <f t="shared" si="276"/>
        <v>1</v>
      </c>
      <c r="G451" s="98"/>
      <c r="H451" s="99"/>
      <c r="I451" s="122"/>
      <c r="J451" s="98"/>
      <c r="K451" s="99"/>
      <c r="L451" s="99"/>
      <c r="M451" s="100"/>
      <c r="N451" s="99"/>
      <c r="O451" s="99"/>
      <c r="P451" s="101"/>
      <c r="Q451" s="52">
        <f t="shared" si="242"/>
        <v>0</v>
      </c>
      <c r="R451" s="52">
        <f t="shared" si="243"/>
        <v>0</v>
      </c>
      <c r="S451" s="53">
        <f t="shared" si="244"/>
        <v>0</v>
      </c>
      <c r="T451" s="54">
        <f t="shared" si="245"/>
        <v>0</v>
      </c>
      <c r="U451" s="115">
        <f>SUM(Tableau1[[#This Row],[Vente confiserie]:[Vente boisson]])</f>
        <v>0</v>
      </c>
      <c r="V451" s="102"/>
      <c r="W451" s="102"/>
      <c r="X451" s="136">
        <f>SUM(Tableau1[[#This Row],[Vente lunette]:[Location lunette]])</f>
        <v>0</v>
      </c>
      <c r="Y451" s="102"/>
      <c r="Z451" s="102"/>
      <c r="AA451" s="102"/>
      <c r="AB451" s="102"/>
      <c r="AC451" s="56">
        <f t="shared" si="274"/>
        <v>0</v>
      </c>
      <c r="AD451" s="103"/>
      <c r="AE451" s="103"/>
      <c r="AF451" s="103"/>
      <c r="AG451" s="103"/>
      <c r="AH451" s="103"/>
      <c r="AI451" s="103"/>
      <c r="AJ451" s="118">
        <f>(Tableau1[[#This Row],[Recette guichet ]]*1.1275177)-Tableau1[[#This Row],[Recette guichet ]]</f>
        <v>0</v>
      </c>
      <c r="AK451" s="103"/>
      <c r="AL451" s="56">
        <f t="shared" si="275"/>
        <v>0</v>
      </c>
      <c r="AM451" s="104"/>
      <c r="AN451" s="58"/>
      <c r="AO451" s="104"/>
      <c r="AP451" s="115">
        <f t="shared" si="246"/>
        <v>0</v>
      </c>
      <c r="AQ451" s="105"/>
      <c r="AR451" s="105"/>
      <c r="AS451" s="105"/>
      <c r="AT451" s="105"/>
      <c r="AU451" s="59">
        <f t="shared" si="247"/>
        <v>0</v>
      </c>
      <c r="AV451" s="60">
        <f t="shared" si="248"/>
        <v>0</v>
      </c>
      <c r="AW451" s="104"/>
      <c r="AX451" s="104"/>
      <c r="AY451" s="104"/>
      <c r="AZ451" s="60">
        <f t="shared" si="277"/>
        <v>0</v>
      </c>
      <c r="BA451" s="104"/>
      <c r="BB451" s="104"/>
      <c r="BC451" s="104"/>
      <c r="BD451" s="60">
        <f>SUM(Tableau1[[#This Row],[ticket/carte/abonnement périmé]:[Autres ou non précisé 5]])</f>
        <v>0</v>
      </c>
      <c r="BE451" s="104"/>
      <c r="BF451" s="104"/>
      <c r="BG451" s="104"/>
      <c r="BH451" s="61">
        <f t="shared" si="249"/>
        <v>0</v>
      </c>
      <c r="BI451" s="137"/>
      <c r="BJ451" s="137"/>
      <c r="BK451" s="62">
        <f t="shared" si="250"/>
        <v>0</v>
      </c>
      <c r="BL451" s="137"/>
      <c r="BM451" s="137"/>
      <c r="BN451" s="137"/>
      <c r="BO451" s="137"/>
      <c r="BP451" s="137"/>
      <c r="BQ451" s="106"/>
      <c r="BR451" s="52">
        <f t="shared" si="251"/>
        <v>0</v>
      </c>
      <c r="BS451" s="52">
        <f t="shared" si="252"/>
        <v>0</v>
      </c>
      <c r="BT451" s="61">
        <f t="shared" si="253"/>
        <v>0</v>
      </c>
      <c r="BU451" s="64">
        <f t="shared" si="254"/>
        <v>0</v>
      </c>
      <c r="BV451" s="119">
        <f>SUM(Tableau1[[#This Row],[Achats confiserie]:[Achats boisson]])</f>
        <v>0</v>
      </c>
      <c r="BW451" s="104"/>
      <c r="BX451" s="105"/>
      <c r="BY451" s="104"/>
      <c r="BZ451" s="56">
        <f t="shared" si="255"/>
        <v>0</v>
      </c>
      <c r="CA451" s="210"/>
      <c r="CB451" s="210"/>
      <c r="CC451" s="56">
        <f t="shared" si="256"/>
        <v>0</v>
      </c>
      <c r="CD451" s="93"/>
      <c r="CE451" s="107"/>
      <c r="CF451" s="93"/>
      <c r="CG451" s="93"/>
      <c r="CH451" s="67">
        <f t="shared" si="257"/>
        <v>0</v>
      </c>
      <c r="CI451" s="68">
        <f t="shared" si="273"/>
        <v>0</v>
      </c>
      <c r="CJ451" s="93"/>
      <c r="CK451" s="93"/>
      <c r="CL451" s="93"/>
      <c r="CM451" s="93"/>
      <c r="CN451" s="93"/>
      <c r="CO451" s="68">
        <f t="shared" si="258"/>
        <v>0</v>
      </c>
      <c r="CP451" s="75">
        <f>SUM(Tableau1[[#This Row],[Fourniture eau]:[Energie (non précisé)]])</f>
        <v>0</v>
      </c>
      <c r="CQ451" s="93"/>
      <c r="CR451" s="93"/>
      <c r="CS451" s="93"/>
      <c r="CT451" s="93"/>
      <c r="CU451" s="93"/>
      <c r="CV451" s="93">
        <v>0</v>
      </c>
      <c r="CW451" s="93"/>
      <c r="CX451" s="68">
        <f>SUM(Tableau1[[#This Row],[Sous-traitance]:[Autres ou non précisé 12]])</f>
        <v>0</v>
      </c>
      <c r="CY451" s="107"/>
      <c r="CZ451" s="107"/>
      <c r="DA451" s="107"/>
      <c r="DB451" s="107"/>
      <c r="DC451" s="93"/>
      <c r="DD451" s="68">
        <f t="shared" si="278"/>
        <v>0</v>
      </c>
      <c r="DE451" s="93"/>
      <c r="DF451" s="107"/>
      <c r="DG451" s="107"/>
      <c r="DH451" s="107"/>
      <c r="DI451" s="68">
        <f>SUM(Tableau1[[#This Row],[Entretien et réparation matériel de projection]:[Autres ou non précisé 14]])</f>
        <v>0</v>
      </c>
      <c r="DJ451" s="104"/>
      <c r="DK451" s="104"/>
      <c r="DL451" s="105"/>
      <c r="DM451" s="68">
        <f t="shared" si="259"/>
        <v>0</v>
      </c>
      <c r="DN451" s="104"/>
      <c r="DO451" s="104"/>
      <c r="DP451" s="68">
        <f t="shared" si="260"/>
        <v>0</v>
      </c>
      <c r="DQ451" s="107"/>
      <c r="DR451" s="107"/>
      <c r="DS451" s="68">
        <f t="shared" si="261"/>
        <v>0</v>
      </c>
      <c r="DT451" s="107"/>
      <c r="DU451" s="107"/>
      <c r="DV451" s="107"/>
      <c r="DW451" s="68">
        <f>SUM(Tableau1[[#This Row],[Comission et courtage sur achats]:[Autres ou honoraires
 non précisé ]])</f>
        <v>0</v>
      </c>
      <c r="DX451" s="57"/>
      <c r="DY451" s="57"/>
      <c r="DZ451" s="107"/>
      <c r="EA451" s="107"/>
      <c r="EB451" s="107"/>
      <c r="EC451" s="68">
        <f t="shared" si="262"/>
        <v>0</v>
      </c>
      <c r="ED451" s="105"/>
      <c r="EE451" s="105"/>
      <c r="EF451" s="105"/>
      <c r="EG451" s="105"/>
      <c r="EH451" s="105"/>
      <c r="EI451" s="84">
        <f>SUM(Tableau1[[#This Row],[Transports sur films]:[autres ]])</f>
        <v>0</v>
      </c>
      <c r="EJ451" s="134">
        <v>0</v>
      </c>
      <c r="EK451" s="134"/>
      <c r="EL451" s="68">
        <f t="shared" si="263"/>
        <v>0</v>
      </c>
      <c r="EM451" s="107"/>
      <c r="EN451" s="107">
        <v>0</v>
      </c>
      <c r="EO451" s="107"/>
      <c r="EP451" s="107"/>
      <c r="EQ451" s="107"/>
      <c r="ER451" s="107"/>
      <c r="ES451" s="107"/>
      <c r="ET451" s="68">
        <f t="shared" si="264"/>
        <v>0</v>
      </c>
      <c r="EU451" s="107"/>
      <c r="EV451" s="107"/>
      <c r="EW451" s="107"/>
      <c r="EX451" s="107"/>
      <c r="EY451" s="107"/>
      <c r="EZ451" s="68">
        <f t="shared" si="280"/>
        <v>0</v>
      </c>
      <c r="FA451" s="107"/>
      <c r="FB451" s="107"/>
      <c r="FC451" s="70">
        <f t="shared" si="279"/>
        <v>0</v>
      </c>
      <c r="FD451" s="107"/>
      <c r="FE451" s="71">
        <f t="shared" si="265"/>
        <v>0</v>
      </c>
      <c r="FF451" s="72">
        <f t="shared" si="266"/>
        <v>0</v>
      </c>
      <c r="FG451" s="107"/>
      <c r="FH451" s="107"/>
      <c r="FI451" s="107"/>
      <c r="FJ451" s="56">
        <f t="shared" si="267"/>
        <v>0</v>
      </c>
      <c r="FK451" s="107"/>
      <c r="FL451" s="107"/>
      <c r="FM451" s="107"/>
      <c r="FN451" s="107"/>
      <c r="FO451" s="67">
        <f t="shared" si="268"/>
        <v>0</v>
      </c>
      <c r="FP451" s="103"/>
      <c r="FQ451" s="109"/>
      <c r="FR451" s="109"/>
      <c r="FS451" s="71">
        <f t="shared" si="269"/>
        <v>0</v>
      </c>
      <c r="FT451" s="110"/>
      <c r="FU451" s="110"/>
      <c r="FV451" s="67">
        <f>SUM(Tableau1[[#This Row],[Droits d''auteurs SACEM + cotisations SACEM]:[Autres ou non préciés]])</f>
        <v>0</v>
      </c>
      <c r="FW451" s="75">
        <f t="shared" si="270"/>
        <v>0</v>
      </c>
      <c r="FX451" s="111">
        <v>0</v>
      </c>
      <c r="FY451" s="111"/>
      <c r="FZ451" s="111"/>
      <c r="GA451" s="111"/>
      <c r="GB451" s="71">
        <f t="shared" si="271"/>
        <v>0</v>
      </c>
      <c r="GC451" s="112"/>
      <c r="GD451" s="112"/>
      <c r="GE451" s="67">
        <f t="shared" si="272"/>
        <v>0</v>
      </c>
      <c r="GF451" s="113"/>
      <c r="GG451" s="113"/>
      <c r="GH451" s="113"/>
      <c r="GI451" s="113"/>
      <c r="GJ451" s="114"/>
    </row>
    <row r="452" spans="1:192" ht="18.600000000000001" customHeight="1" x14ac:dyDescent="0.25">
      <c r="A452" s="96"/>
      <c r="B452" s="97"/>
      <c r="C452" s="99"/>
      <c r="D452" s="140"/>
      <c r="E452" s="51"/>
      <c r="F452" s="139">
        <f t="shared" si="276"/>
        <v>1</v>
      </c>
      <c r="G452" s="98"/>
      <c r="H452" s="99"/>
      <c r="I452" s="122"/>
      <c r="J452" s="98"/>
      <c r="K452" s="99"/>
      <c r="L452" s="99"/>
      <c r="M452" s="100"/>
      <c r="N452" s="99"/>
      <c r="O452" s="99"/>
      <c r="P452" s="101"/>
      <c r="Q452" s="52">
        <f t="shared" si="242"/>
        <v>0</v>
      </c>
      <c r="R452" s="52">
        <f t="shared" si="243"/>
        <v>0</v>
      </c>
      <c r="S452" s="53">
        <f t="shared" si="244"/>
        <v>0</v>
      </c>
      <c r="T452" s="54">
        <f t="shared" si="245"/>
        <v>0</v>
      </c>
      <c r="U452" s="115">
        <f>SUM(Tableau1[[#This Row],[Vente confiserie]:[Vente boisson]])</f>
        <v>0</v>
      </c>
      <c r="V452" s="102"/>
      <c r="W452" s="102"/>
      <c r="X452" s="136">
        <f>SUM(Tableau1[[#This Row],[Vente lunette]:[Location lunette]])</f>
        <v>0</v>
      </c>
      <c r="Y452" s="102"/>
      <c r="Z452" s="102"/>
      <c r="AA452" s="102"/>
      <c r="AB452" s="102"/>
      <c r="AC452" s="56">
        <f t="shared" si="274"/>
        <v>0</v>
      </c>
      <c r="AD452" s="103"/>
      <c r="AE452" s="103"/>
      <c r="AF452" s="103"/>
      <c r="AG452" s="103"/>
      <c r="AH452" s="103"/>
      <c r="AI452" s="103"/>
      <c r="AJ452" s="118">
        <f>(Tableau1[[#This Row],[Recette guichet ]]*1.1275177)-Tableau1[[#This Row],[Recette guichet ]]</f>
        <v>0</v>
      </c>
      <c r="AK452" s="103"/>
      <c r="AL452" s="56">
        <f t="shared" si="275"/>
        <v>0</v>
      </c>
      <c r="AM452" s="104"/>
      <c r="AN452" s="58"/>
      <c r="AO452" s="104"/>
      <c r="AP452" s="115">
        <f t="shared" si="246"/>
        <v>0</v>
      </c>
      <c r="AQ452" s="105"/>
      <c r="AR452" s="105"/>
      <c r="AS452" s="105"/>
      <c r="AT452" s="105"/>
      <c r="AU452" s="59">
        <f t="shared" si="247"/>
        <v>0</v>
      </c>
      <c r="AV452" s="60">
        <f t="shared" si="248"/>
        <v>0</v>
      </c>
      <c r="AW452" s="104"/>
      <c r="AX452" s="104"/>
      <c r="AY452" s="104"/>
      <c r="AZ452" s="60">
        <f t="shared" si="277"/>
        <v>0</v>
      </c>
      <c r="BA452" s="104"/>
      <c r="BB452" s="104"/>
      <c r="BC452" s="104"/>
      <c r="BD452" s="60">
        <f>SUM(Tableau1[[#This Row],[ticket/carte/abonnement périmé]:[Autres ou non précisé 5]])</f>
        <v>0</v>
      </c>
      <c r="BE452" s="104"/>
      <c r="BF452" s="104"/>
      <c r="BG452" s="104"/>
      <c r="BH452" s="61">
        <f t="shared" si="249"/>
        <v>0</v>
      </c>
      <c r="BI452" s="137"/>
      <c r="BJ452" s="137"/>
      <c r="BK452" s="62">
        <f t="shared" si="250"/>
        <v>0</v>
      </c>
      <c r="BL452" s="137"/>
      <c r="BM452" s="137"/>
      <c r="BN452" s="137"/>
      <c r="BO452" s="137"/>
      <c r="BP452" s="137"/>
      <c r="BQ452" s="106"/>
      <c r="BR452" s="52">
        <f t="shared" si="251"/>
        <v>0</v>
      </c>
      <c r="BS452" s="52">
        <f t="shared" si="252"/>
        <v>0</v>
      </c>
      <c r="BT452" s="61">
        <f t="shared" si="253"/>
        <v>0</v>
      </c>
      <c r="BU452" s="64">
        <f t="shared" si="254"/>
        <v>0</v>
      </c>
      <c r="BV452" s="119">
        <f>SUM(Tableau1[[#This Row],[Achats confiserie]:[Achats boisson]])</f>
        <v>0</v>
      </c>
      <c r="BW452" s="104"/>
      <c r="BX452" s="105"/>
      <c r="BY452" s="104"/>
      <c r="BZ452" s="56">
        <f t="shared" si="255"/>
        <v>0</v>
      </c>
      <c r="CA452" s="210"/>
      <c r="CB452" s="210"/>
      <c r="CC452" s="56">
        <f t="shared" si="256"/>
        <v>0</v>
      </c>
      <c r="CD452" s="93"/>
      <c r="CE452" s="107"/>
      <c r="CF452" s="93"/>
      <c r="CG452" s="93"/>
      <c r="CH452" s="67">
        <f t="shared" si="257"/>
        <v>0</v>
      </c>
      <c r="CI452" s="68">
        <f t="shared" si="273"/>
        <v>0</v>
      </c>
      <c r="CJ452" s="93"/>
      <c r="CK452" s="93"/>
      <c r="CL452" s="93"/>
      <c r="CM452" s="93"/>
      <c r="CN452" s="93"/>
      <c r="CO452" s="68">
        <f t="shared" si="258"/>
        <v>0</v>
      </c>
      <c r="CP452" s="75">
        <f>SUM(Tableau1[[#This Row],[Fourniture eau]:[Energie (non précisé)]])</f>
        <v>0</v>
      </c>
      <c r="CQ452" s="93"/>
      <c r="CR452" s="93"/>
      <c r="CS452" s="93"/>
      <c r="CT452" s="93"/>
      <c r="CU452" s="93"/>
      <c r="CV452" s="93">
        <v>0</v>
      </c>
      <c r="CW452" s="93"/>
      <c r="CX452" s="68">
        <f>SUM(Tableau1[[#This Row],[Sous-traitance]:[Autres ou non précisé 12]])</f>
        <v>0</v>
      </c>
      <c r="CY452" s="107"/>
      <c r="CZ452" s="107"/>
      <c r="DA452" s="107"/>
      <c r="DB452" s="107"/>
      <c r="DC452" s="93"/>
      <c r="DD452" s="68">
        <f t="shared" si="278"/>
        <v>0</v>
      </c>
      <c r="DE452" s="93"/>
      <c r="DF452" s="107"/>
      <c r="DG452" s="107"/>
      <c r="DH452" s="107"/>
      <c r="DI452" s="68">
        <f>SUM(Tableau1[[#This Row],[Entretien et réparation matériel de projection]:[Autres ou non précisé 14]])</f>
        <v>0</v>
      </c>
      <c r="DJ452" s="104"/>
      <c r="DK452" s="104"/>
      <c r="DL452" s="105"/>
      <c r="DM452" s="68">
        <f t="shared" si="259"/>
        <v>0</v>
      </c>
      <c r="DN452" s="104"/>
      <c r="DO452" s="104"/>
      <c r="DP452" s="68">
        <f t="shared" si="260"/>
        <v>0</v>
      </c>
      <c r="DQ452" s="107"/>
      <c r="DR452" s="107"/>
      <c r="DS452" s="68">
        <f t="shared" si="261"/>
        <v>0</v>
      </c>
      <c r="DT452" s="107"/>
      <c r="DU452" s="107"/>
      <c r="DV452" s="107"/>
      <c r="DW452" s="68">
        <f>SUM(Tableau1[[#This Row],[Comission et courtage sur achats]:[Autres ou honoraires
 non précisé ]])</f>
        <v>0</v>
      </c>
      <c r="DX452" s="57"/>
      <c r="DY452" s="57"/>
      <c r="DZ452" s="107"/>
      <c r="EA452" s="107"/>
      <c r="EB452" s="107"/>
      <c r="EC452" s="68">
        <f t="shared" si="262"/>
        <v>0</v>
      </c>
      <c r="ED452" s="105"/>
      <c r="EE452" s="105"/>
      <c r="EF452" s="105"/>
      <c r="EG452" s="105"/>
      <c r="EH452" s="105"/>
      <c r="EI452" s="84">
        <f>SUM(Tableau1[[#This Row],[Transports sur films]:[autres ]])</f>
        <v>0</v>
      </c>
      <c r="EJ452" s="134">
        <v>0</v>
      </c>
      <c r="EK452" s="134"/>
      <c r="EL452" s="68">
        <f t="shared" si="263"/>
        <v>0</v>
      </c>
      <c r="EM452" s="107"/>
      <c r="EN452" s="107">
        <v>0</v>
      </c>
      <c r="EO452" s="107"/>
      <c r="EP452" s="107"/>
      <c r="EQ452" s="107"/>
      <c r="ER452" s="107"/>
      <c r="ES452" s="107"/>
      <c r="ET452" s="68">
        <f t="shared" si="264"/>
        <v>0</v>
      </c>
      <c r="EU452" s="107"/>
      <c r="EV452" s="107"/>
      <c r="EW452" s="107"/>
      <c r="EX452" s="107"/>
      <c r="EY452" s="107"/>
      <c r="EZ452" s="68">
        <f t="shared" si="280"/>
        <v>0</v>
      </c>
      <c r="FA452" s="107"/>
      <c r="FB452" s="107"/>
      <c r="FC452" s="70">
        <f t="shared" si="279"/>
        <v>0</v>
      </c>
      <c r="FD452" s="107"/>
      <c r="FE452" s="71">
        <f t="shared" si="265"/>
        <v>0</v>
      </c>
      <c r="FF452" s="72">
        <f t="shared" si="266"/>
        <v>0</v>
      </c>
      <c r="FG452" s="107"/>
      <c r="FH452" s="107"/>
      <c r="FI452" s="107"/>
      <c r="FJ452" s="56">
        <f t="shared" si="267"/>
        <v>0</v>
      </c>
      <c r="FK452" s="107"/>
      <c r="FL452" s="107"/>
      <c r="FM452" s="107"/>
      <c r="FN452" s="107"/>
      <c r="FO452" s="67">
        <f t="shared" si="268"/>
        <v>0</v>
      </c>
      <c r="FP452" s="103"/>
      <c r="FQ452" s="109"/>
      <c r="FR452" s="109"/>
      <c r="FS452" s="71">
        <f t="shared" si="269"/>
        <v>0</v>
      </c>
      <c r="FT452" s="110"/>
      <c r="FU452" s="110"/>
      <c r="FV452" s="67">
        <f>SUM(Tableau1[[#This Row],[Droits d''auteurs SACEM + cotisations SACEM]:[Autres ou non préciés]])</f>
        <v>0</v>
      </c>
      <c r="FW452" s="75">
        <f t="shared" si="270"/>
        <v>0</v>
      </c>
      <c r="FX452" s="111">
        <v>0</v>
      </c>
      <c r="FY452" s="111"/>
      <c r="FZ452" s="111"/>
      <c r="GA452" s="111"/>
      <c r="GB452" s="71">
        <f t="shared" si="271"/>
        <v>0</v>
      </c>
      <c r="GC452" s="112"/>
      <c r="GD452" s="112"/>
      <c r="GE452" s="67">
        <f t="shared" si="272"/>
        <v>0</v>
      </c>
      <c r="GF452" s="113"/>
      <c r="GG452" s="113"/>
      <c r="GH452" s="113"/>
      <c r="GI452" s="113"/>
      <c r="GJ452" s="114"/>
    </row>
    <row r="453" spans="1:192" ht="18.600000000000001" customHeight="1" x14ac:dyDescent="0.25">
      <c r="A453" s="96"/>
      <c r="B453" s="97"/>
      <c r="C453" s="99"/>
      <c r="D453" s="140"/>
      <c r="E453" s="51"/>
      <c r="F453" s="139">
        <f t="shared" si="276"/>
        <v>1</v>
      </c>
      <c r="G453" s="98"/>
      <c r="H453" s="99"/>
      <c r="I453" s="122"/>
      <c r="J453" s="98"/>
      <c r="K453" s="99"/>
      <c r="L453" s="99"/>
      <c r="M453" s="100"/>
      <c r="N453" s="99"/>
      <c r="O453" s="99"/>
      <c r="P453" s="101"/>
      <c r="Q453" s="52">
        <f t="shared" si="242"/>
        <v>0</v>
      </c>
      <c r="R453" s="52">
        <f t="shared" si="243"/>
        <v>0</v>
      </c>
      <c r="S453" s="53">
        <f t="shared" si="244"/>
        <v>0</v>
      </c>
      <c r="T453" s="54">
        <f t="shared" si="245"/>
        <v>0</v>
      </c>
      <c r="U453" s="115">
        <f>SUM(Tableau1[[#This Row],[Vente confiserie]:[Vente boisson]])</f>
        <v>0</v>
      </c>
      <c r="V453" s="102"/>
      <c r="W453" s="102"/>
      <c r="X453" s="136">
        <f>SUM(Tableau1[[#This Row],[Vente lunette]:[Location lunette]])</f>
        <v>0</v>
      </c>
      <c r="Y453" s="102"/>
      <c r="Z453" s="102"/>
      <c r="AA453" s="102"/>
      <c r="AB453" s="102"/>
      <c r="AC453" s="56">
        <f t="shared" si="274"/>
        <v>0</v>
      </c>
      <c r="AD453" s="103"/>
      <c r="AE453" s="103"/>
      <c r="AF453" s="103"/>
      <c r="AG453" s="103"/>
      <c r="AH453" s="103"/>
      <c r="AI453" s="103"/>
      <c r="AJ453" s="118">
        <f>(Tableau1[[#This Row],[Recette guichet ]]*1.1275177)-Tableau1[[#This Row],[Recette guichet ]]</f>
        <v>0</v>
      </c>
      <c r="AK453" s="103"/>
      <c r="AL453" s="56">
        <f t="shared" si="275"/>
        <v>0</v>
      </c>
      <c r="AM453" s="104"/>
      <c r="AN453" s="58"/>
      <c r="AO453" s="104"/>
      <c r="AP453" s="115">
        <f t="shared" si="246"/>
        <v>0</v>
      </c>
      <c r="AQ453" s="105"/>
      <c r="AR453" s="105"/>
      <c r="AS453" s="105"/>
      <c r="AT453" s="105"/>
      <c r="AU453" s="59">
        <f t="shared" si="247"/>
        <v>0</v>
      </c>
      <c r="AV453" s="60">
        <f t="shared" si="248"/>
        <v>0</v>
      </c>
      <c r="AW453" s="104"/>
      <c r="AX453" s="104"/>
      <c r="AY453" s="104"/>
      <c r="AZ453" s="60">
        <f t="shared" si="277"/>
        <v>0</v>
      </c>
      <c r="BA453" s="104"/>
      <c r="BB453" s="104"/>
      <c r="BC453" s="104"/>
      <c r="BD453" s="60">
        <f>SUM(Tableau1[[#This Row],[ticket/carte/abonnement périmé]:[Autres ou non précisé 5]])</f>
        <v>0</v>
      </c>
      <c r="BE453" s="104"/>
      <c r="BF453" s="104"/>
      <c r="BG453" s="104"/>
      <c r="BH453" s="61">
        <f t="shared" si="249"/>
        <v>0</v>
      </c>
      <c r="BI453" s="137"/>
      <c r="BJ453" s="137"/>
      <c r="BK453" s="62">
        <f t="shared" si="250"/>
        <v>0</v>
      </c>
      <c r="BL453" s="137"/>
      <c r="BM453" s="137"/>
      <c r="BN453" s="137"/>
      <c r="BO453" s="137"/>
      <c r="BP453" s="137"/>
      <c r="BQ453" s="106"/>
      <c r="BR453" s="52">
        <f t="shared" si="251"/>
        <v>0</v>
      </c>
      <c r="BS453" s="52">
        <f t="shared" si="252"/>
        <v>0</v>
      </c>
      <c r="BT453" s="61">
        <f t="shared" si="253"/>
        <v>0</v>
      </c>
      <c r="BU453" s="64">
        <f t="shared" si="254"/>
        <v>0</v>
      </c>
      <c r="BV453" s="119">
        <f>SUM(Tableau1[[#This Row],[Achats confiserie]:[Achats boisson]])</f>
        <v>0</v>
      </c>
      <c r="BW453" s="104"/>
      <c r="BX453" s="105"/>
      <c r="BY453" s="104"/>
      <c r="BZ453" s="56">
        <f t="shared" si="255"/>
        <v>0</v>
      </c>
      <c r="CA453" s="210"/>
      <c r="CB453" s="210"/>
      <c r="CC453" s="56">
        <f t="shared" si="256"/>
        <v>0</v>
      </c>
      <c r="CD453" s="93"/>
      <c r="CE453" s="107"/>
      <c r="CF453" s="93"/>
      <c r="CG453" s="93"/>
      <c r="CH453" s="67">
        <f t="shared" si="257"/>
        <v>0</v>
      </c>
      <c r="CI453" s="68">
        <f t="shared" si="273"/>
        <v>0</v>
      </c>
      <c r="CJ453" s="93"/>
      <c r="CK453" s="93"/>
      <c r="CL453" s="93"/>
      <c r="CM453" s="93"/>
      <c r="CN453" s="93"/>
      <c r="CO453" s="68">
        <f t="shared" si="258"/>
        <v>0</v>
      </c>
      <c r="CP453" s="75">
        <f>SUM(Tableau1[[#This Row],[Fourniture eau]:[Energie (non précisé)]])</f>
        <v>0</v>
      </c>
      <c r="CQ453" s="93"/>
      <c r="CR453" s="93"/>
      <c r="CS453" s="93"/>
      <c r="CT453" s="93"/>
      <c r="CU453" s="93"/>
      <c r="CV453" s="93">
        <v>0</v>
      </c>
      <c r="CW453" s="93"/>
      <c r="CX453" s="68">
        <f>SUM(Tableau1[[#This Row],[Sous-traitance]:[Autres ou non précisé 12]])</f>
        <v>0</v>
      </c>
      <c r="CY453" s="107"/>
      <c r="CZ453" s="107"/>
      <c r="DA453" s="107"/>
      <c r="DB453" s="107"/>
      <c r="DC453" s="93"/>
      <c r="DD453" s="68">
        <f t="shared" si="278"/>
        <v>0</v>
      </c>
      <c r="DE453" s="93"/>
      <c r="DF453" s="107"/>
      <c r="DG453" s="107"/>
      <c r="DH453" s="107"/>
      <c r="DI453" s="68">
        <f>SUM(Tableau1[[#This Row],[Entretien et réparation matériel de projection]:[Autres ou non précisé 14]])</f>
        <v>0</v>
      </c>
      <c r="DJ453" s="104"/>
      <c r="DK453" s="104"/>
      <c r="DL453" s="105"/>
      <c r="DM453" s="68">
        <f t="shared" si="259"/>
        <v>0</v>
      </c>
      <c r="DN453" s="104"/>
      <c r="DO453" s="104"/>
      <c r="DP453" s="68">
        <f t="shared" si="260"/>
        <v>0</v>
      </c>
      <c r="DQ453" s="107"/>
      <c r="DR453" s="107"/>
      <c r="DS453" s="68">
        <f t="shared" si="261"/>
        <v>0</v>
      </c>
      <c r="DT453" s="107"/>
      <c r="DU453" s="107"/>
      <c r="DV453" s="107"/>
      <c r="DW453" s="68">
        <f>SUM(Tableau1[[#This Row],[Comission et courtage sur achats]:[Autres ou honoraires
 non précisé ]])</f>
        <v>0</v>
      </c>
      <c r="DX453" s="57"/>
      <c r="DY453" s="57"/>
      <c r="DZ453" s="107"/>
      <c r="EA453" s="107"/>
      <c r="EB453" s="107"/>
      <c r="EC453" s="68">
        <f t="shared" si="262"/>
        <v>0</v>
      </c>
      <c r="ED453" s="105"/>
      <c r="EE453" s="105"/>
      <c r="EF453" s="105"/>
      <c r="EG453" s="105"/>
      <c r="EH453" s="105"/>
      <c r="EI453" s="84">
        <f>SUM(Tableau1[[#This Row],[Transports sur films]:[autres ]])</f>
        <v>0</v>
      </c>
      <c r="EJ453" s="134">
        <v>0</v>
      </c>
      <c r="EK453" s="134"/>
      <c r="EL453" s="68">
        <f t="shared" si="263"/>
        <v>0</v>
      </c>
      <c r="EM453" s="107"/>
      <c r="EN453" s="107">
        <v>0</v>
      </c>
      <c r="EO453" s="107"/>
      <c r="EP453" s="107"/>
      <c r="EQ453" s="107"/>
      <c r="ER453" s="107"/>
      <c r="ES453" s="107"/>
      <c r="ET453" s="68">
        <f t="shared" si="264"/>
        <v>0</v>
      </c>
      <c r="EU453" s="107"/>
      <c r="EV453" s="107"/>
      <c r="EW453" s="107"/>
      <c r="EX453" s="107"/>
      <c r="EY453" s="107"/>
      <c r="EZ453" s="68">
        <f t="shared" si="280"/>
        <v>0</v>
      </c>
      <c r="FA453" s="107"/>
      <c r="FB453" s="107"/>
      <c r="FC453" s="70">
        <f t="shared" si="279"/>
        <v>0</v>
      </c>
      <c r="FD453" s="107"/>
      <c r="FE453" s="71">
        <f t="shared" si="265"/>
        <v>0</v>
      </c>
      <c r="FF453" s="72">
        <f t="shared" si="266"/>
        <v>0</v>
      </c>
      <c r="FG453" s="107"/>
      <c r="FH453" s="107"/>
      <c r="FI453" s="107"/>
      <c r="FJ453" s="56">
        <f t="shared" si="267"/>
        <v>0</v>
      </c>
      <c r="FK453" s="107"/>
      <c r="FL453" s="107"/>
      <c r="FM453" s="107"/>
      <c r="FN453" s="107"/>
      <c r="FO453" s="67">
        <f t="shared" si="268"/>
        <v>0</v>
      </c>
      <c r="FP453" s="103"/>
      <c r="FQ453" s="109"/>
      <c r="FR453" s="109"/>
      <c r="FS453" s="71">
        <f t="shared" si="269"/>
        <v>0</v>
      </c>
      <c r="FT453" s="110"/>
      <c r="FU453" s="110"/>
      <c r="FV453" s="67">
        <f>SUM(Tableau1[[#This Row],[Droits d''auteurs SACEM + cotisations SACEM]:[Autres ou non préciés]])</f>
        <v>0</v>
      </c>
      <c r="FW453" s="75">
        <f t="shared" si="270"/>
        <v>0</v>
      </c>
      <c r="FX453" s="111">
        <v>0</v>
      </c>
      <c r="FY453" s="111"/>
      <c r="FZ453" s="111"/>
      <c r="GA453" s="111"/>
      <c r="GB453" s="71">
        <f t="shared" si="271"/>
        <v>0</v>
      </c>
      <c r="GC453" s="112"/>
      <c r="GD453" s="112"/>
      <c r="GE453" s="67">
        <f t="shared" si="272"/>
        <v>0</v>
      </c>
      <c r="GF453" s="113"/>
      <c r="GG453" s="113"/>
      <c r="GH453" s="113"/>
      <c r="GI453" s="113"/>
      <c r="GJ453" s="114"/>
    </row>
    <row r="454" spans="1:192" ht="18.600000000000001" customHeight="1" x14ac:dyDescent="0.25">
      <c r="A454" s="96"/>
      <c r="B454" s="97"/>
      <c r="C454" s="99"/>
      <c r="D454" s="140"/>
      <c r="E454" s="51"/>
      <c r="F454" s="139">
        <f t="shared" si="276"/>
        <v>1</v>
      </c>
      <c r="G454" s="98"/>
      <c r="H454" s="99"/>
      <c r="I454" s="122"/>
      <c r="J454" s="98"/>
      <c r="K454" s="99"/>
      <c r="L454" s="99"/>
      <c r="M454" s="100"/>
      <c r="N454" s="99"/>
      <c r="O454" s="99"/>
      <c r="P454" s="101"/>
      <c r="Q454" s="52">
        <f t="shared" ref="Q454:Q499" si="281">R454+BH454+BK454</f>
        <v>0</v>
      </c>
      <c r="R454" s="52">
        <f t="shared" ref="R454:R499" si="282">S454+AU454</f>
        <v>0</v>
      </c>
      <c r="S454" s="53">
        <f t="shared" ref="S454:S499" si="283">SUM(T454,AC454,AL454)</f>
        <v>0</v>
      </c>
      <c r="T454" s="54">
        <f t="shared" ref="T454:T499" si="284">SUM(V454:W454,Y454:AB454)</f>
        <v>0</v>
      </c>
      <c r="U454" s="115">
        <f>SUM(Tableau1[[#This Row],[Vente confiserie]:[Vente boisson]])</f>
        <v>0</v>
      </c>
      <c r="V454" s="102"/>
      <c r="W454" s="102"/>
      <c r="X454" s="136">
        <f>SUM(Tableau1[[#This Row],[Vente lunette]:[Location lunette]])</f>
        <v>0</v>
      </c>
      <c r="Y454" s="102"/>
      <c r="Z454" s="102"/>
      <c r="AA454" s="102"/>
      <c r="AB454" s="102"/>
      <c r="AC454" s="56">
        <f t="shared" si="274"/>
        <v>0</v>
      </c>
      <c r="AD454" s="103"/>
      <c r="AE454" s="103"/>
      <c r="AF454" s="103"/>
      <c r="AG454" s="103"/>
      <c r="AH454" s="103"/>
      <c r="AI454" s="103"/>
      <c r="AJ454" s="118">
        <f>(Tableau1[[#This Row],[Recette guichet ]]*1.1275177)-Tableau1[[#This Row],[Recette guichet ]]</f>
        <v>0</v>
      </c>
      <c r="AK454" s="103"/>
      <c r="AL454" s="56">
        <f t="shared" si="275"/>
        <v>0</v>
      </c>
      <c r="AM454" s="104"/>
      <c r="AN454" s="58"/>
      <c r="AO454" s="104"/>
      <c r="AP454" s="115">
        <f t="shared" ref="AP454:AP499" si="285">SUM(AQ454:AS454)</f>
        <v>0</v>
      </c>
      <c r="AQ454" s="105"/>
      <c r="AR454" s="105"/>
      <c r="AS454" s="105"/>
      <c r="AT454" s="105"/>
      <c r="AU454" s="59">
        <f t="shared" ref="AU454:AU499" si="286">SUM(AV454,AZ454,BD454)</f>
        <v>0</v>
      </c>
      <c r="AV454" s="60">
        <f t="shared" ref="AV454:AV499" si="287">SUM(AW454:AY454)</f>
        <v>0</v>
      </c>
      <c r="AW454" s="104"/>
      <c r="AX454" s="104"/>
      <c r="AY454" s="104"/>
      <c r="AZ454" s="60">
        <f t="shared" si="277"/>
        <v>0</v>
      </c>
      <c r="BA454" s="104"/>
      <c r="BB454" s="104"/>
      <c r="BC454" s="104"/>
      <c r="BD454" s="60">
        <f>SUM(Tableau1[[#This Row],[ticket/carte/abonnement périmé]:[Autres ou non précisé 5]])</f>
        <v>0</v>
      </c>
      <c r="BE454" s="104"/>
      <c r="BF454" s="104"/>
      <c r="BG454" s="104"/>
      <c r="BH454" s="61">
        <f t="shared" ref="BH454:BH499" si="288">SUM(BI454:BJ454)</f>
        <v>0</v>
      </c>
      <c r="BI454" s="137"/>
      <c r="BJ454" s="137"/>
      <c r="BK454" s="62">
        <f t="shared" ref="BK454:BK499" si="289">SUM(BL454:BQ454)</f>
        <v>0</v>
      </c>
      <c r="BL454" s="137"/>
      <c r="BM454" s="137"/>
      <c r="BN454" s="137"/>
      <c r="BO454" s="137"/>
      <c r="BP454" s="137"/>
      <c r="BQ454" s="106"/>
      <c r="BR454" s="52">
        <f t="shared" ref="BR454:BR499" si="290">BS454+GB454+GE454+GJ454</f>
        <v>0</v>
      </c>
      <c r="BS454" s="52">
        <f t="shared" ref="BS454:BS499" si="291">BT454+CH454+FE454+FO454+FS454+FV454</f>
        <v>0</v>
      </c>
      <c r="BT454" s="61">
        <f t="shared" ref="BT454:BT499" si="292">SUM(BU454,CC454,BZ454)</f>
        <v>0</v>
      </c>
      <c r="BU454" s="64">
        <f t="shared" ref="BU454:BU499" si="293">SUM(BW454:BY454)</f>
        <v>0</v>
      </c>
      <c r="BV454" s="119">
        <f>SUM(Tableau1[[#This Row],[Achats confiserie]:[Achats boisson]])</f>
        <v>0</v>
      </c>
      <c r="BW454" s="104"/>
      <c r="BX454" s="105"/>
      <c r="BY454" s="104"/>
      <c r="BZ454" s="56">
        <f t="shared" ref="BZ454:BZ499" si="294">SUM(CA454:CB454)</f>
        <v>0</v>
      </c>
      <c r="CA454" s="210"/>
      <c r="CB454" s="210"/>
      <c r="CC454" s="56">
        <f t="shared" ref="CC454:CC499" si="295">SUM(CD454:CG454)</f>
        <v>0</v>
      </c>
      <c r="CD454" s="93"/>
      <c r="CE454" s="107"/>
      <c r="CF454" s="93"/>
      <c r="CG454" s="93"/>
      <c r="CH454" s="67">
        <f t="shared" ref="CH454:CH499" si="296">SUM(CI454,CO454,CX454,DD454,DI454,DM454,DP454,DS454,DW454,EC454,EL454,ET454,EZ454,FC454,EI454)</f>
        <v>0</v>
      </c>
      <c r="CI454" s="68">
        <f t="shared" si="273"/>
        <v>0</v>
      </c>
      <c r="CJ454" s="93"/>
      <c r="CK454" s="93"/>
      <c r="CL454" s="93"/>
      <c r="CM454" s="93"/>
      <c r="CN454" s="93"/>
      <c r="CO454" s="68">
        <f t="shared" ref="CO454:CO499" si="297">SUM(CQ454:CW454)</f>
        <v>0</v>
      </c>
      <c r="CP454" s="75">
        <f>SUM(Tableau1[[#This Row],[Fourniture eau]:[Energie (non précisé)]])</f>
        <v>0</v>
      </c>
      <c r="CQ454" s="93"/>
      <c r="CR454" s="93"/>
      <c r="CS454" s="93"/>
      <c r="CT454" s="93"/>
      <c r="CU454" s="93"/>
      <c r="CV454" s="93">
        <v>0</v>
      </c>
      <c r="CW454" s="93"/>
      <c r="CX454" s="68">
        <f>SUM(Tableau1[[#This Row],[Sous-traitance]:[Autres ou non précisé 12]])</f>
        <v>0</v>
      </c>
      <c r="CY454" s="107"/>
      <c r="CZ454" s="107"/>
      <c r="DA454" s="107"/>
      <c r="DB454" s="107"/>
      <c r="DC454" s="93"/>
      <c r="DD454" s="68">
        <f t="shared" si="278"/>
        <v>0</v>
      </c>
      <c r="DE454" s="93"/>
      <c r="DF454" s="107"/>
      <c r="DG454" s="107"/>
      <c r="DH454" s="107"/>
      <c r="DI454" s="68">
        <f>SUM(Tableau1[[#This Row],[Entretien et réparation matériel de projection]:[Autres ou non précisé 14]])</f>
        <v>0</v>
      </c>
      <c r="DJ454" s="104"/>
      <c r="DK454" s="104"/>
      <c r="DL454" s="105"/>
      <c r="DM454" s="68">
        <f t="shared" ref="DM454:DM499" si="298">SUM(DN454:DO454)</f>
        <v>0</v>
      </c>
      <c r="DN454" s="104"/>
      <c r="DO454" s="104"/>
      <c r="DP454" s="68">
        <f t="shared" ref="DP454:DP499" si="299">SUM(DQ454:DR454)</f>
        <v>0</v>
      </c>
      <c r="DQ454" s="107"/>
      <c r="DR454" s="107"/>
      <c r="DS454" s="68">
        <f t="shared" ref="DS454:DS499" si="300">SUM(DT454:DV454)</f>
        <v>0</v>
      </c>
      <c r="DT454" s="107"/>
      <c r="DU454" s="107"/>
      <c r="DV454" s="107"/>
      <c r="DW454" s="68">
        <f>SUM(Tableau1[[#This Row],[Comission et courtage sur achats]:[Autres ou honoraires
 non précisé ]])</f>
        <v>0</v>
      </c>
      <c r="DX454" s="57"/>
      <c r="DY454" s="57"/>
      <c r="DZ454" s="107"/>
      <c r="EA454" s="107"/>
      <c r="EB454" s="107"/>
      <c r="EC454" s="68">
        <f t="shared" ref="EC454:EC499" si="301">SUM(ED454:EH454)</f>
        <v>0</v>
      </c>
      <c r="ED454" s="105"/>
      <c r="EE454" s="105"/>
      <c r="EF454" s="105"/>
      <c r="EG454" s="105"/>
      <c r="EH454" s="105"/>
      <c r="EI454" s="84">
        <f>SUM(Tableau1[[#This Row],[Transports sur films]:[autres ]])</f>
        <v>0</v>
      </c>
      <c r="EJ454" s="134">
        <v>0</v>
      </c>
      <c r="EK454" s="134"/>
      <c r="EL454" s="68">
        <f t="shared" ref="EL454:EL499" si="302">SUM(EM454:ES454)</f>
        <v>0</v>
      </c>
      <c r="EM454" s="107"/>
      <c r="EN454" s="107">
        <v>0</v>
      </c>
      <c r="EO454" s="107"/>
      <c r="EP454" s="107"/>
      <c r="EQ454" s="107"/>
      <c r="ER454" s="107"/>
      <c r="ES454" s="107"/>
      <c r="ET454" s="68">
        <f t="shared" ref="ET454:ET499" si="303">SUM(EU454:EY454)</f>
        <v>0</v>
      </c>
      <c r="EU454" s="107"/>
      <c r="EV454" s="107"/>
      <c r="EW454" s="107"/>
      <c r="EX454" s="107"/>
      <c r="EY454" s="107"/>
      <c r="EZ454" s="68">
        <f t="shared" si="280"/>
        <v>0</v>
      </c>
      <c r="FA454" s="107"/>
      <c r="FB454" s="107"/>
      <c r="FC454" s="70">
        <f t="shared" si="279"/>
        <v>0</v>
      </c>
      <c r="FD454" s="107"/>
      <c r="FE454" s="71">
        <f t="shared" ref="FE454:FE499" si="304">SUM(FF454,FJ454)</f>
        <v>0</v>
      </c>
      <c r="FF454" s="72">
        <f t="shared" ref="FF454:FF499" si="305">SUM(FG454:FI454)</f>
        <v>0</v>
      </c>
      <c r="FG454" s="107"/>
      <c r="FH454" s="107"/>
      <c r="FI454" s="107"/>
      <c r="FJ454" s="56">
        <f t="shared" ref="FJ454:FJ499" si="306">SUM(FK454:FN454)</f>
        <v>0</v>
      </c>
      <c r="FK454" s="107"/>
      <c r="FL454" s="107"/>
      <c r="FM454" s="107"/>
      <c r="FN454" s="107"/>
      <c r="FO454" s="67">
        <f t="shared" ref="FO454:FO499" si="307">SUM(FP454:FR454)</f>
        <v>0</v>
      </c>
      <c r="FP454" s="103"/>
      <c r="FQ454" s="109"/>
      <c r="FR454" s="109"/>
      <c r="FS454" s="71">
        <f t="shared" ref="FS454:FS499" si="308">SUM(FT454:FU454)</f>
        <v>0</v>
      </c>
      <c r="FT454" s="110"/>
      <c r="FU454" s="110"/>
      <c r="FV454" s="67">
        <f>SUM(Tableau1[[#This Row],[Droits d''auteurs SACEM + cotisations SACEM]:[Autres ou non préciés]])</f>
        <v>0</v>
      </c>
      <c r="FW454" s="75">
        <f t="shared" ref="FW454:FW499" si="309">SUM(FX454:FZ454)</f>
        <v>0</v>
      </c>
      <c r="FX454" s="111">
        <v>0</v>
      </c>
      <c r="FY454" s="111"/>
      <c r="FZ454" s="111"/>
      <c r="GA454" s="111"/>
      <c r="GB454" s="71">
        <f t="shared" ref="GB454:GB499" si="310">SUM(GC454:GD454)</f>
        <v>0</v>
      </c>
      <c r="GC454" s="112"/>
      <c r="GD454" s="112"/>
      <c r="GE454" s="67">
        <f t="shared" ref="GE454:GE499" si="311">SUM(GF454:GI454)</f>
        <v>0</v>
      </c>
      <c r="GF454" s="113"/>
      <c r="GG454" s="113"/>
      <c r="GH454" s="113"/>
      <c r="GI454" s="113"/>
      <c r="GJ454" s="114"/>
    </row>
    <row r="455" spans="1:192" ht="18.600000000000001" customHeight="1" x14ac:dyDescent="0.25">
      <c r="A455" s="96"/>
      <c r="B455" s="97"/>
      <c r="C455" s="99"/>
      <c r="D455" s="140"/>
      <c r="E455" s="51"/>
      <c r="F455" s="139">
        <f t="shared" si="276"/>
        <v>1</v>
      </c>
      <c r="G455" s="98"/>
      <c r="H455" s="99"/>
      <c r="I455" s="122"/>
      <c r="J455" s="98"/>
      <c r="K455" s="99"/>
      <c r="L455" s="99"/>
      <c r="M455" s="100"/>
      <c r="N455" s="99"/>
      <c r="O455" s="99"/>
      <c r="P455" s="101"/>
      <c r="Q455" s="52">
        <f t="shared" si="281"/>
        <v>0</v>
      </c>
      <c r="R455" s="52">
        <f t="shared" si="282"/>
        <v>0</v>
      </c>
      <c r="S455" s="53">
        <f t="shared" si="283"/>
        <v>0</v>
      </c>
      <c r="T455" s="54">
        <f t="shared" si="284"/>
        <v>0</v>
      </c>
      <c r="U455" s="115">
        <f>SUM(Tableau1[[#This Row],[Vente confiserie]:[Vente boisson]])</f>
        <v>0</v>
      </c>
      <c r="V455" s="102"/>
      <c r="W455" s="102"/>
      <c r="X455" s="136">
        <f>SUM(Tableau1[[#This Row],[Vente lunette]:[Location lunette]])</f>
        <v>0</v>
      </c>
      <c r="Y455" s="102"/>
      <c r="Z455" s="102"/>
      <c r="AA455" s="102"/>
      <c r="AB455" s="102"/>
      <c r="AC455" s="56">
        <f t="shared" si="274"/>
        <v>0</v>
      </c>
      <c r="AD455" s="103"/>
      <c r="AE455" s="103"/>
      <c r="AF455" s="103"/>
      <c r="AG455" s="103"/>
      <c r="AH455" s="103"/>
      <c r="AI455" s="103"/>
      <c r="AJ455" s="118">
        <f>(Tableau1[[#This Row],[Recette guichet ]]*1.1275177)-Tableau1[[#This Row],[Recette guichet ]]</f>
        <v>0</v>
      </c>
      <c r="AK455" s="103"/>
      <c r="AL455" s="56">
        <f t="shared" si="275"/>
        <v>0</v>
      </c>
      <c r="AM455" s="104"/>
      <c r="AN455" s="58"/>
      <c r="AO455" s="104"/>
      <c r="AP455" s="115">
        <f t="shared" si="285"/>
        <v>0</v>
      </c>
      <c r="AQ455" s="105"/>
      <c r="AR455" s="105"/>
      <c r="AS455" s="105"/>
      <c r="AT455" s="105"/>
      <c r="AU455" s="59">
        <f t="shared" si="286"/>
        <v>0</v>
      </c>
      <c r="AV455" s="60">
        <f t="shared" si="287"/>
        <v>0</v>
      </c>
      <c r="AW455" s="104"/>
      <c r="AX455" s="104"/>
      <c r="AY455" s="104"/>
      <c r="AZ455" s="60">
        <f t="shared" si="277"/>
        <v>0</v>
      </c>
      <c r="BA455" s="104"/>
      <c r="BB455" s="104"/>
      <c r="BC455" s="104"/>
      <c r="BD455" s="60">
        <f>SUM(Tableau1[[#This Row],[ticket/carte/abonnement périmé]:[Autres ou non précisé 5]])</f>
        <v>0</v>
      </c>
      <c r="BE455" s="104"/>
      <c r="BF455" s="104"/>
      <c r="BG455" s="104"/>
      <c r="BH455" s="61">
        <f t="shared" si="288"/>
        <v>0</v>
      </c>
      <c r="BI455" s="137"/>
      <c r="BJ455" s="137"/>
      <c r="BK455" s="62">
        <f t="shared" si="289"/>
        <v>0</v>
      </c>
      <c r="BL455" s="137"/>
      <c r="BM455" s="137"/>
      <c r="BN455" s="137"/>
      <c r="BO455" s="137"/>
      <c r="BP455" s="137"/>
      <c r="BQ455" s="106"/>
      <c r="BR455" s="52">
        <f t="shared" si="290"/>
        <v>0</v>
      </c>
      <c r="BS455" s="52">
        <f t="shared" si="291"/>
        <v>0</v>
      </c>
      <c r="BT455" s="61">
        <f t="shared" si="292"/>
        <v>0</v>
      </c>
      <c r="BU455" s="64">
        <f t="shared" si="293"/>
        <v>0</v>
      </c>
      <c r="BV455" s="119">
        <f>SUM(Tableau1[[#This Row],[Achats confiserie]:[Achats boisson]])</f>
        <v>0</v>
      </c>
      <c r="BW455" s="104"/>
      <c r="BX455" s="105"/>
      <c r="BY455" s="104"/>
      <c r="BZ455" s="56">
        <f t="shared" si="294"/>
        <v>0</v>
      </c>
      <c r="CA455" s="210"/>
      <c r="CB455" s="210"/>
      <c r="CC455" s="56">
        <f t="shared" si="295"/>
        <v>0</v>
      </c>
      <c r="CD455" s="93"/>
      <c r="CE455" s="107"/>
      <c r="CF455" s="93"/>
      <c r="CG455" s="93"/>
      <c r="CH455" s="67">
        <f t="shared" si="296"/>
        <v>0</v>
      </c>
      <c r="CI455" s="68">
        <f t="shared" si="273"/>
        <v>0</v>
      </c>
      <c r="CJ455" s="93"/>
      <c r="CK455" s="93"/>
      <c r="CL455" s="93"/>
      <c r="CM455" s="93"/>
      <c r="CN455" s="93"/>
      <c r="CO455" s="68">
        <f t="shared" si="297"/>
        <v>0</v>
      </c>
      <c r="CP455" s="75">
        <f>SUM(Tableau1[[#This Row],[Fourniture eau]:[Energie (non précisé)]])</f>
        <v>0</v>
      </c>
      <c r="CQ455" s="93"/>
      <c r="CR455" s="93"/>
      <c r="CS455" s="93"/>
      <c r="CT455" s="93"/>
      <c r="CU455" s="93"/>
      <c r="CV455" s="93">
        <v>0</v>
      </c>
      <c r="CW455" s="93"/>
      <c r="CX455" s="68">
        <f>SUM(Tableau1[[#This Row],[Sous-traitance]:[Autres ou non précisé 12]])</f>
        <v>0</v>
      </c>
      <c r="CY455" s="107"/>
      <c r="CZ455" s="107"/>
      <c r="DA455" s="107"/>
      <c r="DB455" s="107"/>
      <c r="DC455" s="93"/>
      <c r="DD455" s="68">
        <f t="shared" si="278"/>
        <v>0</v>
      </c>
      <c r="DE455" s="93"/>
      <c r="DF455" s="107"/>
      <c r="DG455" s="107"/>
      <c r="DH455" s="107"/>
      <c r="DI455" s="68">
        <f>SUM(Tableau1[[#This Row],[Entretien et réparation matériel de projection]:[Autres ou non précisé 14]])</f>
        <v>0</v>
      </c>
      <c r="DJ455" s="104"/>
      <c r="DK455" s="104"/>
      <c r="DL455" s="105"/>
      <c r="DM455" s="68">
        <f t="shared" si="298"/>
        <v>0</v>
      </c>
      <c r="DN455" s="104"/>
      <c r="DO455" s="104"/>
      <c r="DP455" s="68">
        <f t="shared" si="299"/>
        <v>0</v>
      </c>
      <c r="DQ455" s="107"/>
      <c r="DR455" s="107"/>
      <c r="DS455" s="68">
        <f t="shared" si="300"/>
        <v>0</v>
      </c>
      <c r="DT455" s="107"/>
      <c r="DU455" s="107"/>
      <c r="DV455" s="107"/>
      <c r="DW455" s="68">
        <f>SUM(Tableau1[[#This Row],[Comission et courtage sur achats]:[Autres ou honoraires
 non précisé ]])</f>
        <v>0</v>
      </c>
      <c r="DX455" s="57"/>
      <c r="DY455" s="57"/>
      <c r="DZ455" s="107"/>
      <c r="EA455" s="107"/>
      <c r="EB455" s="107"/>
      <c r="EC455" s="68">
        <f t="shared" si="301"/>
        <v>0</v>
      </c>
      <c r="ED455" s="105"/>
      <c r="EE455" s="105"/>
      <c r="EF455" s="105"/>
      <c r="EG455" s="105"/>
      <c r="EH455" s="105"/>
      <c r="EI455" s="84">
        <f>SUM(Tableau1[[#This Row],[Transports sur films]:[autres ]])</f>
        <v>0</v>
      </c>
      <c r="EJ455" s="134">
        <v>0</v>
      </c>
      <c r="EK455" s="134"/>
      <c r="EL455" s="68">
        <f t="shared" si="302"/>
        <v>0</v>
      </c>
      <c r="EM455" s="107"/>
      <c r="EN455" s="107">
        <v>0</v>
      </c>
      <c r="EO455" s="107"/>
      <c r="EP455" s="107"/>
      <c r="EQ455" s="107"/>
      <c r="ER455" s="107"/>
      <c r="ES455" s="107"/>
      <c r="ET455" s="68">
        <f t="shared" si="303"/>
        <v>0</v>
      </c>
      <c r="EU455" s="107"/>
      <c r="EV455" s="107"/>
      <c r="EW455" s="107"/>
      <c r="EX455" s="107"/>
      <c r="EY455" s="107"/>
      <c r="EZ455" s="68">
        <f t="shared" si="280"/>
        <v>0</v>
      </c>
      <c r="FA455" s="107"/>
      <c r="FB455" s="107"/>
      <c r="FC455" s="70">
        <f t="shared" si="279"/>
        <v>0</v>
      </c>
      <c r="FD455" s="107"/>
      <c r="FE455" s="71">
        <f t="shared" si="304"/>
        <v>0</v>
      </c>
      <c r="FF455" s="72">
        <f t="shared" si="305"/>
        <v>0</v>
      </c>
      <c r="FG455" s="107"/>
      <c r="FH455" s="107"/>
      <c r="FI455" s="107"/>
      <c r="FJ455" s="56">
        <f t="shared" si="306"/>
        <v>0</v>
      </c>
      <c r="FK455" s="107"/>
      <c r="FL455" s="107"/>
      <c r="FM455" s="107"/>
      <c r="FN455" s="107"/>
      <c r="FO455" s="67">
        <f t="shared" si="307"/>
        <v>0</v>
      </c>
      <c r="FP455" s="103"/>
      <c r="FQ455" s="109"/>
      <c r="FR455" s="109"/>
      <c r="FS455" s="71">
        <f t="shared" si="308"/>
        <v>0</v>
      </c>
      <c r="FT455" s="110"/>
      <c r="FU455" s="110"/>
      <c r="FV455" s="67">
        <f>SUM(Tableau1[[#This Row],[Droits d''auteurs SACEM + cotisations SACEM]:[Autres ou non préciés]])</f>
        <v>0</v>
      </c>
      <c r="FW455" s="75">
        <f t="shared" si="309"/>
        <v>0</v>
      </c>
      <c r="FX455" s="111">
        <v>0</v>
      </c>
      <c r="FY455" s="111"/>
      <c r="FZ455" s="111"/>
      <c r="GA455" s="111"/>
      <c r="GB455" s="71">
        <f t="shared" si="310"/>
        <v>0</v>
      </c>
      <c r="GC455" s="112"/>
      <c r="GD455" s="112"/>
      <c r="GE455" s="67">
        <f t="shared" si="311"/>
        <v>0</v>
      </c>
      <c r="GF455" s="113"/>
      <c r="GG455" s="113"/>
      <c r="GH455" s="113"/>
      <c r="GI455" s="113"/>
      <c r="GJ455" s="114"/>
    </row>
    <row r="456" spans="1:192" ht="18.600000000000001" customHeight="1" x14ac:dyDescent="0.25">
      <c r="A456" s="96"/>
      <c r="B456" s="97"/>
      <c r="C456" s="99"/>
      <c r="D456" s="140"/>
      <c r="E456" s="51"/>
      <c r="F456" s="139">
        <f t="shared" si="276"/>
        <v>1</v>
      </c>
      <c r="G456" s="98"/>
      <c r="H456" s="99"/>
      <c r="I456" s="122"/>
      <c r="J456" s="98"/>
      <c r="K456" s="99"/>
      <c r="L456" s="99"/>
      <c r="M456" s="100"/>
      <c r="N456" s="99"/>
      <c r="O456" s="99"/>
      <c r="P456" s="101"/>
      <c r="Q456" s="52">
        <f t="shared" si="281"/>
        <v>0</v>
      </c>
      <c r="R456" s="52">
        <f t="shared" si="282"/>
        <v>0</v>
      </c>
      <c r="S456" s="53">
        <f t="shared" si="283"/>
        <v>0</v>
      </c>
      <c r="T456" s="54">
        <f t="shared" si="284"/>
        <v>0</v>
      </c>
      <c r="U456" s="115">
        <f>SUM(Tableau1[[#This Row],[Vente confiserie]:[Vente boisson]])</f>
        <v>0</v>
      </c>
      <c r="V456" s="102"/>
      <c r="W456" s="102"/>
      <c r="X456" s="136">
        <f>SUM(Tableau1[[#This Row],[Vente lunette]:[Location lunette]])</f>
        <v>0</v>
      </c>
      <c r="Y456" s="102"/>
      <c r="Z456" s="102"/>
      <c r="AA456" s="102"/>
      <c r="AB456" s="102"/>
      <c r="AC456" s="56">
        <f t="shared" si="274"/>
        <v>0</v>
      </c>
      <c r="AD456" s="103"/>
      <c r="AE456" s="103"/>
      <c r="AF456" s="103"/>
      <c r="AG456" s="103"/>
      <c r="AH456" s="103"/>
      <c r="AI456" s="103"/>
      <c r="AJ456" s="118">
        <f>(Tableau1[[#This Row],[Recette guichet ]]*1.1275177)-Tableau1[[#This Row],[Recette guichet ]]</f>
        <v>0</v>
      </c>
      <c r="AK456" s="103"/>
      <c r="AL456" s="56">
        <f t="shared" si="275"/>
        <v>0</v>
      </c>
      <c r="AM456" s="104"/>
      <c r="AN456" s="58"/>
      <c r="AO456" s="104"/>
      <c r="AP456" s="115">
        <f t="shared" si="285"/>
        <v>0</v>
      </c>
      <c r="AQ456" s="105"/>
      <c r="AR456" s="105"/>
      <c r="AS456" s="105"/>
      <c r="AT456" s="105"/>
      <c r="AU456" s="59">
        <f t="shared" si="286"/>
        <v>0</v>
      </c>
      <c r="AV456" s="60">
        <f t="shared" si="287"/>
        <v>0</v>
      </c>
      <c r="AW456" s="104"/>
      <c r="AX456" s="104"/>
      <c r="AY456" s="104"/>
      <c r="AZ456" s="60">
        <f t="shared" si="277"/>
        <v>0</v>
      </c>
      <c r="BA456" s="104"/>
      <c r="BB456" s="104"/>
      <c r="BC456" s="104"/>
      <c r="BD456" s="60">
        <f>SUM(Tableau1[[#This Row],[ticket/carte/abonnement périmé]:[Autres ou non précisé 5]])</f>
        <v>0</v>
      </c>
      <c r="BE456" s="104"/>
      <c r="BF456" s="104"/>
      <c r="BG456" s="104"/>
      <c r="BH456" s="61">
        <f t="shared" si="288"/>
        <v>0</v>
      </c>
      <c r="BI456" s="137"/>
      <c r="BJ456" s="137"/>
      <c r="BK456" s="62">
        <f t="shared" si="289"/>
        <v>0</v>
      </c>
      <c r="BL456" s="137"/>
      <c r="BM456" s="137"/>
      <c r="BN456" s="137"/>
      <c r="BO456" s="137"/>
      <c r="BP456" s="137"/>
      <c r="BQ456" s="106"/>
      <c r="BR456" s="52">
        <f t="shared" si="290"/>
        <v>0</v>
      </c>
      <c r="BS456" s="52">
        <f t="shared" si="291"/>
        <v>0</v>
      </c>
      <c r="BT456" s="61">
        <f t="shared" si="292"/>
        <v>0</v>
      </c>
      <c r="BU456" s="64">
        <f t="shared" si="293"/>
        <v>0</v>
      </c>
      <c r="BV456" s="119">
        <f>SUM(Tableau1[[#This Row],[Achats confiserie]:[Achats boisson]])</f>
        <v>0</v>
      </c>
      <c r="BW456" s="104"/>
      <c r="BX456" s="105"/>
      <c r="BY456" s="104"/>
      <c r="BZ456" s="56">
        <f t="shared" si="294"/>
        <v>0</v>
      </c>
      <c r="CA456" s="210"/>
      <c r="CB456" s="210"/>
      <c r="CC456" s="56">
        <f t="shared" si="295"/>
        <v>0</v>
      </c>
      <c r="CD456" s="93"/>
      <c r="CE456" s="107"/>
      <c r="CF456" s="93"/>
      <c r="CG456" s="93"/>
      <c r="CH456" s="67">
        <f t="shared" si="296"/>
        <v>0</v>
      </c>
      <c r="CI456" s="68">
        <f t="shared" si="273"/>
        <v>0</v>
      </c>
      <c r="CJ456" s="93"/>
      <c r="CK456" s="93"/>
      <c r="CL456" s="93"/>
      <c r="CM456" s="93"/>
      <c r="CN456" s="93"/>
      <c r="CO456" s="68">
        <f t="shared" si="297"/>
        <v>0</v>
      </c>
      <c r="CP456" s="75">
        <f>SUM(Tableau1[[#This Row],[Fourniture eau]:[Energie (non précisé)]])</f>
        <v>0</v>
      </c>
      <c r="CQ456" s="93"/>
      <c r="CR456" s="93"/>
      <c r="CS456" s="93"/>
      <c r="CT456" s="93"/>
      <c r="CU456" s="93"/>
      <c r="CV456" s="93">
        <v>0</v>
      </c>
      <c r="CW456" s="93"/>
      <c r="CX456" s="68">
        <f>SUM(Tableau1[[#This Row],[Sous-traitance]:[Autres ou non précisé 12]])</f>
        <v>0</v>
      </c>
      <c r="CY456" s="107"/>
      <c r="CZ456" s="107"/>
      <c r="DA456" s="107"/>
      <c r="DB456" s="107"/>
      <c r="DC456" s="93"/>
      <c r="DD456" s="68">
        <f t="shared" si="278"/>
        <v>0</v>
      </c>
      <c r="DE456" s="93"/>
      <c r="DF456" s="107"/>
      <c r="DG456" s="107"/>
      <c r="DH456" s="107"/>
      <c r="DI456" s="68">
        <f>SUM(Tableau1[[#This Row],[Entretien et réparation matériel de projection]:[Autres ou non précisé 14]])</f>
        <v>0</v>
      </c>
      <c r="DJ456" s="104"/>
      <c r="DK456" s="104"/>
      <c r="DL456" s="105"/>
      <c r="DM456" s="68">
        <f t="shared" si="298"/>
        <v>0</v>
      </c>
      <c r="DN456" s="104"/>
      <c r="DO456" s="104"/>
      <c r="DP456" s="68">
        <f t="shared" si="299"/>
        <v>0</v>
      </c>
      <c r="DQ456" s="107"/>
      <c r="DR456" s="107"/>
      <c r="DS456" s="68">
        <f t="shared" si="300"/>
        <v>0</v>
      </c>
      <c r="DT456" s="107"/>
      <c r="DU456" s="107"/>
      <c r="DV456" s="107"/>
      <c r="DW456" s="68">
        <f>SUM(Tableau1[[#This Row],[Comission et courtage sur achats]:[Autres ou honoraires
 non précisé ]])</f>
        <v>0</v>
      </c>
      <c r="DX456" s="57"/>
      <c r="DY456" s="57"/>
      <c r="DZ456" s="107"/>
      <c r="EA456" s="107"/>
      <c r="EB456" s="107"/>
      <c r="EC456" s="68">
        <f t="shared" si="301"/>
        <v>0</v>
      </c>
      <c r="ED456" s="105"/>
      <c r="EE456" s="105"/>
      <c r="EF456" s="105"/>
      <c r="EG456" s="105"/>
      <c r="EH456" s="105"/>
      <c r="EI456" s="84">
        <f>SUM(Tableau1[[#This Row],[Transports sur films]:[autres ]])</f>
        <v>0</v>
      </c>
      <c r="EJ456" s="134">
        <v>0</v>
      </c>
      <c r="EK456" s="134"/>
      <c r="EL456" s="68">
        <f t="shared" si="302"/>
        <v>0</v>
      </c>
      <c r="EM456" s="107"/>
      <c r="EN456" s="107">
        <v>0</v>
      </c>
      <c r="EO456" s="107"/>
      <c r="EP456" s="107"/>
      <c r="EQ456" s="107"/>
      <c r="ER456" s="107"/>
      <c r="ES456" s="107"/>
      <c r="ET456" s="68">
        <f t="shared" si="303"/>
        <v>0</v>
      </c>
      <c r="EU456" s="107"/>
      <c r="EV456" s="107"/>
      <c r="EW456" s="107"/>
      <c r="EX456" s="107"/>
      <c r="EY456" s="107"/>
      <c r="EZ456" s="68">
        <f t="shared" si="280"/>
        <v>0</v>
      </c>
      <c r="FA456" s="107"/>
      <c r="FB456" s="107"/>
      <c r="FC456" s="70">
        <f t="shared" si="279"/>
        <v>0</v>
      </c>
      <c r="FD456" s="107"/>
      <c r="FE456" s="71">
        <f t="shared" si="304"/>
        <v>0</v>
      </c>
      <c r="FF456" s="72">
        <f t="shared" si="305"/>
        <v>0</v>
      </c>
      <c r="FG456" s="107"/>
      <c r="FH456" s="107"/>
      <c r="FI456" s="107"/>
      <c r="FJ456" s="56">
        <f t="shared" si="306"/>
        <v>0</v>
      </c>
      <c r="FK456" s="107"/>
      <c r="FL456" s="107"/>
      <c r="FM456" s="107"/>
      <c r="FN456" s="107"/>
      <c r="FO456" s="67">
        <f t="shared" si="307"/>
        <v>0</v>
      </c>
      <c r="FP456" s="103"/>
      <c r="FQ456" s="109"/>
      <c r="FR456" s="109"/>
      <c r="FS456" s="71">
        <f t="shared" si="308"/>
        <v>0</v>
      </c>
      <c r="FT456" s="110"/>
      <c r="FU456" s="110"/>
      <c r="FV456" s="67">
        <f>SUM(Tableau1[[#This Row],[Droits d''auteurs SACEM + cotisations SACEM]:[Autres ou non préciés]])</f>
        <v>0</v>
      </c>
      <c r="FW456" s="75">
        <f t="shared" si="309"/>
        <v>0</v>
      </c>
      <c r="FX456" s="111">
        <v>0</v>
      </c>
      <c r="FY456" s="111"/>
      <c r="FZ456" s="111"/>
      <c r="GA456" s="111"/>
      <c r="GB456" s="71">
        <f t="shared" si="310"/>
        <v>0</v>
      </c>
      <c r="GC456" s="112"/>
      <c r="GD456" s="112"/>
      <c r="GE456" s="67">
        <f t="shared" si="311"/>
        <v>0</v>
      </c>
      <c r="GF456" s="113"/>
      <c r="GG456" s="113"/>
      <c r="GH456" s="113"/>
      <c r="GI456" s="113"/>
      <c r="GJ456" s="114"/>
    </row>
    <row r="457" spans="1:192" ht="18.600000000000001" customHeight="1" x14ac:dyDescent="0.25">
      <c r="A457" s="96"/>
      <c r="B457" s="97"/>
      <c r="C457" s="99"/>
      <c r="D457" s="140"/>
      <c r="E457" s="51"/>
      <c r="F457" s="139">
        <f t="shared" si="276"/>
        <v>1</v>
      </c>
      <c r="G457" s="98"/>
      <c r="H457" s="99"/>
      <c r="I457" s="122"/>
      <c r="J457" s="98"/>
      <c r="K457" s="99"/>
      <c r="L457" s="99"/>
      <c r="M457" s="100"/>
      <c r="N457" s="99"/>
      <c r="O457" s="99"/>
      <c r="P457" s="101"/>
      <c r="Q457" s="52">
        <f t="shared" si="281"/>
        <v>0</v>
      </c>
      <c r="R457" s="52">
        <f t="shared" si="282"/>
        <v>0</v>
      </c>
      <c r="S457" s="53">
        <f t="shared" si="283"/>
        <v>0</v>
      </c>
      <c r="T457" s="54">
        <f t="shared" si="284"/>
        <v>0</v>
      </c>
      <c r="U457" s="115">
        <f>SUM(Tableau1[[#This Row],[Vente confiserie]:[Vente boisson]])</f>
        <v>0</v>
      </c>
      <c r="V457" s="102"/>
      <c r="W457" s="102"/>
      <c r="X457" s="136">
        <f>SUM(Tableau1[[#This Row],[Vente lunette]:[Location lunette]])</f>
        <v>0</v>
      </c>
      <c r="Y457" s="102"/>
      <c r="Z457" s="102"/>
      <c r="AA457" s="102"/>
      <c r="AB457" s="102"/>
      <c r="AC457" s="56">
        <f t="shared" si="274"/>
        <v>0</v>
      </c>
      <c r="AD457" s="103"/>
      <c r="AE457" s="103"/>
      <c r="AF457" s="103"/>
      <c r="AG457" s="103"/>
      <c r="AH457" s="103"/>
      <c r="AI457" s="103"/>
      <c r="AJ457" s="118">
        <f>(Tableau1[[#This Row],[Recette guichet ]]*1.1275177)-Tableau1[[#This Row],[Recette guichet ]]</f>
        <v>0</v>
      </c>
      <c r="AK457" s="103"/>
      <c r="AL457" s="56">
        <f t="shared" si="275"/>
        <v>0</v>
      </c>
      <c r="AM457" s="104"/>
      <c r="AN457" s="58"/>
      <c r="AO457" s="104"/>
      <c r="AP457" s="115">
        <f t="shared" si="285"/>
        <v>0</v>
      </c>
      <c r="AQ457" s="105"/>
      <c r="AR457" s="105"/>
      <c r="AS457" s="105"/>
      <c r="AT457" s="105"/>
      <c r="AU457" s="59">
        <f t="shared" si="286"/>
        <v>0</v>
      </c>
      <c r="AV457" s="60">
        <f t="shared" si="287"/>
        <v>0</v>
      </c>
      <c r="AW457" s="104"/>
      <c r="AX457" s="104"/>
      <c r="AY457" s="104"/>
      <c r="AZ457" s="60">
        <f t="shared" si="277"/>
        <v>0</v>
      </c>
      <c r="BA457" s="104"/>
      <c r="BB457" s="104"/>
      <c r="BC457" s="104"/>
      <c r="BD457" s="60">
        <f>SUM(Tableau1[[#This Row],[ticket/carte/abonnement périmé]:[Autres ou non précisé 5]])</f>
        <v>0</v>
      </c>
      <c r="BE457" s="104"/>
      <c r="BF457" s="104"/>
      <c r="BG457" s="104"/>
      <c r="BH457" s="61">
        <f t="shared" si="288"/>
        <v>0</v>
      </c>
      <c r="BI457" s="137"/>
      <c r="BJ457" s="137"/>
      <c r="BK457" s="62">
        <f t="shared" si="289"/>
        <v>0</v>
      </c>
      <c r="BL457" s="137"/>
      <c r="BM457" s="137"/>
      <c r="BN457" s="137"/>
      <c r="BO457" s="137"/>
      <c r="BP457" s="137"/>
      <c r="BQ457" s="106"/>
      <c r="BR457" s="52">
        <f t="shared" si="290"/>
        <v>0</v>
      </c>
      <c r="BS457" s="52">
        <f t="shared" si="291"/>
        <v>0</v>
      </c>
      <c r="BT457" s="61">
        <f t="shared" si="292"/>
        <v>0</v>
      </c>
      <c r="BU457" s="64">
        <f t="shared" si="293"/>
        <v>0</v>
      </c>
      <c r="BV457" s="119">
        <f>SUM(Tableau1[[#This Row],[Achats confiserie]:[Achats boisson]])</f>
        <v>0</v>
      </c>
      <c r="BW457" s="104"/>
      <c r="BX457" s="105"/>
      <c r="BY457" s="104"/>
      <c r="BZ457" s="56">
        <f t="shared" si="294"/>
        <v>0</v>
      </c>
      <c r="CA457" s="210"/>
      <c r="CB457" s="210"/>
      <c r="CC457" s="56">
        <f t="shared" si="295"/>
        <v>0</v>
      </c>
      <c r="CD457" s="93"/>
      <c r="CE457" s="107"/>
      <c r="CF457" s="93"/>
      <c r="CG457" s="93"/>
      <c r="CH457" s="67">
        <f t="shared" si="296"/>
        <v>0</v>
      </c>
      <c r="CI457" s="68">
        <f t="shared" si="273"/>
        <v>0</v>
      </c>
      <c r="CJ457" s="93"/>
      <c r="CK457" s="93"/>
      <c r="CL457" s="93"/>
      <c r="CM457" s="93"/>
      <c r="CN457" s="93"/>
      <c r="CO457" s="68">
        <f t="shared" si="297"/>
        <v>0</v>
      </c>
      <c r="CP457" s="75">
        <f>SUM(Tableau1[[#This Row],[Fourniture eau]:[Energie (non précisé)]])</f>
        <v>0</v>
      </c>
      <c r="CQ457" s="93"/>
      <c r="CR457" s="93"/>
      <c r="CS457" s="93"/>
      <c r="CT457" s="93"/>
      <c r="CU457" s="93"/>
      <c r="CV457" s="93">
        <v>0</v>
      </c>
      <c r="CW457" s="93"/>
      <c r="CX457" s="68">
        <f>SUM(Tableau1[[#This Row],[Sous-traitance]:[Autres ou non précisé 12]])</f>
        <v>0</v>
      </c>
      <c r="CY457" s="107"/>
      <c r="CZ457" s="107"/>
      <c r="DA457" s="107"/>
      <c r="DB457" s="107"/>
      <c r="DC457" s="93"/>
      <c r="DD457" s="68">
        <f t="shared" si="278"/>
        <v>0</v>
      </c>
      <c r="DE457" s="93"/>
      <c r="DF457" s="107"/>
      <c r="DG457" s="107"/>
      <c r="DH457" s="107"/>
      <c r="DI457" s="68">
        <f>SUM(Tableau1[[#This Row],[Entretien et réparation matériel de projection]:[Autres ou non précisé 14]])</f>
        <v>0</v>
      </c>
      <c r="DJ457" s="104"/>
      <c r="DK457" s="104"/>
      <c r="DL457" s="105"/>
      <c r="DM457" s="68">
        <f t="shared" si="298"/>
        <v>0</v>
      </c>
      <c r="DN457" s="104"/>
      <c r="DO457" s="104"/>
      <c r="DP457" s="68">
        <f t="shared" si="299"/>
        <v>0</v>
      </c>
      <c r="DQ457" s="107"/>
      <c r="DR457" s="107"/>
      <c r="DS457" s="68">
        <f t="shared" si="300"/>
        <v>0</v>
      </c>
      <c r="DT457" s="107"/>
      <c r="DU457" s="107"/>
      <c r="DV457" s="107"/>
      <c r="DW457" s="68">
        <f>SUM(Tableau1[[#This Row],[Comission et courtage sur achats]:[Autres ou honoraires
 non précisé ]])</f>
        <v>0</v>
      </c>
      <c r="DX457" s="57"/>
      <c r="DY457" s="57"/>
      <c r="DZ457" s="107"/>
      <c r="EA457" s="107"/>
      <c r="EB457" s="107"/>
      <c r="EC457" s="68">
        <f t="shared" si="301"/>
        <v>0</v>
      </c>
      <c r="ED457" s="105"/>
      <c r="EE457" s="105"/>
      <c r="EF457" s="105"/>
      <c r="EG457" s="105"/>
      <c r="EH457" s="105"/>
      <c r="EI457" s="84">
        <f>SUM(Tableau1[[#This Row],[Transports sur films]:[autres ]])</f>
        <v>0</v>
      </c>
      <c r="EJ457" s="134">
        <v>0</v>
      </c>
      <c r="EK457" s="134"/>
      <c r="EL457" s="68">
        <f t="shared" si="302"/>
        <v>0</v>
      </c>
      <c r="EM457" s="107"/>
      <c r="EN457" s="107">
        <v>0</v>
      </c>
      <c r="EO457" s="107"/>
      <c r="EP457" s="107"/>
      <c r="EQ457" s="107"/>
      <c r="ER457" s="107"/>
      <c r="ES457" s="107"/>
      <c r="ET457" s="68">
        <f t="shared" si="303"/>
        <v>0</v>
      </c>
      <c r="EU457" s="107"/>
      <c r="EV457" s="107"/>
      <c r="EW457" s="107"/>
      <c r="EX457" s="107"/>
      <c r="EY457" s="107"/>
      <c r="EZ457" s="68">
        <f t="shared" si="280"/>
        <v>0</v>
      </c>
      <c r="FA457" s="107"/>
      <c r="FB457" s="107"/>
      <c r="FC457" s="70">
        <f t="shared" si="279"/>
        <v>0</v>
      </c>
      <c r="FD457" s="107"/>
      <c r="FE457" s="71">
        <f t="shared" si="304"/>
        <v>0</v>
      </c>
      <c r="FF457" s="72">
        <f t="shared" si="305"/>
        <v>0</v>
      </c>
      <c r="FG457" s="107"/>
      <c r="FH457" s="107"/>
      <c r="FI457" s="107"/>
      <c r="FJ457" s="56">
        <f t="shared" si="306"/>
        <v>0</v>
      </c>
      <c r="FK457" s="107"/>
      <c r="FL457" s="107"/>
      <c r="FM457" s="107"/>
      <c r="FN457" s="107"/>
      <c r="FO457" s="67">
        <f t="shared" si="307"/>
        <v>0</v>
      </c>
      <c r="FP457" s="103"/>
      <c r="FQ457" s="109"/>
      <c r="FR457" s="109"/>
      <c r="FS457" s="71">
        <f t="shared" si="308"/>
        <v>0</v>
      </c>
      <c r="FT457" s="110"/>
      <c r="FU457" s="110"/>
      <c r="FV457" s="67">
        <f>SUM(Tableau1[[#This Row],[Droits d''auteurs SACEM + cotisations SACEM]:[Autres ou non préciés]])</f>
        <v>0</v>
      </c>
      <c r="FW457" s="75">
        <f t="shared" si="309"/>
        <v>0</v>
      </c>
      <c r="FX457" s="111">
        <v>0</v>
      </c>
      <c r="FY457" s="111"/>
      <c r="FZ457" s="111"/>
      <c r="GA457" s="111"/>
      <c r="GB457" s="71">
        <f t="shared" si="310"/>
        <v>0</v>
      </c>
      <c r="GC457" s="112"/>
      <c r="GD457" s="112"/>
      <c r="GE457" s="67">
        <f t="shared" si="311"/>
        <v>0</v>
      </c>
      <c r="GF457" s="113"/>
      <c r="GG457" s="113"/>
      <c r="GH457" s="113"/>
      <c r="GI457" s="113"/>
      <c r="GJ457" s="114"/>
    </row>
    <row r="458" spans="1:192" ht="18.600000000000001" customHeight="1" x14ac:dyDescent="0.25">
      <c r="A458" s="96"/>
      <c r="B458" s="97"/>
      <c r="C458" s="99"/>
      <c r="D458" s="140"/>
      <c r="E458" s="51"/>
      <c r="F458" s="139">
        <f t="shared" si="276"/>
        <v>1</v>
      </c>
      <c r="G458" s="98"/>
      <c r="H458" s="99"/>
      <c r="I458" s="122"/>
      <c r="J458" s="98"/>
      <c r="K458" s="99"/>
      <c r="L458" s="99"/>
      <c r="M458" s="100"/>
      <c r="N458" s="99"/>
      <c r="O458" s="99"/>
      <c r="P458" s="101"/>
      <c r="Q458" s="52">
        <f t="shared" si="281"/>
        <v>0</v>
      </c>
      <c r="R458" s="52">
        <f t="shared" si="282"/>
        <v>0</v>
      </c>
      <c r="S458" s="53">
        <f t="shared" si="283"/>
        <v>0</v>
      </c>
      <c r="T458" s="54">
        <f t="shared" si="284"/>
        <v>0</v>
      </c>
      <c r="U458" s="115">
        <f>SUM(Tableau1[[#This Row],[Vente confiserie]:[Vente boisson]])</f>
        <v>0</v>
      </c>
      <c r="V458" s="102"/>
      <c r="W458" s="102"/>
      <c r="X458" s="136">
        <f>SUM(Tableau1[[#This Row],[Vente lunette]:[Location lunette]])</f>
        <v>0</v>
      </c>
      <c r="Y458" s="102"/>
      <c r="Z458" s="102"/>
      <c r="AA458" s="102"/>
      <c r="AB458" s="102"/>
      <c r="AC458" s="56">
        <f t="shared" si="274"/>
        <v>0</v>
      </c>
      <c r="AD458" s="103"/>
      <c r="AE458" s="103"/>
      <c r="AF458" s="103"/>
      <c r="AG458" s="103"/>
      <c r="AH458" s="103"/>
      <c r="AI458" s="103"/>
      <c r="AJ458" s="118">
        <f>(Tableau1[[#This Row],[Recette guichet ]]*1.1275177)-Tableau1[[#This Row],[Recette guichet ]]</f>
        <v>0</v>
      </c>
      <c r="AK458" s="103"/>
      <c r="AL458" s="56">
        <f t="shared" si="275"/>
        <v>0</v>
      </c>
      <c r="AM458" s="104"/>
      <c r="AN458" s="58"/>
      <c r="AO458" s="104"/>
      <c r="AP458" s="115">
        <f t="shared" si="285"/>
        <v>0</v>
      </c>
      <c r="AQ458" s="105"/>
      <c r="AR458" s="105"/>
      <c r="AS458" s="105"/>
      <c r="AT458" s="105"/>
      <c r="AU458" s="59">
        <f t="shared" si="286"/>
        <v>0</v>
      </c>
      <c r="AV458" s="60">
        <f t="shared" si="287"/>
        <v>0</v>
      </c>
      <c r="AW458" s="104"/>
      <c r="AX458" s="104"/>
      <c r="AY458" s="104"/>
      <c r="AZ458" s="60">
        <f t="shared" si="277"/>
        <v>0</v>
      </c>
      <c r="BA458" s="104"/>
      <c r="BB458" s="104"/>
      <c r="BC458" s="104"/>
      <c r="BD458" s="60">
        <f>SUM(Tableau1[[#This Row],[ticket/carte/abonnement périmé]:[Autres ou non précisé 5]])</f>
        <v>0</v>
      </c>
      <c r="BE458" s="104"/>
      <c r="BF458" s="104"/>
      <c r="BG458" s="104"/>
      <c r="BH458" s="61">
        <f t="shared" si="288"/>
        <v>0</v>
      </c>
      <c r="BI458" s="137"/>
      <c r="BJ458" s="137"/>
      <c r="BK458" s="62">
        <f t="shared" si="289"/>
        <v>0</v>
      </c>
      <c r="BL458" s="137"/>
      <c r="BM458" s="137"/>
      <c r="BN458" s="137"/>
      <c r="BO458" s="137"/>
      <c r="BP458" s="137"/>
      <c r="BQ458" s="106"/>
      <c r="BR458" s="52">
        <f t="shared" si="290"/>
        <v>0</v>
      </c>
      <c r="BS458" s="52">
        <f t="shared" si="291"/>
        <v>0</v>
      </c>
      <c r="BT458" s="61">
        <f t="shared" si="292"/>
        <v>0</v>
      </c>
      <c r="BU458" s="64">
        <f t="shared" si="293"/>
        <v>0</v>
      </c>
      <c r="BV458" s="119">
        <f>SUM(Tableau1[[#This Row],[Achats confiserie]:[Achats boisson]])</f>
        <v>0</v>
      </c>
      <c r="BW458" s="104"/>
      <c r="BX458" s="105"/>
      <c r="BY458" s="104"/>
      <c r="BZ458" s="56">
        <f t="shared" si="294"/>
        <v>0</v>
      </c>
      <c r="CA458" s="210"/>
      <c r="CB458" s="210"/>
      <c r="CC458" s="56">
        <f t="shared" si="295"/>
        <v>0</v>
      </c>
      <c r="CD458" s="93"/>
      <c r="CE458" s="107"/>
      <c r="CF458" s="93"/>
      <c r="CG458" s="93"/>
      <c r="CH458" s="67">
        <f t="shared" si="296"/>
        <v>0</v>
      </c>
      <c r="CI458" s="68">
        <f t="shared" si="273"/>
        <v>0</v>
      </c>
      <c r="CJ458" s="93"/>
      <c r="CK458" s="93"/>
      <c r="CL458" s="93"/>
      <c r="CM458" s="93"/>
      <c r="CN458" s="93"/>
      <c r="CO458" s="68">
        <f t="shared" si="297"/>
        <v>0</v>
      </c>
      <c r="CP458" s="75">
        <f>SUM(Tableau1[[#This Row],[Fourniture eau]:[Energie (non précisé)]])</f>
        <v>0</v>
      </c>
      <c r="CQ458" s="93"/>
      <c r="CR458" s="93"/>
      <c r="CS458" s="93"/>
      <c r="CT458" s="93"/>
      <c r="CU458" s="93"/>
      <c r="CV458" s="93">
        <v>0</v>
      </c>
      <c r="CW458" s="93"/>
      <c r="CX458" s="68">
        <f>SUM(Tableau1[[#This Row],[Sous-traitance]:[Autres ou non précisé 12]])</f>
        <v>0</v>
      </c>
      <c r="CY458" s="107"/>
      <c r="CZ458" s="107"/>
      <c r="DA458" s="107"/>
      <c r="DB458" s="107"/>
      <c r="DC458" s="93"/>
      <c r="DD458" s="68">
        <f t="shared" si="278"/>
        <v>0</v>
      </c>
      <c r="DE458" s="93"/>
      <c r="DF458" s="107"/>
      <c r="DG458" s="107"/>
      <c r="DH458" s="107"/>
      <c r="DI458" s="68">
        <f>SUM(Tableau1[[#This Row],[Entretien et réparation matériel de projection]:[Autres ou non précisé 14]])</f>
        <v>0</v>
      </c>
      <c r="DJ458" s="104"/>
      <c r="DK458" s="104"/>
      <c r="DL458" s="105"/>
      <c r="DM458" s="68">
        <f t="shared" si="298"/>
        <v>0</v>
      </c>
      <c r="DN458" s="104"/>
      <c r="DO458" s="104"/>
      <c r="DP458" s="68">
        <f t="shared" si="299"/>
        <v>0</v>
      </c>
      <c r="DQ458" s="107"/>
      <c r="DR458" s="107"/>
      <c r="DS458" s="68">
        <f t="shared" si="300"/>
        <v>0</v>
      </c>
      <c r="DT458" s="107"/>
      <c r="DU458" s="107"/>
      <c r="DV458" s="107"/>
      <c r="DW458" s="68">
        <f>SUM(Tableau1[[#This Row],[Comission et courtage sur achats]:[Autres ou honoraires
 non précisé ]])</f>
        <v>0</v>
      </c>
      <c r="DX458" s="57"/>
      <c r="DY458" s="57"/>
      <c r="DZ458" s="107"/>
      <c r="EA458" s="107"/>
      <c r="EB458" s="107"/>
      <c r="EC458" s="68">
        <f t="shared" si="301"/>
        <v>0</v>
      </c>
      <c r="ED458" s="105"/>
      <c r="EE458" s="105"/>
      <c r="EF458" s="105"/>
      <c r="EG458" s="105"/>
      <c r="EH458" s="105"/>
      <c r="EI458" s="84">
        <f>SUM(Tableau1[[#This Row],[Transports sur films]:[autres ]])</f>
        <v>0</v>
      </c>
      <c r="EJ458" s="134">
        <v>0</v>
      </c>
      <c r="EK458" s="134"/>
      <c r="EL458" s="68">
        <f t="shared" si="302"/>
        <v>0</v>
      </c>
      <c r="EM458" s="107"/>
      <c r="EN458" s="107">
        <v>0</v>
      </c>
      <c r="EO458" s="107"/>
      <c r="EP458" s="107"/>
      <c r="EQ458" s="107"/>
      <c r="ER458" s="107"/>
      <c r="ES458" s="107"/>
      <c r="ET458" s="68">
        <f t="shared" si="303"/>
        <v>0</v>
      </c>
      <c r="EU458" s="107"/>
      <c r="EV458" s="107"/>
      <c r="EW458" s="107"/>
      <c r="EX458" s="107"/>
      <c r="EY458" s="107"/>
      <c r="EZ458" s="68">
        <f t="shared" si="280"/>
        <v>0</v>
      </c>
      <c r="FA458" s="107"/>
      <c r="FB458" s="107"/>
      <c r="FC458" s="70">
        <f t="shared" si="279"/>
        <v>0</v>
      </c>
      <c r="FD458" s="107"/>
      <c r="FE458" s="71">
        <f t="shared" si="304"/>
        <v>0</v>
      </c>
      <c r="FF458" s="72">
        <f t="shared" si="305"/>
        <v>0</v>
      </c>
      <c r="FG458" s="107"/>
      <c r="FH458" s="107"/>
      <c r="FI458" s="107"/>
      <c r="FJ458" s="56">
        <f t="shared" si="306"/>
        <v>0</v>
      </c>
      <c r="FK458" s="107"/>
      <c r="FL458" s="107"/>
      <c r="FM458" s="107"/>
      <c r="FN458" s="107"/>
      <c r="FO458" s="67">
        <f t="shared" si="307"/>
        <v>0</v>
      </c>
      <c r="FP458" s="103"/>
      <c r="FQ458" s="109"/>
      <c r="FR458" s="109"/>
      <c r="FS458" s="71">
        <f t="shared" si="308"/>
        <v>0</v>
      </c>
      <c r="FT458" s="110"/>
      <c r="FU458" s="110"/>
      <c r="FV458" s="67">
        <f>SUM(Tableau1[[#This Row],[Droits d''auteurs SACEM + cotisations SACEM]:[Autres ou non préciés]])</f>
        <v>0</v>
      </c>
      <c r="FW458" s="75">
        <f t="shared" si="309"/>
        <v>0</v>
      </c>
      <c r="FX458" s="111">
        <v>0</v>
      </c>
      <c r="FY458" s="111"/>
      <c r="FZ458" s="111"/>
      <c r="GA458" s="111"/>
      <c r="GB458" s="71">
        <f t="shared" si="310"/>
        <v>0</v>
      </c>
      <c r="GC458" s="112"/>
      <c r="GD458" s="112"/>
      <c r="GE458" s="67">
        <f t="shared" si="311"/>
        <v>0</v>
      </c>
      <c r="GF458" s="113"/>
      <c r="GG458" s="113"/>
      <c r="GH458" s="113"/>
      <c r="GI458" s="113"/>
      <c r="GJ458" s="114"/>
    </row>
    <row r="459" spans="1:192" ht="18.600000000000001" customHeight="1" x14ac:dyDescent="0.25">
      <c r="A459" s="96"/>
      <c r="B459" s="97"/>
      <c r="C459" s="99"/>
      <c r="D459" s="140"/>
      <c r="E459" s="51"/>
      <c r="F459" s="139">
        <f t="shared" si="276"/>
        <v>1</v>
      </c>
      <c r="G459" s="98"/>
      <c r="H459" s="99"/>
      <c r="I459" s="122"/>
      <c r="J459" s="98"/>
      <c r="K459" s="99"/>
      <c r="L459" s="99"/>
      <c r="M459" s="100"/>
      <c r="N459" s="99"/>
      <c r="O459" s="99"/>
      <c r="P459" s="101"/>
      <c r="Q459" s="52">
        <f t="shared" si="281"/>
        <v>0</v>
      </c>
      <c r="R459" s="52">
        <f t="shared" si="282"/>
        <v>0</v>
      </c>
      <c r="S459" s="53">
        <f t="shared" si="283"/>
        <v>0</v>
      </c>
      <c r="T459" s="54">
        <f t="shared" si="284"/>
        <v>0</v>
      </c>
      <c r="U459" s="115">
        <f>SUM(Tableau1[[#This Row],[Vente confiserie]:[Vente boisson]])</f>
        <v>0</v>
      </c>
      <c r="V459" s="102"/>
      <c r="W459" s="102"/>
      <c r="X459" s="136">
        <f>SUM(Tableau1[[#This Row],[Vente lunette]:[Location lunette]])</f>
        <v>0</v>
      </c>
      <c r="Y459" s="102"/>
      <c r="Z459" s="102"/>
      <c r="AA459" s="102"/>
      <c r="AB459" s="102"/>
      <c r="AC459" s="56">
        <f t="shared" si="274"/>
        <v>0</v>
      </c>
      <c r="AD459" s="103"/>
      <c r="AE459" s="103"/>
      <c r="AF459" s="103"/>
      <c r="AG459" s="103"/>
      <c r="AH459" s="103"/>
      <c r="AI459" s="103"/>
      <c r="AJ459" s="118">
        <f>(Tableau1[[#This Row],[Recette guichet ]]*1.1275177)-Tableau1[[#This Row],[Recette guichet ]]</f>
        <v>0</v>
      </c>
      <c r="AK459" s="103"/>
      <c r="AL459" s="56">
        <f t="shared" si="275"/>
        <v>0</v>
      </c>
      <c r="AM459" s="104"/>
      <c r="AN459" s="58"/>
      <c r="AO459" s="104"/>
      <c r="AP459" s="115">
        <f t="shared" si="285"/>
        <v>0</v>
      </c>
      <c r="AQ459" s="105"/>
      <c r="AR459" s="105"/>
      <c r="AS459" s="105"/>
      <c r="AT459" s="105"/>
      <c r="AU459" s="59">
        <f t="shared" si="286"/>
        <v>0</v>
      </c>
      <c r="AV459" s="60">
        <f t="shared" si="287"/>
        <v>0</v>
      </c>
      <c r="AW459" s="104"/>
      <c r="AX459" s="104"/>
      <c r="AY459" s="104"/>
      <c r="AZ459" s="60">
        <f t="shared" si="277"/>
        <v>0</v>
      </c>
      <c r="BA459" s="104"/>
      <c r="BB459" s="104"/>
      <c r="BC459" s="104"/>
      <c r="BD459" s="60">
        <f>SUM(Tableau1[[#This Row],[ticket/carte/abonnement périmé]:[Autres ou non précisé 5]])</f>
        <v>0</v>
      </c>
      <c r="BE459" s="104"/>
      <c r="BF459" s="104"/>
      <c r="BG459" s="104"/>
      <c r="BH459" s="61">
        <f t="shared" si="288"/>
        <v>0</v>
      </c>
      <c r="BI459" s="137"/>
      <c r="BJ459" s="137"/>
      <c r="BK459" s="62">
        <f t="shared" si="289"/>
        <v>0</v>
      </c>
      <c r="BL459" s="137"/>
      <c r="BM459" s="137"/>
      <c r="BN459" s="137"/>
      <c r="BO459" s="137"/>
      <c r="BP459" s="137"/>
      <c r="BQ459" s="106"/>
      <c r="BR459" s="52">
        <f t="shared" si="290"/>
        <v>0</v>
      </c>
      <c r="BS459" s="52">
        <f t="shared" si="291"/>
        <v>0</v>
      </c>
      <c r="BT459" s="61">
        <f t="shared" si="292"/>
        <v>0</v>
      </c>
      <c r="BU459" s="64">
        <f t="shared" si="293"/>
        <v>0</v>
      </c>
      <c r="BV459" s="119">
        <f>SUM(Tableau1[[#This Row],[Achats confiserie]:[Achats boisson]])</f>
        <v>0</v>
      </c>
      <c r="BW459" s="104"/>
      <c r="BX459" s="105"/>
      <c r="BY459" s="104"/>
      <c r="BZ459" s="56">
        <f t="shared" si="294"/>
        <v>0</v>
      </c>
      <c r="CA459" s="210"/>
      <c r="CB459" s="210"/>
      <c r="CC459" s="56">
        <f t="shared" si="295"/>
        <v>0</v>
      </c>
      <c r="CD459" s="93"/>
      <c r="CE459" s="107"/>
      <c r="CF459" s="93"/>
      <c r="CG459" s="93"/>
      <c r="CH459" s="67">
        <f t="shared" si="296"/>
        <v>0</v>
      </c>
      <c r="CI459" s="68">
        <f t="shared" si="273"/>
        <v>0</v>
      </c>
      <c r="CJ459" s="93"/>
      <c r="CK459" s="93"/>
      <c r="CL459" s="93"/>
      <c r="CM459" s="93"/>
      <c r="CN459" s="93"/>
      <c r="CO459" s="68">
        <f t="shared" si="297"/>
        <v>0</v>
      </c>
      <c r="CP459" s="75">
        <f>SUM(Tableau1[[#This Row],[Fourniture eau]:[Energie (non précisé)]])</f>
        <v>0</v>
      </c>
      <c r="CQ459" s="93"/>
      <c r="CR459" s="93"/>
      <c r="CS459" s="93"/>
      <c r="CT459" s="93"/>
      <c r="CU459" s="93"/>
      <c r="CV459" s="93">
        <v>0</v>
      </c>
      <c r="CW459" s="93"/>
      <c r="CX459" s="68">
        <f>SUM(Tableau1[[#This Row],[Sous-traitance]:[Autres ou non précisé 12]])</f>
        <v>0</v>
      </c>
      <c r="CY459" s="107"/>
      <c r="CZ459" s="107"/>
      <c r="DA459" s="107"/>
      <c r="DB459" s="107"/>
      <c r="DC459" s="93"/>
      <c r="DD459" s="68">
        <f t="shared" si="278"/>
        <v>0</v>
      </c>
      <c r="DE459" s="93"/>
      <c r="DF459" s="107"/>
      <c r="DG459" s="107"/>
      <c r="DH459" s="107"/>
      <c r="DI459" s="68">
        <f>SUM(Tableau1[[#This Row],[Entretien et réparation matériel de projection]:[Autres ou non précisé 14]])</f>
        <v>0</v>
      </c>
      <c r="DJ459" s="104"/>
      <c r="DK459" s="104"/>
      <c r="DL459" s="105"/>
      <c r="DM459" s="68">
        <f t="shared" si="298"/>
        <v>0</v>
      </c>
      <c r="DN459" s="104"/>
      <c r="DO459" s="104"/>
      <c r="DP459" s="68">
        <f t="shared" si="299"/>
        <v>0</v>
      </c>
      <c r="DQ459" s="107"/>
      <c r="DR459" s="107"/>
      <c r="DS459" s="68">
        <f t="shared" si="300"/>
        <v>0</v>
      </c>
      <c r="DT459" s="107"/>
      <c r="DU459" s="107"/>
      <c r="DV459" s="107"/>
      <c r="DW459" s="68">
        <f>SUM(Tableau1[[#This Row],[Comission et courtage sur achats]:[Autres ou honoraires
 non précisé ]])</f>
        <v>0</v>
      </c>
      <c r="DX459" s="57"/>
      <c r="DY459" s="57"/>
      <c r="DZ459" s="107"/>
      <c r="EA459" s="107"/>
      <c r="EB459" s="107"/>
      <c r="EC459" s="68">
        <f t="shared" si="301"/>
        <v>0</v>
      </c>
      <c r="ED459" s="105"/>
      <c r="EE459" s="105"/>
      <c r="EF459" s="105"/>
      <c r="EG459" s="105"/>
      <c r="EH459" s="105"/>
      <c r="EI459" s="84">
        <f>SUM(Tableau1[[#This Row],[Transports sur films]:[autres ]])</f>
        <v>0</v>
      </c>
      <c r="EJ459" s="134">
        <v>0</v>
      </c>
      <c r="EK459" s="134"/>
      <c r="EL459" s="68">
        <f t="shared" si="302"/>
        <v>0</v>
      </c>
      <c r="EM459" s="107"/>
      <c r="EN459" s="107">
        <v>0</v>
      </c>
      <c r="EO459" s="107"/>
      <c r="EP459" s="107"/>
      <c r="EQ459" s="107"/>
      <c r="ER459" s="107"/>
      <c r="ES459" s="107"/>
      <c r="ET459" s="68">
        <f t="shared" si="303"/>
        <v>0</v>
      </c>
      <c r="EU459" s="107"/>
      <c r="EV459" s="107"/>
      <c r="EW459" s="107"/>
      <c r="EX459" s="107"/>
      <c r="EY459" s="107"/>
      <c r="EZ459" s="68">
        <f t="shared" si="280"/>
        <v>0</v>
      </c>
      <c r="FA459" s="107"/>
      <c r="FB459" s="107"/>
      <c r="FC459" s="70">
        <f t="shared" si="279"/>
        <v>0</v>
      </c>
      <c r="FD459" s="107"/>
      <c r="FE459" s="71">
        <f t="shared" si="304"/>
        <v>0</v>
      </c>
      <c r="FF459" s="72">
        <f t="shared" si="305"/>
        <v>0</v>
      </c>
      <c r="FG459" s="107"/>
      <c r="FH459" s="107"/>
      <c r="FI459" s="107"/>
      <c r="FJ459" s="56">
        <f t="shared" si="306"/>
        <v>0</v>
      </c>
      <c r="FK459" s="107"/>
      <c r="FL459" s="107"/>
      <c r="FM459" s="107"/>
      <c r="FN459" s="107"/>
      <c r="FO459" s="67">
        <f t="shared" si="307"/>
        <v>0</v>
      </c>
      <c r="FP459" s="103"/>
      <c r="FQ459" s="109"/>
      <c r="FR459" s="109"/>
      <c r="FS459" s="71">
        <f t="shared" si="308"/>
        <v>0</v>
      </c>
      <c r="FT459" s="110"/>
      <c r="FU459" s="110"/>
      <c r="FV459" s="67">
        <f>SUM(Tableau1[[#This Row],[Droits d''auteurs SACEM + cotisations SACEM]:[Autres ou non préciés]])</f>
        <v>0</v>
      </c>
      <c r="FW459" s="75">
        <f t="shared" si="309"/>
        <v>0</v>
      </c>
      <c r="FX459" s="111">
        <v>0</v>
      </c>
      <c r="FY459" s="111"/>
      <c r="FZ459" s="111"/>
      <c r="GA459" s="111"/>
      <c r="GB459" s="71">
        <f t="shared" si="310"/>
        <v>0</v>
      </c>
      <c r="GC459" s="112"/>
      <c r="GD459" s="112"/>
      <c r="GE459" s="67">
        <f t="shared" si="311"/>
        <v>0</v>
      </c>
      <c r="GF459" s="113"/>
      <c r="GG459" s="113"/>
      <c r="GH459" s="113"/>
      <c r="GI459" s="113"/>
      <c r="GJ459" s="114"/>
    </row>
    <row r="460" spans="1:192" ht="18.600000000000001" customHeight="1" x14ac:dyDescent="0.25">
      <c r="A460" s="96"/>
      <c r="B460" s="97"/>
      <c r="C460" s="99"/>
      <c r="D460" s="140"/>
      <c r="E460" s="51"/>
      <c r="F460" s="139">
        <f t="shared" si="276"/>
        <v>1</v>
      </c>
      <c r="G460" s="98"/>
      <c r="H460" s="99"/>
      <c r="I460" s="122"/>
      <c r="J460" s="98"/>
      <c r="K460" s="99"/>
      <c r="L460" s="99"/>
      <c r="M460" s="100"/>
      <c r="N460" s="99"/>
      <c r="O460" s="99"/>
      <c r="P460" s="101"/>
      <c r="Q460" s="52">
        <f t="shared" si="281"/>
        <v>0</v>
      </c>
      <c r="R460" s="52">
        <f t="shared" si="282"/>
        <v>0</v>
      </c>
      <c r="S460" s="53">
        <f t="shared" si="283"/>
        <v>0</v>
      </c>
      <c r="T460" s="54">
        <f t="shared" si="284"/>
        <v>0</v>
      </c>
      <c r="U460" s="115">
        <f>SUM(Tableau1[[#This Row],[Vente confiserie]:[Vente boisson]])</f>
        <v>0</v>
      </c>
      <c r="V460" s="102"/>
      <c r="W460" s="102"/>
      <c r="X460" s="136">
        <f>SUM(Tableau1[[#This Row],[Vente lunette]:[Location lunette]])</f>
        <v>0</v>
      </c>
      <c r="Y460" s="102"/>
      <c r="Z460" s="102"/>
      <c r="AA460" s="102"/>
      <c r="AB460" s="102"/>
      <c r="AC460" s="56">
        <f t="shared" si="274"/>
        <v>0</v>
      </c>
      <c r="AD460" s="103"/>
      <c r="AE460" s="103"/>
      <c r="AF460" s="103"/>
      <c r="AG460" s="103"/>
      <c r="AH460" s="103"/>
      <c r="AI460" s="103"/>
      <c r="AJ460" s="118">
        <f>(Tableau1[[#This Row],[Recette guichet ]]*1.1275177)-Tableau1[[#This Row],[Recette guichet ]]</f>
        <v>0</v>
      </c>
      <c r="AK460" s="103"/>
      <c r="AL460" s="56">
        <f t="shared" si="275"/>
        <v>0</v>
      </c>
      <c r="AM460" s="104"/>
      <c r="AN460" s="58"/>
      <c r="AO460" s="104"/>
      <c r="AP460" s="115">
        <f t="shared" si="285"/>
        <v>0</v>
      </c>
      <c r="AQ460" s="105"/>
      <c r="AR460" s="105"/>
      <c r="AS460" s="105"/>
      <c r="AT460" s="105"/>
      <c r="AU460" s="59">
        <f t="shared" si="286"/>
        <v>0</v>
      </c>
      <c r="AV460" s="60">
        <f t="shared" si="287"/>
        <v>0</v>
      </c>
      <c r="AW460" s="104"/>
      <c r="AX460" s="104"/>
      <c r="AY460" s="104"/>
      <c r="AZ460" s="60">
        <f t="shared" si="277"/>
        <v>0</v>
      </c>
      <c r="BA460" s="104"/>
      <c r="BB460" s="104"/>
      <c r="BC460" s="104"/>
      <c r="BD460" s="60">
        <f>SUM(Tableau1[[#This Row],[ticket/carte/abonnement périmé]:[Autres ou non précisé 5]])</f>
        <v>0</v>
      </c>
      <c r="BE460" s="104"/>
      <c r="BF460" s="104"/>
      <c r="BG460" s="104"/>
      <c r="BH460" s="61">
        <f t="shared" si="288"/>
        <v>0</v>
      </c>
      <c r="BI460" s="137"/>
      <c r="BJ460" s="137"/>
      <c r="BK460" s="62">
        <f t="shared" si="289"/>
        <v>0</v>
      </c>
      <c r="BL460" s="137"/>
      <c r="BM460" s="137"/>
      <c r="BN460" s="137"/>
      <c r="BO460" s="137"/>
      <c r="BP460" s="137"/>
      <c r="BQ460" s="106"/>
      <c r="BR460" s="52">
        <f t="shared" si="290"/>
        <v>0</v>
      </c>
      <c r="BS460" s="52">
        <f t="shared" si="291"/>
        <v>0</v>
      </c>
      <c r="BT460" s="61">
        <f t="shared" si="292"/>
        <v>0</v>
      </c>
      <c r="BU460" s="64">
        <f t="shared" si="293"/>
        <v>0</v>
      </c>
      <c r="BV460" s="119">
        <f>SUM(Tableau1[[#This Row],[Achats confiserie]:[Achats boisson]])</f>
        <v>0</v>
      </c>
      <c r="BW460" s="104"/>
      <c r="BX460" s="105"/>
      <c r="BY460" s="104"/>
      <c r="BZ460" s="56">
        <f t="shared" si="294"/>
        <v>0</v>
      </c>
      <c r="CA460" s="210"/>
      <c r="CB460" s="210"/>
      <c r="CC460" s="56">
        <f t="shared" si="295"/>
        <v>0</v>
      </c>
      <c r="CD460" s="93"/>
      <c r="CE460" s="107"/>
      <c r="CF460" s="93"/>
      <c r="CG460" s="93"/>
      <c r="CH460" s="67">
        <f t="shared" si="296"/>
        <v>0</v>
      </c>
      <c r="CI460" s="68">
        <f t="shared" si="273"/>
        <v>0</v>
      </c>
      <c r="CJ460" s="93"/>
      <c r="CK460" s="93"/>
      <c r="CL460" s="93"/>
      <c r="CM460" s="93"/>
      <c r="CN460" s="93"/>
      <c r="CO460" s="68">
        <f t="shared" si="297"/>
        <v>0</v>
      </c>
      <c r="CP460" s="75">
        <f>SUM(Tableau1[[#This Row],[Fourniture eau]:[Energie (non précisé)]])</f>
        <v>0</v>
      </c>
      <c r="CQ460" s="93"/>
      <c r="CR460" s="93"/>
      <c r="CS460" s="93"/>
      <c r="CT460" s="93"/>
      <c r="CU460" s="93"/>
      <c r="CV460" s="93">
        <v>0</v>
      </c>
      <c r="CW460" s="93"/>
      <c r="CX460" s="68">
        <f>SUM(Tableau1[[#This Row],[Sous-traitance]:[Autres ou non précisé 12]])</f>
        <v>0</v>
      </c>
      <c r="CY460" s="107"/>
      <c r="CZ460" s="107"/>
      <c r="DA460" s="107"/>
      <c r="DB460" s="107"/>
      <c r="DC460" s="93"/>
      <c r="DD460" s="68">
        <f t="shared" si="278"/>
        <v>0</v>
      </c>
      <c r="DE460" s="93"/>
      <c r="DF460" s="107"/>
      <c r="DG460" s="107"/>
      <c r="DH460" s="107"/>
      <c r="DI460" s="68">
        <f>SUM(Tableau1[[#This Row],[Entretien et réparation matériel de projection]:[Autres ou non précisé 14]])</f>
        <v>0</v>
      </c>
      <c r="DJ460" s="104"/>
      <c r="DK460" s="104"/>
      <c r="DL460" s="105"/>
      <c r="DM460" s="68">
        <f t="shared" si="298"/>
        <v>0</v>
      </c>
      <c r="DN460" s="104"/>
      <c r="DO460" s="104"/>
      <c r="DP460" s="68">
        <f t="shared" si="299"/>
        <v>0</v>
      </c>
      <c r="DQ460" s="107"/>
      <c r="DR460" s="107"/>
      <c r="DS460" s="68">
        <f t="shared" si="300"/>
        <v>0</v>
      </c>
      <c r="DT460" s="107"/>
      <c r="DU460" s="107"/>
      <c r="DV460" s="107"/>
      <c r="DW460" s="68">
        <f>SUM(Tableau1[[#This Row],[Comission et courtage sur achats]:[Autres ou honoraires
 non précisé ]])</f>
        <v>0</v>
      </c>
      <c r="DX460" s="57"/>
      <c r="DY460" s="57"/>
      <c r="DZ460" s="107"/>
      <c r="EA460" s="107"/>
      <c r="EB460" s="107"/>
      <c r="EC460" s="68">
        <f t="shared" si="301"/>
        <v>0</v>
      </c>
      <c r="ED460" s="105"/>
      <c r="EE460" s="105"/>
      <c r="EF460" s="105"/>
      <c r="EG460" s="105"/>
      <c r="EH460" s="105"/>
      <c r="EI460" s="84">
        <f>SUM(Tableau1[[#This Row],[Transports sur films]:[autres ]])</f>
        <v>0</v>
      </c>
      <c r="EJ460" s="134">
        <v>0</v>
      </c>
      <c r="EK460" s="134"/>
      <c r="EL460" s="68">
        <f t="shared" si="302"/>
        <v>0</v>
      </c>
      <c r="EM460" s="107"/>
      <c r="EN460" s="107">
        <v>0</v>
      </c>
      <c r="EO460" s="107"/>
      <c r="EP460" s="107"/>
      <c r="EQ460" s="107"/>
      <c r="ER460" s="107"/>
      <c r="ES460" s="107"/>
      <c r="ET460" s="68">
        <f t="shared" si="303"/>
        <v>0</v>
      </c>
      <c r="EU460" s="107"/>
      <c r="EV460" s="107"/>
      <c r="EW460" s="107"/>
      <c r="EX460" s="107"/>
      <c r="EY460" s="107"/>
      <c r="EZ460" s="68">
        <f t="shared" si="280"/>
        <v>0</v>
      </c>
      <c r="FA460" s="107"/>
      <c r="FB460" s="107"/>
      <c r="FC460" s="70">
        <f t="shared" si="279"/>
        <v>0</v>
      </c>
      <c r="FD460" s="107"/>
      <c r="FE460" s="71">
        <f t="shared" si="304"/>
        <v>0</v>
      </c>
      <c r="FF460" s="72">
        <f t="shared" si="305"/>
        <v>0</v>
      </c>
      <c r="FG460" s="107"/>
      <c r="FH460" s="107"/>
      <c r="FI460" s="107"/>
      <c r="FJ460" s="56">
        <f t="shared" si="306"/>
        <v>0</v>
      </c>
      <c r="FK460" s="107"/>
      <c r="FL460" s="107"/>
      <c r="FM460" s="107"/>
      <c r="FN460" s="107"/>
      <c r="FO460" s="67">
        <f t="shared" si="307"/>
        <v>0</v>
      </c>
      <c r="FP460" s="103"/>
      <c r="FQ460" s="109"/>
      <c r="FR460" s="109"/>
      <c r="FS460" s="71">
        <f t="shared" si="308"/>
        <v>0</v>
      </c>
      <c r="FT460" s="110"/>
      <c r="FU460" s="110"/>
      <c r="FV460" s="67">
        <f>SUM(Tableau1[[#This Row],[Droits d''auteurs SACEM + cotisations SACEM]:[Autres ou non préciés]])</f>
        <v>0</v>
      </c>
      <c r="FW460" s="75">
        <f t="shared" si="309"/>
        <v>0</v>
      </c>
      <c r="FX460" s="111">
        <v>0</v>
      </c>
      <c r="FY460" s="111"/>
      <c r="FZ460" s="111"/>
      <c r="GA460" s="111"/>
      <c r="GB460" s="71">
        <f t="shared" si="310"/>
        <v>0</v>
      </c>
      <c r="GC460" s="112"/>
      <c r="GD460" s="112"/>
      <c r="GE460" s="67">
        <f t="shared" si="311"/>
        <v>0</v>
      </c>
      <c r="GF460" s="113"/>
      <c r="GG460" s="113"/>
      <c r="GH460" s="113"/>
      <c r="GI460" s="113"/>
      <c r="GJ460" s="114"/>
    </row>
    <row r="461" spans="1:192" ht="18.600000000000001" customHeight="1" x14ac:dyDescent="0.25">
      <c r="A461" s="96"/>
      <c r="B461" s="97"/>
      <c r="C461" s="99"/>
      <c r="D461" s="140"/>
      <c r="E461" s="51"/>
      <c r="F461" s="139">
        <f t="shared" si="276"/>
        <v>1</v>
      </c>
      <c r="G461" s="98"/>
      <c r="H461" s="99"/>
      <c r="I461" s="122"/>
      <c r="J461" s="98"/>
      <c r="K461" s="99"/>
      <c r="L461" s="99"/>
      <c r="M461" s="100"/>
      <c r="N461" s="99"/>
      <c r="O461" s="99"/>
      <c r="P461" s="101"/>
      <c r="Q461" s="52">
        <f t="shared" si="281"/>
        <v>0</v>
      </c>
      <c r="R461" s="52">
        <f t="shared" si="282"/>
        <v>0</v>
      </c>
      <c r="S461" s="53">
        <f t="shared" si="283"/>
        <v>0</v>
      </c>
      <c r="T461" s="54">
        <f t="shared" si="284"/>
        <v>0</v>
      </c>
      <c r="U461" s="115">
        <f>SUM(Tableau1[[#This Row],[Vente confiserie]:[Vente boisson]])</f>
        <v>0</v>
      </c>
      <c r="V461" s="102"/>
      <c r="W461" s="102"/>
      <c r="X461" s="136">
        <f>SUM(Tableau1[[#This Row],[Vente lunette]:[Location lunette]])</f>
        <v>0</v>
      </c>
      <c r="Y461" s="102"/>
      <c r="Z461" s="102"/>
      <c r="AA461" s="102"/>
      <c r="AB461" s="102"/>
      <c r="AC461" s="56">
        <f t="shared" si="274"/>
        <v>0</v>
      </c>
      <c r="AD461" s="103"/>
      <c r="AE461" s="103"/>
      <c r="AF461" s="103"/>
      <c r="AG461" s="103"/>
      <c r="AH461" s="103"/>
      <c r="AI461" s="103"/>
      <c r="AJ461" s="118">
        <f>(Tableau1[[#This Row],[Recette guichet ]]*1.1275177)-Tableau1[[#This Row],[Recette guichet ]]</f>
        <v>0</v>
      </c>
      <c r="AK461" s="103"/>
      <c r="AL461" s="56">
        <f t="shared" si="275"/>
        <v>0</v>
      </c>
      <c r="AM461" s="104"/>
      <c r="AN461" s="58"/>
      <c r="AO461" s="104"/>
      <c r="AP461" s="115">
        <f t="shared" si="285"/>
        <v>0</v>
      </c>
      <c r="AQ461" s="105"/>
      <c r="AR461" s="105"/>
      <c r="AS461" s="105"/>
      <c r="AT461" s="105"/>
      <c r="AU461" s="59">
        <f t="shared" si="286"/>
        <v>0</v>
      </c>
      <c r="AV461" s="60">
        <f t="shared" si="287"/>
        <v>0</v>
      </c>
      <c r="AW461" s="104"/>
      <c r="AX461" s="104"/>
      <c r="AY461" s="104"/>
      <c r="AZ461" s="60">
        <f t="shared" si="277"/>
        <v>0</v>
      </c>
      <c r="BA461" s="104"/>
      <c r="BB461" s="104"/>
      <c r="BC461" s="104"/>
      <c r="BD461" s="60">
        <f>SUM(Tableau1[[#This Row],[ticket/carte/abonnement périmé]:[Autres ou non précisé 5]])</f>
        <v>0</v>
      </c>
      <c r="BE461" s="104"/>
      <c r="BF461" s="104"/>
      <c r="BG461" s="104"/>
      <c r="BH461" s="61">
        <f t="shared" si="288"/>
        <v>0</v>
      </c>
      <c r="BI461" s="137"/>
      <c r="BJ461" s="137"/>
      <c r="BK461" s="62">
        <f t="shared" si="289"/>
        <v>0</v>
      </c>
      <c r="BL461" s="137"/>
      <c r="BM461" s="137"/>
      <c r="BN461" s="137"/>
      <c r="BO461" s="137"/>
      <c r="BP461" s="137"/>
      <c r="BQ461" s="106"/>
      <c r="BR461" s="52">
        <f t="shared" si="290"/>
        <v>0</v>
      </c>
      <c r="BS461" s="52">
        <f t="shared" si="291"/>
        <v>0</v>
      </c>
      <c r="BT461" s="61">
        <f t="shared" si="292"/>
        <v>0</v>
      </c>
      <c r="BU461" s="64">
        <f t="shared" si="293"/>
        <v>0</v>
      </c>
      <c r="BV461" s="119">
        <f>SUM(Tableau1[[#This Row],[Achats confiserie]:[Achats boisson]])</f>
        <v>0</v>
      </c>
      <c r="BW461" s="104"/>
      <c r="BX461" s="105"/>
      <c r="BY461" s="104"/>
      <c r="BZ461" s="56">
        <f t="shared" si="294"/>
        <v>0</v>
      </c>
      <c r="CA461" s="210"/>
      <c r="CB461" s="210"/>
      <c r="CC461" s="56">
        <f t="shared" si="295"/>
        <v>0</v>
      </c>
      <c r="CD461" s="93"/>
      <c r="CE461" s="107"/>
      <c r="CF461" s="93"/>
      <c r="CG461" s="93"/>
      <c r="CH461" s="67">
        <f t="shared" si="296"/>
        <v>0</v>
      </c>
      <c r="CI461" s="68">
        <f t="shared" si="273"/>
        <v>0</v>
      </c>
      <c r="CJ461" s="93"/>
      <c r="CK461" s="93"/>
      <c r="CL461" s="93"/>
      <c r="CM461" s="93"/>
      <c r="CN461" s="93"/>
      <c r="CO461" s="68">
        <f t="shared" si="297"/>
        <v>0</v>
      </c>
      <c r="CP461" s="75">
        <f>SUM(Tableau1[[#This Row],[Fourniture eau]:[Energie (non précisé)]])</f>
        <v>0</v>
      </c>
      <c r="CQ461" s="93"/>
      <c r="CR461" s="93"/>
      <c r="CS461" s="93"/>
      <c r="CT461" s="93"/>
      <c r="CU461" s="93"/>
      <c r="CV461" s="93">
        <v>0</v>
      </c>
      <c r="CW461" s="93"/>
      <c r="CX461" s="68">
        <f>SUM(Tableau1[[#This Row],[Sous-traitance]:[Autres ou non précisé 12]])</f>
        <v>0</v>
      </c>
      <c r="CY461" s="107"/>
      <c r="CZ461" s="107"/>
      <c r="DA461" s="107"/>
      <c r="DB461" s="107"/>
      <c r="DC461" s="93"/>
      <c r="DD461" s="68">
        <f t="shared" si="278"/>
        <v>0</v>
      </c>
      <c r="DE461" s="93"/>
      <c r="DF461" s="107"/>
      <c r="DG461" s="107"/>
      <c r="DH461" s="107"/>
      <c r="DI461" s="68">
        <f>SUM(Tableau1[[#This Row],[Entretien et réparation matériel de projection]:[Autres ou non précisé 14]])</f>
        <v>0</v>
      </c>
      <c r="DJ461" s="104"/>
      <c r="DK461" s="104"/>
      <c r="DL461" s="105"/>
      <c r="DM461" s="68">
        <f t="shared" si="298"/>
        <v>0</v>
      </c>
      <c r="DN461" s="104"/>
      <c r="DO461" s="104"/>
      <c r="DP461" s="68">
        <f t="shared" si="299"/>
        <v>0</v>
      </c>
      <c r="DQ461" s="107"/>
      <c r="DR461" s="107"/>
      <c r="DS461" s="68">
        <f t="shared" si="300"/>
        <v>0</v>
      </c>
      <c r="DT461" s="107"/>
      <c r="DU461" s="107"/>
      <c r="DV461" s="107"/>
      <c r="DW461" s="68">
        <f>SUM(Tableau1[[#This Row],[Comission et courtage sur achats]:[Autres ou honoraires
 non précisé ]])</f>
        <v>0</v>
      </c>
      <c r="DX461" s="57"/>
      <c r="DY461" s="57"/>
      <c r="DZ461" s="107"/>
      <c r="EA461" s="107"/>
      <c r="EB461" s="107"/>
      <c r="EC461" s="68">
        <f t="shared" si="301"/>
        <v>0</v>
      </c>
      <c r="ED461" s="105"/>
      <c r="EE461" s="105"/>
      <c r="EF461" s="105"/>
      <c r="EG461" s="105"/>
      <c r="EH461" s="105"/>
      <c r="EI461" s="84">
        <f>SUM(Tableau1[[#This Row],[Transports sur films]:[autres ]])</f>
        <v>0</v>
      </c>
      <c r="EJ461" s="134">
        <v>0</v>
      </c>
      <c r="EK461" s="134"/>
      <c r="EL461" s="68">
        <f t="shared" si="302"/>
        <v>0</v>
      </c>
      <c r="EM461" s="107"/>
      <c r="EN461" s="107">
        <v>0</v>
      </c>
      <c r="EO461" s="107"/>
      <c r="EP461" s="107"/>
      <c r="EQ461" s="107"/>
      <c r="ER461" s="107"/>
      <c r="ES461" s="107"/>
      <c r="ET461" s="68">
        <f t="shared" si="303"/>
        <v>0</v>
      </c>
      <c r="EU461" s="107"/>
      <c r="EV461" s="107"/>
      <c r="EW461" s="107"/>
      <c r="EX461" s="107"/>
      <c r="EY461" s="107"/>
      <c r="EZ461" s="68">
        <f t="shared" si="280"/>
        <v>0</v>
      </c>
      <c r="FA461" s="107"/>
      <c r="FB461" s="107"/>
      <c r="FC461" s="70">
        <f t="shared" si="279"/>
        <v>0</v>
      </c>
      <c r="FD461" s="107"/>
      <c r="FE461" s="71">
        <f t="shared" si="304"/>
        <v>0</v>
      </c>
      <c r="FF461" s="72">
        <f t="shared" si="305"/>
        <v>0</v>
      </c>
      <c r="FG461" s="107"/>
      <c r="FH461" s="107"/>
      <c r="FI461" s="107"/>
      <c r="FJ461" s="56">
        <f t="shared" si="306"/>
        <v>0</v>
      </c>
      <c r="FK461" s="107"/>
      <c r="FL461" s="107"/>
      <c r="FM461" s="107"/>
      <c r="FN461" s="107"/>
      <c r="FO461" s="67">
        <f t="shared" si="307"/>
        <v>0</v>
      </c>
      <c r="FP461" s="103"/>
      <c r="FQ461" s="109"/>
      <c r="FR461" s="109"/>
      <c r="FS461" s="71">
        <f t="shared" si="308"/>
        <v>0</v>
      </c>
      <c r="FT461" s="110"/>
      <c r="FU461" s="110"/>
      <c r="FV461" s="67">
        <f>SUM(Tableau1[[#This Row],[Droits d''auteurs SACEM + cotisations SACEM]:[Autres ou non préciés]])</f>
        <v>0</v>
      </c>
      <c r="FW461" s="75">
        <f t="shared" si="309"/>
        <v>0</v>
      </c>
      <c r="FX461" s="111">
        <v>0</v>
      </c>
      <c r="FY461" s="111"/>
      <c r="FZ461" s="111"/>
      <c r="GA461" s="111"/>
      <c r="GB461" s="71">
        <f t="shared" si="310"/>
        <v>0</v>
      </c>
      <c r="GC461" s="112"/>
      <c r="GD461" s="112"/>
      <c r="GE461" s="67">
        <f t="shared" si="311"/>
        <v>0</v>
      </c>
      <c r="GF461" s="113"/>
      <c r="GG461" s="113"/>
      <c r="GH461" s="113"/>
      <c r="GI461" s="113"/>
      <c r="GJ461" s="114"/>
    </row>
    <row r="462" spans="1:192" ht="18.600000000000001" customHeight="1" x14ac:dyDescent="0.25">
      <c r="A462" s="96"/>
      <c r="B462" s="97"/>
      <c r="C462" s="99"/>
      <c r="D462" s="140"/>
      <c r="E462" s="51"/>
      <c r="F462" s="139">
        <f t="shared" si="276"/>
        <v>1</v>
      </c>
      <c r="G462" s="98"/>
      <c r="H462" s="99"/>
      <c r="I462" s="122"/>
      <c r="J462" s="98"/>
      <c r="K462" s="99"/>
      <c r="L462" s="99"/>
      <c r="M462" s="100"/>
      <c r="N462" s="99"/>
      <c r="O462" s="99"/>
      <c r="P462" s="101"/>
      <c r="Q462" s="52">
        <f t="shared" si="281"/>
        <v>0</v>
      </c>
      <c r="R462" s="52">
        <f t="shared" si="282"/>
        <v>0</v>
      </c>
      <c r="S462" s="53">
        <f t="shared" si="283"/>
        <v>0</v>
      </c>
      <c r="T462" s="54">
        <f t="shared" si="284"/>
        <v>0</v>
      </c>
      <c r="U462" s="115">
        <f>SUM(Tableau1[[#This Row],[Vente confiserie]:[Vente boisson]])</f>
        <v>0</v>
      </c>
      <c r="V462" s="102"/>
      <c r="W462" s="102"/>
      <c r="X462" s="136">
        <f>SUM(Tableau1[[#This Row],[Vente lunette]:[Location lunette]])</f>
        <v>0</v>
      </c>
      <c r="Y462" s="102"/>
      <c r="Z462" s="102"/>
      <c r="AA462" s="102"/>
      <c r="AB462" s="102"/>
      <c r="AC462" s="56">
        <f t="shared" si="274"/>
        <v>0</v>
      </c>
      <c r="AD462" s="103"/>
      <c r="AE462" s="103"/>
      <c r="AF462" s="103"/>
      <c r="AG462" s="103"/>
      <c r="AH462" s="103"/>
      <c r="AI462" s="103"/>
      <c r="AJ462" s="118">
        <f>(Tableau1[[#This Row],[Recette guichet ]]*1.1275177)-Tableau1[[#This Row],[Recette guichet ]]</f>
        <v>0</v>
      </c>
      <c r="AK462" s="103"/>
      <c r="AL462" s="56">
        <f t="shared" si="275"/>
        <v>0</v>
      </c>
      <c r="AM462" s="104"/>
      <c r="AN462" s="58"/>
      <c r="AO462" s="104"/>
      <c r="AP462" s="115">
        <f t="shared" si="285"/>
        <v>0</v>
      </c>
      <c r="AQ462" s="105"/>
      <c r="AR462" s="105"/>
      <c r="AS462" s="105"/>
      <c r="AT462" s="105"/>
      <c r="AU462" s="59">
        <f t="shared" si="286"/>
        <v>0</v>
      </c>
      <c r="AV462" s="60">
        <f t="shared" si="287"/>
        <v>0</v>
      </c>
      <c r="AW462" s="104"/>
      <c r="AX462" s="104"/>
      <c r="AY462" s="104"/>
      <c r="AZ462" s="60">
        <f t="shared" si="277"/>
        <v>0</v>
      </c>
      <c r="BA462" s="104"/>
      <c r="BB462" s="104"/>
      <c r="BC462" s="104"/>
      <c r="BD462" s="60">
        <f>SUM(Tableau1[[#This Row],[ticket/carte/abonnement périmé]:[Autres ou non précisé 5]])</f>
        <v>0</v>
      </c>
      <c r="BE462" s="104"/>
      <c r="BF462" s="104"/>
      <c r="BG462" s="104"/>
      <c r="BH462" s="61">
        <f t="shared" si="288"/>
        <v>0</v>
      </c>
      <c r="BI462" s="137"/>
      <c r="BJ462" s="137"/>
      <c r="BK462" s="62">
        <f t="shared" si="289"/>
        <v>0</v>
      </c>
      <c r="BL462" s="137"/>
      <c r="BM462" s="137"/>
      <c r="BN462" s="137"/>
      <c r="BO462" s="137"/>
      <c r="BP462" s="137"/>
      <c r="BQ462" s="106"/>
      <c r="BR462" s="52">
        <f t="shared" si="290"/>
        <v>0</v>
      </c>
      <c r="BS462" s="52">
        <f t="shared" si="291"/>
        <v>0</v>
      </c>
      <c r="BT462" s="61">
        <f t="shared" si="292"/>
        <v>0</v>
      </c>
      <c r="BU462" s="64">
        <f t="shared" si="293"/>
        <v>0</v>
      </c>
      <c r="BV462" s="119">
        <f>SUM(Tableau1[[#This Row],[Achats confiserie]:[Achats boisson]])</f>
        <v>0</v>
      </c>
      <c r="BW462" s="104"/>
      <c r="BX462" s="105"/>
      <c r="BY462" s="104"/>
      <c r="BZ462" s="56">
        <f t="shared" si="294"/>
        <v>0</v>
      </c>
      <c r="CA462" s="210"/>
      <c r="CB462" s="210"/>
      <c r="CC462" s="56">
        <f t="shared" si="295"/>
        <v>0</v>
      </c>
      <c r="CD462" s="93"/>
      <c r="CE462" s="107"/>
      <c r="CF462" s="93"/>
      <c r="CG462" s="93"/>
      <c r="CH462" s="67">
        <f t="shared" si="296"/>
        <v>0</v>
      </c>
      <c r="CI462" s="68">
        <f t="shared" si="273"/>
        <v>0</v>
      </c>
      <c r="CJ462" s="93"/>
      <c r="CK462" s="93"/>
      <c r="CL462" s="93"/>
      <c r="CM462" s="93"/>
      <c r="CN462" s="93"/>
      <c r="CO462" s="68">
        <f t="shared" si="297"/>
        <v>0</v>
      </c>
      <c r="CP462" s="75">
        <f>SUM(Tableau1[[#This Row],[Fourniture eau]:[Energie (non précisé)]])</f>
        <v>0</v>
      </c>
      <c r="CQ462" s="93"/>
      <c r="CR462" s="93"/>
      <c r="CS462" s="93"/>
      <c r="CT462" s="93"/>
      <c r="CU462" s="93"/>
      <c r="CV462" s="93">
        <v>0</v>
      </c>
      <c r="CW462" s="93"/>
      <c r="CX462" s="68">
        <f>SUM(Tableau1[[#This Row],[Sous-traitance]:[Autres ou non précisé 12]])</f>
        <v>0</v>
      </c>
      <c r="CY462" s="107"/>
      <c r="CZ462" s="107"/>
      <c r="DA462" s="107"/>
      <c r="DB462" s="107"/>
      <c r="DC462" s="93"/>
      <c r="DD462" s="68">
        <f t="shared" si="278"/>
        <v>0</v>
      </c>
      <c r="DE462" s="93"/>
      <c r="DF462" s="107"/>
      <c r="DG462" s="107"/>
      <c r="DH462" s="107"/>
      <c r="DI462" s="68">
        <f>SUM(Tableau1[[#This Row],[Entretien et réparation matériel de projection]:[Autres ou non précisé 14]])</f>
        <v>0</v>
      </c>
      <c r="DJ462" s="104"/>
      <c r="DK462" s="104"/>
      <c r="DL462" s="105"/>
      <c r="DM462" s="68">
        <f t="shared" si="298"/>
        <v>0</v>
      </c>
      <c r="DN462" s="104"/>
      <c r="DO462" s="104"/>
      <c r="DP462" s="68">
        <f t="shared" si="299"/>
        <v>0</v>
      </c>
      <c r="DQ462" s="107"/>
      <c r="DR462" s="107"/>
      <c r="DS462" s="68">
        <f t="shared" si="300"/>
        <v>0</v>
      </c>
      <c r="DT462" s="107"/>
      <c r="DU462" s="107"/>
      <c r="DV462" s="107"/>
      <c r="DW462" s="68">
        <f>SUM(Tableau1[[#This Row],[Comission et courtage sur achats]:[Autres ou honoraires
 non précisé ]])</f>
        <v>0</v>
      </c>
      <c r="DX462" s="57"/>
      <c r="DY462" s="57"/>
      <c r="DZ462" s="107"/>
      <c r="EA462" s="107"/>
      <c r="EB462" s="107"/>
      <c r="EC462" s="68">
        <f t="shared" si="301"/>
        <v>0</v>
      </c>
      <c r="ED462" s="105"/>
      <c r="EE462" s="105"/>
      <c r="EF462" s="105"/>
      <c r="EG462" s="105"/>
      <c r="EH462" s="105"/>
      <c r="EI462" s="84">
        <f>SUM(Tableau1[[#This Row],[Transports sur films]:[autres ]])</f>
        <v>0</v>
      </c>
      <c r="EJ462" s="134">
        <v>0</v>
      </c>
      <c r="EK462" s="134"/>
      <c r="EL462" s="68">
        <f t="shared" si="302"/>
        <v>0</v>
      </c>
      <c r="EM462" s="107"/>
      <c r="EN462" s="107">
        <v>0</v>
      </c>
      <c r="EO462" s="107"/>
      <c r="EP462" s="107"/>
      <c r="EQ462" s="107"/>
      <c r="ER462" s="107"/>
      <c r="ES462" s="107"/>
      <c r="ET462" s="68">
        <f t="shared" si="303"/>
        <v>0</v>
      </c>
      <c r="EU462" s="107"/>
      <c r="EV462" s="107"/>
      <c r="EW462" s="107"/>
      <c r="EX462" s="107"/>
      <c r="EY462" s="107"/>
      <c r="EZ462" s="68">
        <f t="shared" si="280"/>
        <v>0</v>
      </c>
      <c r="FA462" s="107"/>
      <c r="FB462" s="107"/>
      <c r="FC462" s="70">
        <f t="shared" si="279"/>
        <v>0</v>
      </c>
      <c r="FD462" s="107"/>
      <c r="FE462" s="71">
        <f t="shared" si="304"/>
        <v>0</v>
      </c>
      <c r="FF462" s="72">
        <f t="shared" si="305"/>
        <v>0</v>
      </c>
      <c r="FG462" s="107"/>
      <c r="FH462" s="107"/>
      <c r="FI462" s="107"/>
      <c r="FJ462" s="56">
        <f t="shared" si="306"/>
        <v>0</v>
      </c>
      <c r="FK462" s="107"/>
      <c r="FL462" s="107"/>
      <c r="FM462" s="107"/>
      <c r="FN462" s="107"/>
      <c r="FO462" s="67">
        <f t="shared" si="307"/>
        <v>0</v>
      </c>
      <c r="FP462" s="103"/>
      <c r="FQ462" s="109"/>
      <c r="FR462" s="109"/>
      <c r="FS462" s="71">
        <f t="shared" si="308"/>
        <v>0</v>
      </c>
      <c r="FT462" s="110"/>
      <c r="FU462" s="110"/>
      <c r="FV462" s="67">
        <f>SUM(Tableau1[[#This Row],[Droits d''auteurs SACEM + cotisations SACEM]:[Autres ou non préciés]])</f>
        <v>0</v>
      </c>
      <c r="FW462" s="75">
        <f t="shared" si="309"/>
        <v>0</v>
      </c>
      <c r="FX462" s="111">
        <v>0</v>
      </c>
      <c r="FY462" s="111"/>
      <c r="FZ462" s="111"/>
      <c r="GA462" s="111"/>
      <c r="GB462" s="71">
        <f t="shared" si="310"/>
        <v>0</v>
      </c>
      <c r="GC462" s="112"/>
      <c r="GD462" s="112"/>
      <c r="GE462" s="67">
        <f t="shared" si="311"/>
        <v>0</v>
      </c>
      <c r="GF462" s="113"/>
      <c r="GG462" s="113"/>
      <c r="GH462" s="113"/>
      <c r="GI462" s="113"/>
      <c r="GJ462" s="114"/>
    </row>
    <row r="463" spans="1:192" ht="18.600000000000001" customHeight="1" x14ac:dyDescent="0.25">
      <c r="A463" s="96"/>
      <c r="B463" s="97"/>
      <c r="C463" s="99"/>
      <c r="D463" s="140"/>
      <c r="E463" s="51"/>
      <c r="F463" s="139">
        <f t="shared" si="276"/>
        <v>1</v>
      </c>
      <c r="G463" s="98"/>
      <c r="H463" s="99"/>
      <c r="I463" s="122"/>
      <c r="J463" s="98"/>
      <c r="K463" s="99"/>
      <c r="L463" s="99"/>
      <c r="M463" s="100"/>
      <c r="N463" s="99"/>
      <c r="O463" s="99"/>
      <c r="P463" s="101"/>
      <c r="Q463" s="52">
        <f t="shared" si="281"/>
        <v>0</v>
      </c>
      <c r="R463" s="52">
        <f t="shared" si="282"/>
        <v>0</v>
      </c>
      <c r="S463" s="53">
        <f t="shared" si="283"/>
        <v>0</v>
      </c>
      <c r="T463" s="54">
        <f t="shared" si="284"/>
        <v>0</v>
      </c>
      <c r="U463" s="115">
        <f>SUM(Tableau1[[#This Row],[Vente confiserie]:[Vente boisson]])</f>
        <v>0</v>
      </c>
      <c r="V463" s="102"/>
      <c r="W463" s="102"/>
      <c r="X463" s="136">
        <f>SUM(Tableau1[[#This Row],[Vente lunette]:[Location lunette]])</f>
        <v>0</v>
      </c>
      <c r="Y463" s="102"/>
      <c r="Z463" s="102"/>
      <c r="AA463" s="102"/>
      <c r="AB463" s="102"/>
      <c r="AC463" s="56">
        <f t="shared" si="274"/>
        <v>0</v>
      </c>
      <c r="AD463" s="103"/>
      <c r="AE463" s="103"/>
      <c r="AF463" s="103"/>
      <c r="AG463" s="103"/>
      <c r="AH463" s="103"/>
      <c r="AI463" s="103"/>
      <c r="AJ463" s="118">
        <f>(Tableau1[[#This Row],[Recette guichet ]]*1.1275177)-Tableau1[[#This Row],[Recette guichet ]]</f>
        <v>0</v>
      </c>
      <c r="AK463" s="103"/>
      <c r="AL463" s="56">
        <f t="shared" si="275"/>
        <v>0</v>
      </c>
      <c r="AM463" s="104"/>
      <c r="AN463" s="58"/>
      <c r="AO463" s="104"/>
      <c r="AP463" s="115">
        <f t="shared" si="285"/>
        <v>0</v>
      </c>
      <c r="AQ463" s="105"/>
      <c r="AR463" s="105"/>
      <c r="AS463" s="105"/>
      <c r="AT463" s="105"/>
      <c r="AU463" s="59">
        <f t="shared" si="286"/>
        <v>0</v>
      </c>
      <c r="AV463" s="60">
        <f t="shared" si="287"/>
        <v>0</v>
      </c>
      <c r="AW463" s="104"/>
      <c r="AX463" s="104"/>
      <c r="AY463" s="104"/>
      <c r="AZ463" s="60">
        <f t="shared" si="277"/>
        <v>0</v>
      </c>
      <c r="BA463" s="104"/>
      <c r="BB463" s="104"/>
      <c r="BC463" s="104"/>
      <c r="BD463" s="60">
        <f>SUM(Tableau1[[#This Row],[ticket/carte/abonnement périmé]:[Autres ou non précisé 5]])</f>
        <v>0</v>
      </c>
      <c r="BE463" s="104"/>
      <c r="BF463" s="104"/>
      <c r="BG463" s="104"/>
      <c r="BH463" s="61">
        <f t="shared" si="288"/>
        <v>0</v>
      </c>
      <c r="BI463" s="137"/>
      <c r="BJ463" s="137"/>
      <c r="BK463" s="62">
        <f t="shared" si="289"/>
        <v>0</v>
      </c>
      <c r="BL463" s="137"/>
      <c r="BM463" s="137"/>
      <c r="BN463" s="137"/>
      <c r="BO463" s="137"/>
      <c r="BP463" s="137"/>
      <c r="BQ463" s="106"/>
      <c r="BR463" s="52">
        <f t="shared" si="290"/>
        <v>0</v>
      </c>
      <c r="BS463" s="52">
        <f t="shared" si="291"/>
        <v>0</v>
      </c>
      <c r="BT463" s="61">
        <f t="shared" si="292"/>
        <v>0</v>
      </c>
      <c r="BU463" s="64">
        <f t="shared" si="293"/>
        <v>0</v>
      </c>
      <c r="BV463" s="119">
        <f>SUM(Tableau1[[#This Row],[Achats confiserie]:[Achats boisson]])</f>
        <v>0</v>
      </c>
      <c r="BW463" s="104"/>
      <c r="BX463" s="105"/>
      <c r="BY463" s="104"/>
      <c r="BZ463" s="56">
        <f t="shared" si="294"/>
        <v>0</v>
      </c>
      <c r="CA463" s="210"/>
      <c r="CB463" s="210"/>
      <c r="CC463" s="56">
        <f t="shared" si="295"/>
        <v>0</v>
      </c>
      <c r="CD463" s="93"/>
      <c r="CE463" s="107"/>
      <c r="CF463" s="93"/>
      <c r="CG463" s="93"/>
      <c r="CH463" s="67">
        <f t="shared" si="296"/>
        <v>0</v>
      </c>
      <c r="CI463" s="68">
        <f t="shared" si="273"/>
        <v>0</v>
      </c>
      <c r="CJ463" s="93"/>
      <c r="CK463" s="93"/>
      <c r="CL463" s="93"/>
      <c r="CM463" s="93"/>
      <c r="CN463" s="93"/>
      <c r="CO463" s="68">
        <f t="shared" si="297"/>
        <v>0</v>
      </c>
      <c r="CP463" s="75">
        <f>SUM(Tableau1[[#This Row],[Fourniture eau]:[Energie (non précisé)]])</f>
        <v>0</v>
      </c>
      <c r="CQ463" s="93"/>
      <c r="CR463" s="93"/>
      <c r="CS463" s="93"/>
      <c r="CT463" s="93"/>
      <c r="CU463" s="93"/>
      <c r="CV463" s="93">
        <v>0</v>
      </c>
      <c r="CW463" s="93"/>
      <c r="CX463" s="68">
        <f>SUM(Tableau1[[#This Row],[Sous-traitance]:[Autres ou non précisé 12]])</f>
        <v>0</v>
      </c>
      <c r="CY463" s="107"/>
      <c r="CZ463" s="107"/>
      <c r="DA463" s="107"/>
      <c r="DB463" s="107"/>
      <c r="DC463" s="93"/>
      <c r="DD463" s="68">
        <f t="shared" si="278"/>
        <v>0</v>
      </c>
      <c r="DE463" s="93"/>
      <c r="DF463" s="107"/>
      <c r="DG463" s="107"/>
      <c r="DH463" s="107"/>
      <c r="DI463" s="68">
        <f>SUM(Tableau1[[#This Row],[Entretien et réparation matériel de projection]:[Autres ou non précisé 14]])</f>
        <v>0</v>
      </c>
      <c r="DJ463" s="104"/>
      <c r="DK463" s="104"/>
      <c r="DL463" s="105"/>
      <c r="DM463" s="68">
        <f t="shared" si="298"/>
        <v>0</v>
      </c>
      <c r="DN463" s="104"/>
      <c r="DO463" s="104"/>
      <c r="DP463" s="68">
        <f t="shared" si="299"/>
        <v>0</v>
      </c>
      <c r="DQ463" s="107"/>
      <c r="DR463" s="107"/>
      <c r="DS463" s="68">
        <f t="shared" si="300"/>
        <v>0</v>
      </c>
      <c r="DT463" s="107"/>
      <c r="DU463" s="107"/>
      <c r="DV463" s="107"/>
      <c r="DW463" s="68">
        <f>SUM(Tableau1[[#This Row],[Comission et courtage sur achats]:[Autres ou honoraires
 non précisé ]])</f>
        <v>0</v>
      </c>
      <c r="DX463" s="57"/>
      <c r="DY463" s="57"/>
      <c r="DZ463" s="107"/>
      <c r="EA463" s="107"/>
      <c r="EB463" s="107"/>
      <c r="EC463" s="68">
        <f t="shared" si="301"/>
        <v>0</v>
      </c>
      <c r="ED463" s="105"/>
      <c r="EE463" s="105"/>
      <c r="EF463" s="105"/>
      <c r="EG463" s="105"/>
      <c r="EH463" s="105"/>
      <c r="EI463" s="84">
        <f>SUM(Tableau1[[#This Row],[Transports sur films]:[autres ]])</f>
        <v>0</v>
      </c>
      <c r="EJ463" s="134">
        <v>0</v>
      </c>
      <c r="EK463" s="134"/>
      <c r="EL463" s="68">
        <f t="shared" si="302"/>
        <v>0</v>
      </c>
      <c r="EM463" s="107"/>
      <c r="EN463" s="107">
        <v>0</v>
      </c>
      <c r="EO463" s="107"/>
      <c r="EP463" s="107"/>
      <c r="EQ463" s="107"/>
      <c r="ER463" s="107"/>
      <c r="ES463" s="107"/>
      <c r="ET463" s="68">
        <f t="shared" si="303"/>
        <v>0</v>
      </c>
      <c r="EU463" s="107"/>
      <c r="EV463" s="107"/>
      <c r="EW463" s="107"/>
      <c r="EX463" s="107"/>
      <c r="EY463" s="107"/>
      <c r="EZ463" s="68">
        <f t="shared" si="280"/>
        <v>0</v>
      </c>
      <c r="FA463" s="107"/>
      <c r="FB463" s="107"/>
      <c r="FC463" s="70">
        <f t="shared" si="279"/>
        <v>0</v>
      </c>
      <c r="FD463" s="107"/>
      <c r="FE463" s="71">
        <f t="shared" si="304"/>
        <v>0</v>
      </c>
      <c r="FF463" s="72">
        <f t="shared" si="305"/>
        <v>0</v>
      </c>
      <c r="FG463" s="107"/>
      <c r="FH463" s="107"/>
      <c r="FI463" s="107"/>
      <c r="FJ463" s="56">
        <f t="shared" si="306"/>
        <v>0</v>
      </c>
      <c r="FK463" s="107"/>
      <c r="FL463" s="107"/>
      <c r="FM463" s="107"/>
      <c r="FN463" s="107"/>
      <c r="FO463" s="67">
        <f t="shared" si="307"/>
        <v>0</v>
      </c>
      <c r="FP463" s="103"/>
      <c r="FQ463" s="109"/>
      <c r="FR463" s="109"/>
      <c r="FS463" s="71">
        <f t="shared" si="308"/>
        <v>0</v>
      </c>
      <c r="FT463" s="110"/>
      <c r="FU463" s="110"/>
      <c r="FV463" s="67">
        <f>SUM(Tableau1[[#This Row],[Droits d''auteurs SACEM + cotisations SACEM]:[Autres ou non préciés]])</f>
        <v>0</v>
      </c>
      <c r="FW463" s="75">
        <f t="shared" si="309"/>
        <v>0</v>
      </c>
      <c r="FX463" s="111">
        <v>0</v>
      </c>
      <c r="FY463" s="111"/>
      <c r="FZ463" s="111"/>
      <c r="GA463" s="111"/>
      <c r="GB463" s="71">
        <f t="shared" si="310"/>
        <v>0</v>
      </c>
      <c r="GC463" s="112"/>
      <c r="GD463" s="112"/>
      <c r="GE463" s="67">
        <f t="shared" si="311"/>
        <v>0</v>
      </c>
      <c r="GF463" s="113"/>
      <c r="GG463" s="113"/>
      <c r="GH463" s="113"/>
      <c r="GI463" s="113"/>
      <c r="GJ463" s="114"/>
    </row>
    <row r="464" spans="1:192" ht="18.600000000000001" customHeight="1" x14ac:dyDescent="0.25">
      <c r="A464" s="96"/>
      <c r="B464" s="97"/>
      <c r="C464" s="99"/>
      <c r="D464" s="140"/>
      <c r="E464" s="51"/>
      <c r="F464" s="139">
        <f t="shared" si="276"/>
        <v>1</v>
      </c>
      <c r="G464" s="98"/>
      <c r="H464" s="99"/>
      <c r="I464" s="122"/>
      <c r="J464" s="98"/>
      <c r="K464" s="99"/>
      <c r="L464" s="99"/>
      <c r="M464" s="100"/>
      <c r="N464" s="99"/>
      <c r="O464" s="99"/>
      <c r="P464" s="101"/>
      <c r="Q464" s="52">
        <f t="shared" si="281"/>
        <v>0</v>
      </c>
      <c r="R464" s="52">
        <f t="shared" si="282"/>
        <v>0</v>
      </c>
      <c r="S464" s="53">
        <f t="shared" si="283"/>
        <v>0</v>
      </c>
      <c r="T464" s="54">
        <f t="shared" si="284"/>
        <v>0</v>
      </c>
      <c r="U464" s="115">
        <f>SUM(Tableau1[[#This Row],[Vente confiserie]:[Vente boisson]])</f>
        <v>0</v>
      </c>
      <c r="V464" s="102"/>
      <c r="W464" s="102"/>
      <c r="X464" s="136">
        <f>SUM(Tableau1[[#This Row],[Vente lunette]:[Location lunette]])</f>
        <v>0</v>
      </c>
      <c r="Y464" s="102"/>
      <c r="Z464" s="102"/>
      <c r="AA464" s="102"/>
      <c r="AB464" s="102"/>
      <c r="AC464" s="56">
        <f t="shared" si="274"/>
        <v>0</v>
      </c>
      <c r="AD464" s="103"/>
      <c r="AE464" s="103"/>
      <c r="AF464" s="103"/>
      <c r="AG464" s="103"/>
      <c r="AH464" s="103"/>
      <c r="AI464" s="103"/>
      <c r="AJ464" s="118">
        <f>(Tableau1[[#This Row],[Recette guichet ]]*1.1275177)-Tableau1[[#This Row],[Recette guichet ]]</f>
        <v>0</v>
      </c>
      <c r="AK464" s="103"/>
      <c r="AL464" s="56">
        <f t="shared" si="275"/>
        <v>0</v>
      </c>
      <c r="AM464" s="104"/>
      <c r="AN464" s="58"/>
      <c r="AO464" s="104"/>
      <c r="AP464" s="115">
        <f t="shared" si="285"/>
        <v>0</v>
      </c>
      <c r="AQ464" s="105"/>
      <c r="AR464" s="105"/>
      <c r="AS464" s="105"/>
      <c r="AT464" s="105"/>
      <c r="AU464" s="59">
        <f t="shared" si="286"/>
        <v>0</v>
      </c>
      <c r="AV464" s="60">
        <f t="shared" si="287"/>
        <v>0</v>
      </c>
      <c r="AW464" s="104"/>
      <c r="AX464" s="104"/>
      <c r="AY464" s="104"/>
      <c r="AZ464" s="60">
        <f t="shared" si="277"/>
        <v>0</v>
      </c>
      <c r="BA464" s="104"/>
      <c r="BB464" s="104"/>
      <c r="BC464" s="104"/>
      <c r="BD464" s="60">
        <f>SUM(Tableau1[[#This Row],[ticket/carte/abonnement périmé]:[Autres ou non précisé 5]])</f>
        <v>0</v>
      </c>
      <c r="BE464" s="104"/>
      <c r="BF464" s="104"/>
      <c r="BG464" s="104"/>
      <c r="BH464" s="61">
        <f t="shared" si="288"/>
        <v>0</v>
      </c>
      <c r="BI464" s="137"/>
      <c r="BJ464" s="137"/>
      <c r="BK464" s="62">
        <f t="shared" si="289"/>
        <v>0</v>
      </c>
      <c r="BL464" s="137"/>
      <c r="BM464" s="137"/>
      <c r="BN464" s="137"/>
      <c r="BO464" s="137"/>
      <c r="BP464" s="137"/>
      <c r="BQ464" s="106"/>
      <c r="BR464" s="52">
        <f t="shared" si="290"/>
        <v>0</v>
      </c>
      <c r="BS464" s="52">
        <f t="shared" si="291"/>
        <v>0</v>
      </c>
      <c r="BT464" s="61">
        <f t="shared" si="292"/>
        <v>0</v>
      </c>
      <c r="BU464" s="64">
        <f t="shared" si="293"/>
        <v>0</v>
      </c>
      <c r="BV464" s="119">
        <f>SUM(Tableau1[[#This Row],[Achats confiserie]:[Achats boisson]])</f>
        <v>0</v>
      </c>
      <c r="BW464" s="104"/>
      <c r="BX464" s="105"/>
      <c r="BY464" s="104"/>
      <c r="BZ464" s="56">
        <f t="shared" si="294"/>
        <v>0</v>
      </c>
      <c r="CA464" s="210"/>
      <c r="CB464" s="210"/>
      <c r="CC464" s="56">
        <f t="shared" si="295"/>
        <v>0</v>
      </c>
      <c r="CD464" s="93"/>
      <c r="CE464" s="107"/>
      <c r="CF464" s="93"/>
      <c r="CG464" s="93"/>
      <c r="CH464" s="67">
        <f t="shared" si="296"/>
        <v>0</v>
      </c>
      <c r="CI464" s="68">
        <f t="shared" si="273"/>
        <v>0</v>
      </c>
      <c r="CJ464" s="93"/>
      <c r="CK464" s="93"/>
      <c r="CL464" s="93"/>
      <c r="CM464" s="93"/>
      <c r="CN464" s="93"/>
      <c r="CO464" s="68">
        <f t="shared" si="297"/>
        <v>0</v>
      </c>
      <c r="CP464" s="75">
        <f>SUM(Tableau1[[#This Row],[Fourniture eau]:[Energie (non précisé)]])</f>
        <v>0</v>
      </c>
      <c r="CQ464" s="93"/>
      <c r="CR464" s="93"/>
      <c r="CS464" s="93"/>
      <c r="CT464" s="93"/>
      <c r="CU464" s="93"/>
      <c r="CV464" s="93">
        <v>0</v>
      </c>
      <c r="CW464" s="93"/>
      <c r="CX464" s="68">
        <f>SUM(Tableau1[[#This Row],[Sous-traitance]:[Autres ou non précisé 12]])</f>
        <v>0</v>
      </c>
      <c r="CY464" s="107"/>
      <c r="CZ464" s="107"/>
      <c r="DA464" s="107"/>
      <c r="DB464" s="107"/>
      <c r="DC464" s="93"/>
      <c r="DD464" s="68">
        <f t="shared" si="278"/>
        <v>0</v>
      </c>
      <c r="DE464" s="93"/>
      <c r="DF464" s="107"/>
      <c r="DG464" s="107"/>
      <c r="DH464" s="107"/>
      <c r="DI464" s="68">
        <f>SUM(Tableau1[[#This Row],[Entretien et réparation matériel de projection]:[Autres ou non précisé 14]])</f>
        <v>0</v>
      </c>
      <c r="DJ464" s="104"/>
      <c r="DK464" s="104"/>
      <c r="DL464" s="105"/>
      <c r="DM464" s="68">
        <f t="shared" si="298"/>
        <v>0</v>
      </c>
      <c r="DN464" s="104"/>
      <c r="DO464" s="104"/>
      <c r="DP464" s="68">
        <f t="shared" si="299"/>
        <v>0</v>
      </c>
      <c r="DQ464" s="107"/>
      <c r="DR464" s="107"/>
      <c r="DS464" s="68">
        <f t="shared" si="300"/>
        <v>0</v>
      </c>
      <c r="DT464" s="107"/>
      <c r="DU464" s="107"/>
      <c r="DV464" s="107"/>
      <c r="DW464" s="68">
        <f>SUM(Tableau1[[#This Row],[Comission et courtage sur achats]:[Autres ou honoraires
 non précisé ]])</f>
        <v>0</v>
      </c>
      <c r="DX464" s="57"/>
      <c r="DY464" s="57"/>
      <c r="DZ464" s="107"/>
      <c r="EA464" s="107"/>
      <c r="EB464" s="107"/>
      <c r="EC464" s="68">
        <f t="shared" si="301"/>
        <v>0</v>
      </c>
      <c r="ED464" s="105"/>
      <c r="EE464" s="105"/>
      <c r="EF464" s="105"/>
      <c r="EG464" s="105"/>
      <c r="EH464" s="105"/>
      <c r="EI464" s="84">
        <f>SUM(Tableau1[[#This Row],[Transports sur films]:[autres ]])</f>
        <v>0</v>
      </c>
      <c r="EJ464" s="134">
        <v>0</v>
      </c>
      <c r="EK464" s="134"/>
      <c r="EL464" s="68">
        <f t="shared" si="302"/>
        <v>0</v>
      </c>
      <c r="EM464" s="107"/>
      <c r="EN464" s="107">
        <v>0</v>
      </c>
      <c r="EO464" s="107"/>
      <c r="EP464" s="107"/>
      <c r="EQ464" s="107"/>
      <c r="ER464" s="107"/>
      <c r="ES464" s="107"/>
      <c r="ET464" s="68">
        <f t="shared" si="303"/>
        <v>0</v>
      </c>
      <c r="EU464" s="107"/>
      <c r="EV464" s="107"/>
      <c r="EW464" s="107"/>
      <c r="EX464" s="107"/>
      <c r="EY464" s="107"/>
      <c r="EZ464" s="68">
        <f t="shared" si="280"/>
        <v>0</v>
      </c>
      <c r="FA464" s="107"/>
      <c r="FB464" s="107"/>
      <c r="FC464" s="70">
        <f t="shared" si="279"/>
        <v>0</v>
      </c>
      <c r="FD464" s="107"/>
      <c r="FE464" s="71">
        <f t="shared" si="304"/>
        <v>0</v>
      </c>
      <c r="FF464" s="72">
        <f t="shared" si="305"/>
        <v>0</v>
      </c>
      <c r="FG464" s="107"/>
      <c r="FH464" s="107"/>
      <c r="FI464" s="107"/>
      <c r="FJ464" s="56">
        <f t="shared" si="306"/>
        <v>0</v>
      </c>
      <c r="FK464" s="107"/>
      <c r="FL464" s="107"/>
      <c r="FM464" s="107"/>
      <c r="FN464" s="107"/>
      <c r="FO464" s="67">
        <f t="shared" si="307"/>
        <v>0</v>
      </c>
      <c r="FP464" s="103"/>
      <c r="FQ464" s="109"/>
      <c r="FR464" s="109"/>
      <c r="FS464" s="71">
        <f t="shared" si="308"/>
        <v>0</v>
      </c>
      <c r="FT464" s="110"/>
      <c r="FU464" s="110"/>
      <c r="FV464" s="67">
        <f>SUM(Tableau1[[#This Row],[Droits d''auteurs SACEM + cotisations SACEM]:[Autres ou non préciés]])</f>
        <v>0</v>
      </c>
      <c r="FW464" s="75">
        <f t="shared" si="309"/>
        <v>0</v>
      </c>
      <c r="FX464" s="111">
        <v>0</v>
      </c>
      <c r="FY464" s="111"/>
      <c r="FZ464" s="111"/>
      <c r="GA464" s="111"/>
      <c r="GB464" s="71">
        <f t="shared" si="310"/>
        <v>0</v>
      </c>
      <c r="GC464" s="112"/>
      <c r="GD464" s="112"/>
      <c r="GE464" s="67">
        <f t="shared" si="311"/>
        <v>0</v>
      </c>
      <c r="GF464" s="113"/>
      <c r="GG464" s="113"/>
      <c r="GH464" s="113"/>
      <c r="GI464" s="113"/>
      <c r="GJ464" s="114"/>
    </row>
    <row r="465" spans="1:192" ht="18.600000000000001" customHeight="1" x14ac:dyDescent="0.25">
      <c r="A465" s="96"/>
      <c r="B465" s="97"/>
      <c r="C465" s="99"/>
      <c r="D465" s="140"/>
      <c r="E465" s="51"/>
      <c r="F465" s="139">
        <f t="shared" si="276"/>
        <v>1</v>
      </c>
      <c r="G465" s="98"/>
      <c r="H465" s="99"/>
      <c r="I465" s="122"/>
      <c r="J465" s="98"/>
      <c r="K465" s="99"/>
      <c r="L465" s="99"/>
      <c r="M465" s="100"/>
      <c r="N465" s="99"/>
      <c r="O465" s="99"/>
      <c r="P465" s="101"/>
      <c r="Q465" s="52">
        <f t="shared" si="281"/>
        <v>0</v>
      </c>
      <c r="R465" s="52">
        <f t="shared" si="282"/>
        <v>0</v>
      </c>
      <c r="S465" s="53">
        <f t="shared" si="283"/>
        <v>0</v>
      </c>
      <c r="T465" s="54">
        <f t="shared" si="284"/>
        <v>0</v>
      </c>
      <c r="U465" s="115">
        <f>SUM(Tableau1[[#This Row],[Vente confiserie]:[Vente boisson]])</f>
        <v>0</v>
      </c>
      <c r="V465" s="102"/>
      <c r="W465" s="102"/>
      <c r="X465" s="136">
        <f>SUM(Tableau1[[#This Row],[Vente lunette]:[Location lunette]])</f>
        <v>0</v>
      </c>
      <c r="Y465" s="102"/>
      <c r="Z465" s="102"/>
      <c r="AA465" s="102"/>
      <c r="AB465" s="102"/>
      <c r="AC465" s="56">
        <f t="shared" si="274"/>
        <v>0</v>
      </c>
      <c r="AD465" s="103"/>
      <c r="AE465" s="103"/>
      <c r="AF465" s="103"/>
      <c r="AG465" s="103"/>
      <c r="AH465" s="103"/>
      <c r="AI465" s="103"/>
      <c r="AJ465" s="118">
        <f>(Tableau1[[#This Row],[Recette guichet ]]*1.1275177)-Tableau1[[#This Row],[Recette guichet ]]</f>
        <v>0</v>
      </c>
      <c r="AK465" s="103"/>
      <c r="AL465" s="56">
        <f t="shared" si="275"/>
        <v>0</v>
      </c>
      <c r="AM465" s="104"/>
      <c r="AN465" s="58"/>
      <c r="AO465" s="104"/>
      <c r="AP465" s="115">
        <f t="shared" si="285"/>
        <v>0</v>
      </c>
      <c r="AQ465" s="105"/>
      <c r="AR465" s="105"/>
      <c r="AS465" s="105"/>
      <c r="AT465" s="105"/>
      <c r="AU465" s="59">
        <f t="shared" si="286"/>
        <v>0</v>
      </c>
      <c r="AV465" s="60">
        <f t="shared" si="287"/>
        <v>0</v>
      </c>
      <c r="AW465" s="104"/>
      <c r="AX465" s="104"/>
      <c r="AY465" s="104"/>
      <c r="AZ465" s="60">
        <f t="shared" si="277"/>
        <v>0</v>
      </c>
      <c r="BA465" s="104"/>
      <c r="BB465" s="104"/>
      <c r="BC465" s="104"/>
      <c r="BD465" s="60">
        <f>SUM(Tableau1[[#This Row],[ticket/carte/abonnement périmé]:[Autres ou non précisé 5]])</f>
        <v>0</v>
      </c>
      <c r="BE465" s="104"/>
      <c r="BF465" s="104"/>
      <c r="BG465" s="104"/>
      <c r="BH465" s="61">
        <f t="shared" si="288"/>
        <v>0</v>
      </c>
      <c r="BI465" s="137"/>
      <c r="BJ465" s="137"/>
      <c r="BK465" s="62">
        <f t="shared" si="289"/>
        <v>0</v>
      </c>
      <c r="BL465" s="137"/>
      <c r="BM465" s="137"/>
      <c r="BN465" s="137"/>
      <c r="BO465" s="137"/>
      <c r="BP465" s="137"/>
      <c r="BQ465" s="106"/>
      <c r="BR465" s="52">
        <f t="shared" si="290"/>
        <v>0</v>
      </c>
      <c r="BS465" s="52">
        <f t="shared" si="291"/>
        <v>0</v>
      </c>
      <c r="BT465" s="61">
        <f t="shared" si="292"/>
        <v>0</v>
      </c>
      <c r="BU465" s="64">
        <f t="shared" si="293"/>
        <v>0</v>
      </c>
      <c r="BV465" s="119">
        <f>SUM(Tableau1[[#This Row],[Achats confiserie]:[Achats boisson]])</f>
        <v>0</v>
      </c>
      <c r="BW465" s="104"/>
      <c r="BX465" s="105"/>
      <c r="BY465" s="104"/>
      <c r="BZ465" s="56">
        <f t="shared" si="294"/>
        <v>0</v>
      </c>
      <c r="CA465" s="210"/>
      <c r="CB465" s="210"/>
      <c r="CC465" s="56">
        <f t="shared" si="295"/>
        <v>0</v>
      </c>
      <c r="CD465" s="93"/>
      <c r="CE465" s="107"/>
      <c r="CF465" s="93"/>
      <c r="CG465" s="93"/>
      <c r="CH465" s="67">
        <f t="shared" si="296"/>
        <v>0</v>
      </c>
      <c r="CI465" s="68">
        <f t="shared" si="273"/>
        <v>0</v>
      </c>
      <c r="CJ465" s="93"/>
      <c r="CK465" s="93"/>
      <c r="CL465" s="93"/>
      <c r="CM465" s="93"/>
      <c r="CN465" s="93"/>
      <c r="CO465" s="68">
        <f t="shared" si="297"/>
        <v>0</v>
      </c>
      <c r="CP465" s="75">
        <f>SUM(Tableau1[[#This Row],[Fourniture eau]:[Energie (non précisé)]])</f>
        <v>0</v>
      </c>
      <c r="CQ465" s="93"/>
      <c r="CR465" s="93"/>
      <c r="CS465" s="93"/>
      <c r="CT465" s="93"/>
      <c r="CU465" s="93"/>
      <c r="CV465" s="93">
        <v>0</v>
      </c>
      <c r="CW465" s="93"/>
      <c r="CX465" s="68">
        <f>SUM(Tableau1[[#This Row],[Sous-traitance]:[Autres ou non précisé 12]])</f>
        <v>0</v>
      </c>
      <c r="CY465" s="107"/>
      <c r="CZ465" s="107"/>
      <c r="DA465" s="107"/>
      <c r="DB465" s="107"/>
      <c r="DC465" s="93"/>
      <c r="DD465" s="68">
        <f t="shared" si="278"/>
        <v>0</v>
      </c>
      <c r="DE465" s="93"/>
      <c r="DF465" s="107"/>
      <c r="DG465" s="107"/>
      <c r="DH465" s="107"/>
      <c r="DI465" s="68">
        <f>SUM(Tableau1[[#This Row],[Entretien et réparation matériel de projection]:[Autres ou non précisé 14]])</f>
        <v>0</v>
      </c>
      <c r="DJ465" s="104"/>
      <c r="DK465" s="104"/>
      <c r="DL465" s="105"/>
      <c r="DM465" s="68">
        <f t="shared" si="298"/>
        <v>0</v>
      </c>
      <c r="DN465" s="104"/>
      <c r="DO465" s="104"/>
      <c r="DP465" s="68">
        <f t="shared" si="299"/>
        <v>0</v>
      </c>
      <c r="DQ465" s="107"/>
      <c r="DR465" s="107"/>
      <c r="DS465" s="68">
        <f t="shared" si="300"/>
        <v>0</v>
      </c>
      <c r="DT465" s="107"/>
      <c r="DU465" s="107"/>
      <c r="DV465" s="107"/>
      <c r="DW465" s="68">
        <f>SUM(Tableau1[[#This Row],[Comission et courtage sur achats]:[Autres ou honoraires
 non précisé ]])</f>
        <v>0</v>
      </c>
      <c r="DX465" s="57"/>
      <c r="DY465" s="57"/>
      <c r="DZ465" s="107"/>
      <c r="EA465" s="107"/>
      <c r="EB465" s="107"/>
      <c r="EC465" s="68">
        <f t="shared" si="301"/>
        <v>0</v>
      </c>
      <c r="ED465" s="105"/>
      <c r="EE465" s="105"/>
      <c r="EF465" s="105"/>
      <c r="EG465" s="105"/>
      <c r="EH465" s="105"/>
      <c r="EI465" s="84">
        <f>SUM(Tableau1[[#This Row],[Transports sur films]:[autres ]])</f>
        <v>0</v>
      </c>
      <c r="EJ465" s="134">
        <v>0</v>
      </c>
      <c r="EK465" s="134"/>
      <c r="EL465" s="68">
        <f t="shared" si="302"/>
        <v>0</v>
      </c>
      <c r="EM465" s="107"/>
      <c r="EN465" s="107">
        <v>0</v>
      </c>
      <c r="EO465" s="107"/>
      <c r="EP465" s="107"/>
      <c r="EQ465" s="107"/>
      <c r="ER465" s="107"/>
      <c r="ES465" s="107"/>
      <c r="ET465" s="68">
        <f t="shared" si="303"/>
        <v>0</v>
      </c>
      <c r="EU465" s="107"/>
      <c r="EV465" s="107"/>
      <c r="EW465" s="107"/>
      <c r="EX465" s="107"/>
      <c r="EY465" s="107"/>
      <c r="EZ465" s="68">
        <f t="shared" si="280"/>
        <v>0</v>
      </c>
      <c r="FA465" s="107"/>
      <c r="FB465" s="107"/>
      <c r="FC465" s="70">
        <f t="shared" si="279"/>
        <v>0</v>
      </c>
      <c r="FD465" s="107"/>
      <c r="FE465" s="71">
        <f t="shared" si="304"/>
        <v>0</v>
      </c>
      <c r="FF465" s="72">
        <f t="shared" si="305"/>
        <v>0</v>
      </c>
      <c r="FG465" s="107"/>
      <c r="FH465" s="107"/>
      <c r="FI465" s="107"/>
      <c r="FJ465" s="56">
        <f t="shared" si="306"/>
        <v>0</v>
      </c>
      <c r="FK465" s="107"/>
      <c r="FL465" s="107"/>
      <c r="FM465" s="107"/>
      <c r="FN465" s="107"/>
      <c r="FO465" s="67">
        <f t="shared" si="307"/>
        <v>0</v>
      </c>
      <c r="FP465" s="103"/>
      <c r="FQ465" s="109"/>
      <c r="FR465" s="109"/>
      <c r="FS465" s="71">
        <f t="shared" si="308"/>
        <v>0</v>
      </c>
      <c r="FT465" s="110"/>
      <c r="FU465" s="110"/>
      <c r="FV465" s="67">
        <f>SUM(Tableau1[[#This Row],[Droits d''auteurs SACEM + cotisations SACEM]:[Autres ou non préciés]])</f>
        <v>0</v>
      </c>
      <c r="FW465" s="75">
        <f t="shared" si="309"/>
        <v>0</v>
      </c>
      <c r="FX465" s="111">
        <v>0</v>
      </c>
      <c r="FY465" s="111"/>
      <c r="FZ465" s="111"/>
      <c r="GA465" s="111"/>
      <c r="GB465" s="71">
        <f t="shared" si="310"/>
        <v>0</v>
      </c>
      <c r="GC465" s="112"/>
      <c r="GD465" s="112"/>
      <c r="GE465" s="67">
        <f t="shared" si="311"/>
        <v>0</v>
      </c>
      <c r="GF465" s="113"/>
      <c r="GG465" s="113"/>
      <c r="GH465" s="113"/>
      <c r="GI465" s="113"/>
      <c r="GJ465" s="114"/>
    </row>
    <row r="466" spans="1:192" ht="18.600000000000001" customHeight="1" x14ac:dyDescent="0.25">
      <c r="A466" s="96"/>
      <c r="B466" s="97"/>
      <c r="C466" s="99"/>
      <c r="D466" s="140"/>
      <c r="E466" s="51"/>
      <c r="F466" s="139">
        <f t="shared" si="276"/>
        <v>1</v>
      </c>
      <c r="G466" s="98"/>
      <c r="H466" s="99"/>
      <c r="I466" s="122"/>
      <c r="J466" s="98"/>
      <c r="K466" s="99"/>
      <c r="L466" s="99"/>
      <c r="M466" s="100"/>
      <c r="N466" s="99"/>
      <c r="O466" s="99"/>
      <c r="P466" s="101"/>
      <c r="Q466" s="52">
        <f t="shared" si="281"/>
        <v>0</v>
      </c>
      <c r="R466" s="52">
        <f t="shared" si="282"/>
        <v>0</v>
      </c>
      <c r="S466" s="53">
        <f t="shared" si="283"/>
        <v>0</v>
      </c>
      <c r="T466" s="54">
        <f t="shared" si="284"/>
        <v>0</v>
      </c>
      <c r="U466" s="115">
        <f>SUM(Tableau1[[#This Row],[Vente confiserie]:[Vente boisson]])</f>
        <v>0</v>
      </c>
      <c r="V466" s="102"/>
      <c r="W466" s="102"/>
      <c r="X466" s="136">
        <f>SUM(Tableau1[[#This Row],[Vente lunette]:[Location lunette]])</f>
        <v>0</v>
      </c>
      <c r="Y466" s="102"/>
      <c r="Z466" s="102"/>
      <c r="AA466" s="102"/>
      <c r="AB466" s="102"/>
      <c r="AC466" s="56">
        <f t="shared" si="274"/>
        <v>0</v>
      </c>
      <c r="AD466" s="103"/>
      <c r="AE466" s="103"/>
      <c r="AF466" s="103"/>
      <c r="AG466" s="103"/>
      <c r="AH466" s="103"/>
      <c r="AI466" s="103"/>
      <c r="AJ466" s="118">
        <f>(Tableau1[[#This Row],[Recette guichet ]]*1.1275177)-Tableau1[[#This Row],[Recette guichet ]]</f>
        <v>0</v>
      </c>
      <c r="AK466" s="103"/>
      <c r="AL466" s="56">
        <f t="shared" si="275"/>
        <v>0</v>
      </c>
      <c r="AM466" s="104"/>
      <c r="AN466" s="58"/>
      <c r="AO466" s="104"/>
      <c r="AP466" s="115">
        <f t="shared" si="285"/>
        <v>0</v>
      </c>
      <c r="AQ466" s="105"/>
      <c r="AR466" s="105"/>
      <c r="AS466" s="105"/>
      <c r="AT466" s="105"/>
      <c r="AU466" s="59">
        <f t="shared" si="286"/>
        <v>0</v>
      </c>
      <c r="AV466" s="60">
        <f t="shared" si="287"/>
        <v>0</v>
      </c>
      <c r="AW466" s="104"/>
      <c r="AX466" s="104"/>
      <c r="AY466" s="104"/>
      <c r="AZ466" s="60">
        <f t="shared" si="277"/>
        <v>0</v>
      </c>
      <c r="BA466" s="104"/>
      <c r="BB466" s="104"/>
      <c r="BC466" s="104"/>
      <c r="BD466" s="60">
        <f>SUM(Tableau1[[#This Row],[ticket/carte/abonnement périmé]:[Autres ou non précisé 5]])</f>
        <v>0</v>
      </c>
      <c r="BE466" s="104"/>
      <c r="BF466" s="104"/>
      <c r="BG466" s="104"/>
      <c r="BH466" s="61">
        <f t="shared" si="288"/>
        <v>0</v>
      </c>
      <c r="BI466" s="137"/>
      <c r="BJ466" s="137"/>
      <c r="BK466" s="62">
        <f t="shared" si="289"/>
        <v>0</v>
      </c>
      <c r="BL466" s="137"/>
      <c r="BM466" s="137"/>
      <c r="BN466" s="137"/>
      <c r="BO466" s="137"/>
      <c r="BP466" s="137"/>
      <c r="BQ466" s="106"/>
      <c r="BR466" s="52">
        <f t="shared" si="290"/>
        <v>0</v>
      </c>
      <c r="BS466" s="52">
        <f t="shared" si="291"/>
        <v>0</v>
      </c>
      <c r="BT466" s="61">
        <f t="shared" si="292"/>
        <v>0</v>
      </c>
      <c r="BU466" s="64">
        <f t="shared" si="293"/>
        <v>0</v>
      </c>
      <c r="BV466" s="119">
        <f>SUM(Tableau1[[#This Row],[Achats confiserie]:[Achats boisson]])</f>
        <v>0</v>
      </c>
      <c r="BW466" s="104"/>
      <c r="BX466" s="105"/>
      <c r="BY466" s="104"/>
      <c r="BZ466" s="56">
        <f t="shared" si="294"/>
        <v>0</v>
      </c>
      <c r="CA466" s="210"/>
      <c r="CB466" s="210"/>
      <c r="CC466" s="56">
        <f t="shared" si="295"/>
        <v>0</v>
      </c>
      <c r="CD466" s="93"/>
      <c r="CE466" s="107"/>
      <c r="CF466" s="93"/>
      <c r="CG466" s="93"/>
      <c r="CH466" s="67">
        <f t="shared" si="296"/>
        <v>0</v>
      </c>
      <c r="CI466" s="68">
        <f t="shared" si="273"/>
        <v>0</v>
      </c>
      <c r="CJ466" s="93"/>
      <c r="CK466" s="93"/>
      <c r="CL466" s="93"/>
      <c r="CM466" s="93"/>
      <c r="CN466" s="93"/>
      <c r="CO466" s="68">
        <f t="shared" si="297"/>
        <v>0</v>
      </c>
      <c r="CP466" s="75">
        <f>SUM(Tableau1[[#This Row],[Fourniture eau]:[Energie (non précisé)]])</f>
        <v>0</v>
      </c>
      <c r="CQ466" s="93"/>
      <c r="CR466" s="93"/>
      <c r="CS466" s="93"/>
      <c r="CT466" s="93"/>
      <c r="CU466" s="93"/>
      <c r="CV466" s="93">
        <v>0</v>
      </c>
      <c r="CW466" s="93"/>
      <c r="CX466" s="68">
        <f>SUM(Tableau1[[#This Row],[Sous-traitance]:[Autres ou non précisé 12]])</f>
        <v>0</v>
      </c>
      <c r="CY466" s="107"/>
      <c r="CZ466" s="107"/>
      <c r="DA466" s="107"/>
      <c r="DB466" s="107"/>
      <c r="DC466" s="93"/>
      <c r="DD466" s="68">
        <f t="shared" si="278"/>
        <v>0</v>
      </c>
      <c r="DE466" s="93"/>
      <c r="DF466" s="107"/>
      <c r="DG466" s="107"/>
      <c r="DH466" s="107"/>
      <c r="DI466" s="68">
        <f>SUM(Tableau1[[#This Row],[Entretien et réparation matériel de projection]:[Autres ou non précisé 14]])</f>
        <v>0</v>
      </c>
      <c r="DJ466" s="104"/>
      <c r="DK466" s="104"/>
      <c r="DL466" s="105"/>
      <c r="DM466" s="68">
        <f t="shared" si="298"/>
        <v>0</v>
      </c>
      <c r="DN466" s="104"/>
      <c r="DO466" s="104"/>
      <c r="DP466" s="68">
        <f t="shared" si="299"/>
        <v>0</v>
      </c>
      <c r="DQ466" s="107"/>
      <c r="DR466" s="107"/>
      <c r="DS466" s="68">
        <f t="shared" si="300"/>
        <v>0</v>
      </c>
      <c r="DT466" s="107"/>
      <c r="DU466" s="107"/>
      <c r="DV466" s="107"/>
      <c r="DW466" s="68">
        <f>SUM(Tableau1[[#This Row],[Comission et courtage sur achats]:[Autres ou honoraires
 non précisé ]])</f>
        <v>0</v>
      </c>
      <c r="DX466" s="57"/>
      <c r="DY466" s="57"/>
      <c r="DZ466" s="107"/>
      <c r="EA466" s="107"/>
      <c r="EB466" s="107"/>
      <c r="EC466" s="68">
        <f t="shared" si="301"/>
        <v>0</v>
      </c>
      <c r="ED466" s="105"/>
      <c r="EE466" s="105"/>
      <c r="EF466" s="105"/>
      <c r="EG466" s="105"/>
      <c r="EH466" s="105"/>
      <c r="EI466" s="84">
        <f>SUM(Tableau1[[#This Row],[Transports sur films]:[autres ]])</f>
        <v>0</v>
      </c>
      <c r="EJ466" s="134">
        <v>0</v>
      </c>
      <c r="EK466" s="134"/>
      <c r="EL466" s="68">
        <f t="shared" si="302"/>
        <v>0</v>
      </c>
      <c r="EM466" s="107"/>
      <c r="EN466" s="107">
        <v>0</v>
      </c>
      <c r="EO466" s="107"/>
      <c r="EP466" s="107"/>
      <c r="EQ466" s="107"/>
      <c r="ER466" s="107"/>
      <c r="ES466" s="107"/>
      <c r="ET466" s="68">
        <f t="shared" si="303"/>
        <v>0</v>
      </c>
      <c r="EU466" s="107"/>
      <c r="EV466" s="107"/>
      <c r="EW466" s="107"/>
      <c r="EX466" s="107"/>
      <c r="EY466" s="107"/>
      <c r="EZ466" s="68">
        <f t="shared" si="280"/>
        <v>0</v>
      </c>
      <c r="FA466" s="107"/>
      <c r="FB466" s="107"/>
      <c r="FC466" s="70">
        <f t="shared" si="279"/>
        <v>0</v>
      </c>
      <c r="FD466" s="107"/>
      <c r="FE466" s="71">
        <f t="shared" si="304"/>
        <v>0</v>
      </c>
      <c r="FF466" s="72">
        <f t="shared" si="305"/>
        <v>0</v>
      </c>
      <c r="FG466" s="107"/>
      <c r="FH466" s="107"/>
      <c r="FI466" s="107"/>
      <c r="FJ466" s="56">
        <f t="shared" si="306"/>
        <v>0</v>
      </c>
      <c r="FK466" s="107"/>
      <c r="FL466" s="107"/>
      <c r="FM466" s="107"/>
      <c r="FN466" s="107"/>
      <c r="FO466" s="67">
        <f t="shared" si="307"/>
        <v>0</v>
      </c>
      <c r="FP466" s="103"/>
      <c r="FQ466" s="109"/>
      <c r="FR466" s="109"/>
      <c r="FS466" s="71">
        <f t="shared" si="308"/>
        <v>0</v>
      </c>
      <c r="FT466" s="110"/>
      <c r="FU466" s="110"/>
      <c r="FV466" s="67">
        <f>SUM(Tableau1[[#This Row],[Droits d''auteurs SACEM + cotisations SACEM]:[Autres ou non préciés]])</f>
        <v>0</v>
      </c>
      <c r="FW466" s="75">
        <f t="shared" si="309"/>
        <v>0</v>
      </c>
      <c r="FX466" s="111">
        <v>0</v>
      </c>
      <c r="FY466" s="111"/>
      <c r="FZ466" s="111"/>
      <c r="GA466" s="111"/>
      <c r="GB466" s="71">
        <f t="shared" si="310"/>
        <v>0</v>
      </c>
      <c r="GC466" s="112"/>
      <c r="GD466" s="112"/>
      <c r="GE466" s="67">
        <f t="shared" si="311"/>
        <v>0</v>
      </c>
      <c r="GF466" s="113"/>
      <c r="GG466" s="113"/>
      <c r="GH466" s="113"/>
      <c r="GI466" s="113"/>
      <c r="GJ466" s="114"/>
    </row>
    <row r="467" spans="1:192" ht="18.600000000000001" customHeight="1" x14ac:dyDescent="0.25">
      <c r="A467" s="96"/>
      <c r="B467" s="97"/>
      <c r="C467" s="99"/>
      <c r="D467" s="140"/>
      <c r="E467" s="51"/>
      <c r="F467" s="139">
        <f t="shared" si="276"/>
        <v>1</v>
      </c>
      <c r="G467" s="98"/>
      <c r="H467" s="99"/>
      <c r="I467" s="122"/>
      <c r="J467" s="98"/>
      <c r="K467" s="99"/>
      <c r="L467" s="99"/>
      <c r="M467" s="100"/>
      <c r="N467" s="99"/>
      <c r="O467" s="99"/>
      <c r="P467" s="101"/>
      <c r="Q467" s="52">
        <f t="shared" si="281"/>
        <v>0</v>
      </c>
      <c r="R467" s="52">
        <f t="shared" si="282"/>
        <v>0</v>
      </c>
      <c r="S467" s="53">
        <f t="shared" si="283"/>
        <v>0</v>
      </c>
      <c r="T467" s="54">
        <f t="shared" si="284"/>
        <v>0</v>
      </c>
      <c r="U467" s="115">
        <f>SUM(Tableau1[[#This Row],[Vente confiserie]:[Vente boisson]])</f>
        <v>0</v>
      </c>
      <c r="V467" s="102"/>
      <c r="W467" s="102"/>
      <c r="X467" s="136">
        <f>SUM(Tableau1[[#This Row],[Vente lunette]:[Location lunette]])</f>
        <v>0</v>
      </c>
      <c r="Y467" s="102"/>
      <c r="Z467" s="102"/>
      <c r="AA467" s="102"/>
      <c r="AB467" s="102"/>
      <c r="AC467" s="56">
        <f t="shared" si="274"/>
        <v>0</v>
      </c>
      <c r="AD467" s="103"/>
      <c r="AE467" s="103"/>
      <c r="AF467" s="103"/>
      <c r="AG467" s="103"/>
      <c r="AH467" s="103"/>
      <c r="AI467" s="103"/>
      <c r="AJ467" s="118">
        <f>(Tableau1[[#This Row],[Recette guichet ]]*1.1275177)-Tableau1[[#This Row],[Recette guichet ]]</f>
        <v>0</v>
      </c>
      <c r="AK467" s="103"/>
      <c r="AL467" s="56">
        <f t="shared" si="275"/>
        <v>0</v>
      </c>
      <c r="AM467" s="104"/>
      <c r="AN467" s="58"/>
      <c r="AO467" s="104"/>
      <c r="AP467" s="115">
        <f t="shared" si="285"/>
        <v>0</v>
      </c>
      <c r="AQ467" s="105"/>
      <c r="AR467" s="105"/>
      <c r="AS467" s="105"/>
      <c r="AT467" s="105"/>
      <c r="AU467" s="59">
        <f t="shared" si="286"/>
        <v>0</v>
      </c>
      <c r="AV467" s="60">
        <f t="shared" si="287"/>
        <v>0</v>
      </c>
      <c r="AW467" s="104"/>
      <c r="AX467" s="104"/>
      <c r="AY467" s="104"/>
      <c r="AZ467" s="60">
        <f t="shared" si="277"/>
        <v>0</v>
      </c>
      <c r="BA467" s="104"/>
      <c r="BB467" s="104"/>
      <c r="BC467" s="104"/>
      <c r="BD467" s="60">
        <f>SUM(Tableau1[[#This Row],[ticket/carte/abonnement périmé]:[Autres ou non précisé 5]])</f>
        <v>0</v>
      </c>
      <c r="BE467" s="104"/>
      <c r="BF467" s="104"/>
      <c r="BG467" s="104"/>
      <c r="BH467" s="61">
        <f t="shared" si="288"/>
        <v>0</v>
      </c>
      <c r="BI467" s="137"/>
      <c r="BJ467" s="137"/>
      <c r="BK467" s="62">
        <f t="shared" si="289"/>
        <v>0</v>
      </c>
      <c r="BL467" s="137"/>
      <c r="BM467" s="137"/>
      <c r="BN467" s="137"/>
      <c r="BO467" s="137"/>
      <c r="BP467" s="137"/>
      <c r="BQ467" s="106"/>
      <c r="BR467" s="52">
        <f t="shared" si="290"/>
        <v>0</v>
      </c>
      <c r="BS467" s="52">
        <f t="shared" si="291"/>
        <v>0</v>
      </c>
      <c r="BT467" s="61">
        <f t="shared" si="292"/>
        <v>0</v>
      </c>
      <c r="BU467" s="64">
        <f t="shared" si="293"/>
        <v>0</v>
      </c>
      <c r="BV467" s="119">
        <f>SUM(Tableau1[[#This Row],[Achats confiserie]:[Achats boisson]])</f>
        <v>0</v>
      </c>
      <c r="BW467" s="104"/>
      <c r="BX467" s="105"/>
      <c r="BY467" s="104"/>
      <c r="BZ467" s="56">
        <f t="shared" si="294"/>
        <v>0</v>
      </c>
      <c r="CA467" s="210"/>
      <c r="CB467" s="210"/>
      <c r="CC467" s="56">
        <f t="shared" si="295"/>
        <v>0</v>
      </c>
      <c r="CD467" s="93"/>
      <c r="CE467" s="107"/>
      <c r="CF467" s="93"/>
      <c r="CG467" s="93"/>
      <c r="CH467" s="67">
        <f t="shared" si="296"/>
        <v>0</v>
      </c>
      <c r="CI467" s="68">
        <f t="shared" ref="CI467:CI499" si="312">SUM(CJ467:CN467)</f>
        <v>0</v>
      </c>
      <c r="CJ467" s="93"/>
      <c r="CK467" s="93"/>
      <c r="CL467" s="93"/>
      <c r="CM467" s="93"/>
      <c r="CN467" s="93"/>
      <c r="CO467" s="68">
        <f t="shared" si="297"/>
        <v>0</v>
      </c>
      <c r="CP467" s="75">
        <f>SUM(Tableau1[[#This Row],[Fourniture eau]:[Energie (non précisé)]])</f>
        <v>0</v>
      </c>
      <c r="CQ467" s="93"/>
      <c r="CR467" s="93"/>
      <c r="CS467" s="93"/>
      <c r="CT467" s="93"/>
      <c r="CU467" s="93"/>
      <c r="CV467" s="93">
        <v>0</v>
      </c>
      <c r="CW467" s="93"/>
      <c r="CX467" s="68">
        <f>SUM(Tableau1[[#This Row],[Sous-traitance]:[Autres ou non précisé 12]])</f>
        <v>0</v>
      </c>
      <c r="CY467" s="107"/>
      <c r="CZ467" s="107"/>
      <c r="DA467" s="107"/>
      <c r="DB467" s="107"/>
      <c r="DC467" s="93"/>
      <c r="DD467" s="68">
        <f t="shared" si="278"/>
        <v>0</v>
      </c>
      <c r="DE467" s="93"/>
      <c r="DF467" s="107"/>
      <c r="DG467" s="107"/>
      <c r="DH467" s="107"/>
      <c r="DI467" s="68">
        <f>SUM(Tableau1[[#This Row],[Entretien et réparation matériel de projection]:[Autres ou non précisé 14]])</f>
        <v>0</v>
      </c>
      <c r="DJ467" s="104"/>
      <c r="DK467" s="104"/>
      <c r="DL467" s="105"/>
      <c r="DM467" s="68">
        <f t="shared" si="298"/>
        <v>0</v>
      </c>
      <c r="DN467" s="104"/>
      <c r="DO467" s="104"/>
      <c r="DP467" s="68">
        <f t="shared" si="299"/>
        <v>0</v>
      </c>
      <c r="DQ467" s="107"/>
      <c r="DR467" s="107"/>
      <c r="DS467" s="68">
        <f t="shared" si="300"/>
        <v>0</v>
      </c>
      <c r="DT467" s="107"/>
      <c r="DU467" s="107"/>
      <c r="DV467" s="107"/>
      <c r="DW467" s="68">
        <f>SUM(Tableau1[[#This Row],[Comission et courtage sur achats]:[Autres ou honoraires
 non précisé ]])</f>
        <v>0</v>
      </c>
      <c r="DX467" s="57"/>
      <c r="DY467" s="57"/>
      <c r="DZ467" s="107"/>
      <c r="EA467" s="107"/>
      <c r="EB467" s="107"/>
      <c r="EC467" s="68">
        <f t="shared" si="301"/>
        <v>0</v>
      </c>
      <c r="ED467" s="105"/>
      <c r="EE467" s="105"/>
      <c r="EF467" s="105"/>
      <c r="EG467" s="105"/>
      <c r="EH467" s="105"/>
      <c r="EI467" s="84">
        <f>SUM(Tableau1[[#This Row],[Transports sur films]:[autres ]])</f>
        <v>0</v>
      </c>
      <c r="EJ467" s="134">
        <v>0</v>
      </c>
      <c r="EK467" s="134"/>
      <c r="EL467" s="68">
        <f t="shared" si="302"/>
        <v>0</v>
      </c>
      <c r="EM467" s="107"/>
      <c r="EN467" s="107">
        <v>0</v>
      </c>
      <c r="EO467" s="107"/>
      <c r="EP467" s="107"/>
      <c r="EQ467" s="107"/>
      <c r="ER467" s="107"/>
      <c r="ES467" s="107"/>
      <c r="ET467" s="68">
        <f t="shared" si="303"/>
        <v>0</v>
      </c>
      <c r="EU467" s="107"/>
      <c r="EV467" s="107"/>
      <c r="EW467" s="107"/>
      <c r="EX467" s="107"/>
      <c r="EY467" s="107"/>
      <c r="EZ467" s="68">
        <f t="shared" si="280"/>
        <v>0</v>
      </c>
      <c r="FA467" s="107"/>
      <c r="FB467" s="107"/>
      <c r="FC467" s="70">
        <f t="shared" si="279"/>
        <v>0</v>
      </c>
      <c r="FD467" s="107"/>
      <c r="FE467" s="71">
        <f t="shared" si="304"/>
        <v>0</v>
      </c>
      <c r="FF467" s="72">
        <f t="shared" si="305"/>
        <v>0</v>
      </c>
      <c r="FG467" s="107"/>
      <c r="FH467" s="107"/>
      <c r="FI467" s="107"/>
      <c r="FJ467" s="56">
        <f t="shared" si="306"/>
        <v>0</v>
      </c>
      <c r="FK467" s="107"/>
      <c r="FL467" s="107"/>
      <c r="FM467" s="107"/>
      <c r="FN467" s="107"/>
      <c r="FO467" s="67">
        <f t="shared" si="307"/>
        <v>0</v>
      </c>
      <c r="FP467" s="103"/>
      <c r="FQ467" s="109"/>
      <c r="FR467" s="109"/>
      <c r="FS467" s="71">
        <f t="shared" si="308"/>
        <v>0</v>
      </c>
      <c r="FT467" s="110"/>
      <c r="FU467" s="110"/>
      <c r="FV467" s="67">
        <f>SUM(Tableau1[[#This Row],[Droits d''auteurs SACEM + cotisations SACEM]:[Autres ou non préciés]])</f>
        <v>0</v>
      </c>
      <c r="FW467" s="75">
        <f t="shared" si="309"/>
        <v>0</v>
      </c>
      <c r="FX467" s="111">
        <v>0</v>
      </c>
      <c r="FY467" s="111"/>
      <c r="FZ467" s="111"/>
      <c r="GA467" s="111"/>
      <c r="GB467" s="71">
        <f t="shared" si="310"/>
        <v>0</v>
      </c>
      <c r="GC467" s="112"/>
      <c r="GD467" s="112"/>
      <c r="GE467" s="67">
        <f t="shared" si="311"/>
        <v>0</v>
      </c>
      <c r="GF467" s="113"/>
      <c r="GG467" s="113"/>
      <c r="GH467" s="113"/>
      <c r="GI467" s="113"/>
      <c r="GJ467" s="114"/>
    </row>
    <row r="468" spans="1:192" ht="18.600000000000001" customHeight="1" x14ac:dyDescent="0.25">
      <c r="A468" s="96"/>
      <c r="B468" s="97"/>
      <c r="C468" s="99"/>
      <c r="D468" s="140"/>
      <c r="E468" s="51"/>
      <c r="F468" s="139">
        <f t="shared" si="276"/>
        <v>1</v>
      </c>
      <c r="G468" s="98"/>
      <c r="H468" s="99"/>
      <c r="I468" s="122"/>
      <c r="J468" s="98"/>
      <c r="K468" s="99"/>
      <c r="L468" s="99"/>
      <c r="M468" s="100"/>
      <c r="N468" s="99"/>
      <c r="O468" s="99"/>
      <c r="P468" s="101"/>
      <c r="Q468" s="52">
        <f t="shared" si="281"/>
        <v>0</v>
      </c>
      <c r="R468" s="52">
        <f t="shared" si="282"/>
        <v>0</v>
      </c>
      <c r="S468" s="53">
        <f t="shared" si="283"/>
        <v>0</v>
      </c>
      <c r="T468" s="54">
        <f t="shared" si="284"/>
        <v>0</v>
      </c>
      <c r="U468" s="115">
        <f>SUM(Tableau1[[#This Row],[Vente confiserie]:[Vente boisson]])</f>
        <v>0</v>
      </c>
      <c r="V468" s="102"/>
      <c r="W468" s="102"/>
      <c r="X468" s="136">
        <f>SUM(Tableau1[[#This Row],[Vente lunette]:[Location lunette]])</f>
        <v>0</v>
      </c>
      <c r="Y468" s="102"/>
      <c r="Z468" s="102"/>
      <c r="AA468" s="102"/>
      <c r="AB468" s="102"/>
      <c r="AC468" s="56">
        <f t="shared" si="274"/>
        <v>0</v>
      </c>
      <c r="AD468" s="103"/>
      <c r="AE468" s="103"/>
      <c r="AF468" s="103"/>
      <c r="AG468" s="103"/>
      <c r="AH468" s="103"/>
      <c r="AI468" s="103"/>
      <c r="AJ468" s="118">
        <f>(Tableau1[[#This Row],[Recette guichet ]]*1.1275177)-Tableau1[[#This Row],[Recette guichet ]]</f>
        <v>0</v>
      </c>
      <c r="AK468" s="103"/>
      <c r="AL468" s="56">
        <f t="shared" si="275"/>
        <v>0</v>
      </c>
      <c r="AM468" s="104"/>
      <c r="AN468" s="58"/>
      <c r="AO468" s="104"/>
      <c r="AP468" s="115">
        <f t="shared" si="285"/>
        <v>0</v>
      </c>
      <c r="AQ468" s="105"/>
      <c r="AR468" s="105"/>
      <c r="AS468" s="105"/>
      <c r="AT468" s="105"/>
      <c r="AU468" s="59">
        <f t="shared" si="286"/>
        <v>0</v>
      </c>
      <c r="AV468" s="60">
        <f t="shared" si="287"/>
        <v>0</v>
      </c>
      <c r="AW468" s="104"/>
      <c r="AX468" s="104"/>
      <c r="AY468" s="104"/>
      <c r="AZ468" s="60">
        <f t="shared" si="277"/>
        <v>0</v>
      </c>
      <c r="BA468" s="104"/>
      <c r="BB468" s="104"/>
      <c r="BC468" s="104"/>
      <c r="BD468" s="60">
        <f>SUM(Tableau1[[#This Row],[ticket/carte/abonnement périmé]:[Autres ou non précisé 5]])</f>
        <v>0</v>
      </c>
      <c r="BE468" s="104"/>
      <c r="BF468" s="104"/>
      <c r="BG468" s="104"/>
      <c r="BH468" s="61">
        <f t="shared" si="288"/>
        <v>0</v>
      </c>
      <c r="BI468" s="137"/>
      <c r="BJ468" s="137"/>
      <c r="BK468" s="62">
        <f t="shared" si="289"/>
        <v>0</v>
      </c>
      <c r="BL468" s="137"/>
      <c r="BM468" s="137"/>
      <c r="BN468" s="137"/>
      <c r="BO468" s="137"/>
      <c r="BP468" s="137"/>
      <c r="BQ468" s="106"/>
      <c r="BR468" s="52">
        <f t="shared" si="290"/>
        <v>0</v>
      </c>
      <c r="BS468" s="52">
        <f t="shared" si="291"/>
        <v>0</v>
      </c>
      <c r="BT468" s="61">
        <f t="shared" si="292"/>
        <v>0</v>
      </c>
      <c r="BU468" s="64">
        <f t="shared" si="293"/>
        <v>0</v>
      </c>
      <c r="BV468" s="119">
        <f>SUM(Tableau1[[#This Row],[Achats confiserie]:[Achats boisson]])</f>
        <v>0</v>
      </c>
      <c r="BW468" s="104"/>
      <c r="BX468" s="105"/>
      <c r="BY468" s="104"/>
      <c r="BZ468" s="56">
        <f t="shared" si="294"/>
        <v>0</v>
      </c>
      <c r="CA468" s="108"/>
      <c r="CB468" s="108"/>
      <c r="CC468" s="56">
        <f t="shared" si="295"/>
        <v>0</v>
      </c>
      <c r="CD468" s="93"/>
      <c r="CE468" s="107"/>
      <c r="CF468" s="93"/>
      <c r="CG468" s="93"/>
      <c r="CH468" s="67">
        <f t="shared" si="296"/>
        <v>0</v>
      </c>
      <c r="CI468" s="68">
        <f t="shared" si="312"/>
        <v>0</v>
      </c>
      <c r="CJ468" s="93"/>
      <c r="CK468" s="93"/>
      <c r="CL468" s="93"/>
      <c r="CM468" s="93"/>
      <c r="CN468" s="93"/>
      <c r="CO468" s="68">
        <f t="shared" si="297"/>
        <v>0</v>
      </c>
      <c r="CP468" s="75">
        <f>SUM(Tableau1[[#This Row],[Fourniture eau]:[Energie (non précisé)]])</f>
        <v>0</v>
      </c>
      <c r="CQ468" s="93"/>
      <c r="CR468" s="93"/>
      <c r="CS468" s="93"/>
      <c r="CT468" s="93"/>
      <c r="CU468" s="93"/>
      <c r="CV468" s="93">
        <v>0</v>
      </c>
      <c r="CW468" s="93"/>
      <c r="CX468" s="68">
        <f>SUM(Tableau1[[#This Row],[Sous-traitance]:[Autres ou non précisé 12]])</f>
        <v>0</v>
      </c>
      <c r="CY468" s="107"/>
      <c r="CZ468" s="107"/>
      <c r="DA468" s="107"/>
      <c r="DB468" s="107"/>
      <c r="DC468" s="93"/>
      <c r="DD468" s="68">
        <f t="shared" si="278"/>
        <v>0</v>
      </c>
      <c r="DE468" s="93"/>
      <c r="DF468" s="107"/>
      <c r="DG468" s="107"/>
      <c r="DH468" s="107"/>
      <c r="DI468" s="68">
        <f>SUM(Tableau1[[#This Row],[Entretien et réparation matériel de projection]:[Autres ou non précisé 14]])</f>
        <v>0</v>
      </c>
      <c r="DJ468" s="104"/>
      <c r="DK468" s="104"/>
      <c r="DL468" s="105"/>
      <c r="DM468" s="68">
        <f t="shared" si="298"/>
        <v>0</v>
      </c>
      <c r="DN468" s="104"/>
      <c r="DO468" s="104"/>
      <c r="DP468" s="68">
        <f t="shared" si="299"/>
        <v>0</v>
      </c>
      <c r="DQ468" s="107"/>
      <c r="DR468" s="107"/>
      <c r="DS468" s="68">
        <f t="shared" si="300"/>
        <v>0</v>
      </c>
      <c r="DT468" s="107"/>
      <c r="DU468" s="107"/>
      <c r="DV468" s="107"/>
      <c r="DW468" s="68">
        <f>SUM(Tableau1[[#This Row],[Comission et courtage sur achats]:[Autres ou honoraires
 non précisé ]])</f>
        <v>0</v>
      </c>
      <c r="DX468" s="57"/>
      <c r="DY468" s="57"/>
      <c r="DZ468" s="107"/>
      <c r="EA468" s="107"/>
      <c r="EB468" s="107"/>
      <c r="EC468" s="68">
        <f t="shared" si="301"/>
        <v>0</v>
      </c>
      <c r="ED468" s="105"/>
      <c r="EE468" s="105"/>
      <c r="EF468" s="105"/>
      <c r="EG468" s="105"/>
      <c r="EH468" s="105"/>
      <c r="EI468" s="84">
        <f>SUM(Tableau1[[#This Row],[Transports sur films]:[autres ]])</f>
        <v>0</v>
      </c>
      <c r="EJ468" s="134">
        <v>0</v>
      </c>
      <c r="EK468" s="134"/>
      <c r="EL468" s="68">
        <f t="shared" si="302"/>
        <v>0</v>
      </c>
      <c r="EM468" s="107"/>
      <c r="EN468" s="107">
        <v>0</v>
      </c>
      <c r="EO468" s="107"/>
      <c r="EP468" s="107"/>
      <c r="EQ468" s="107"/>
      <c r="ER468" s="107"/>
      <c r="ES468" s="107"/>
      <c r="ET468" s="68">
        <f t="shared" si="303"/>
        <v>0</v>
      </c>
      <c r="EU468" s="107"/>
      <c r="EV468" s="107"/>
      <c r="EW468" s="107"/>
      <c r="EX468" s="107"/>
      <c r="EY468" s="107"/>
      <c r="EZ468" s="68">
        <f t="shared" si="280"/>
        <v>0</v>
      </c>
      <c r="FA468" s="107"/>
      <c r="FB468" s="107"/>
      <c r="FC468" s="70">
        <f t="shared" si="279"/>
        <v>0</v>
      </c>
      <c r="FD468" s="107"/>
      <c r="FE468" s="71">
        <f t="shared" si="304"/>
        <v>0</v>
      </c>
      <c r="FF468" s="72">
        <f t="shared" si="305"/>
        <v>0</v>
      </c>
      <c r="FG468" s="107"/>
      <c r="FH468" s="107"/>
      <c r="FI468" s="107"/>
      <c r="FJ468" s="56">
        <f t="shared" si="306"/>
        <v>0</v>
      </c>
      <c r="FK468" s="107"/>
      <c r="FL468" s="107"/>
      <c r="FM468" s="107"/>
      <c r="FN468" s="107"/>
      <c r="FO468" s="67">
        <f t="shared" si="307"/>
        <v>0</v>
      </c>
      <c r="FP468" s="103"/>
      <c r="FQ468" s="109"/>
      <c r="FR468" s="109"/>
      <c r="FS468" s="71">
        <f t="shared" si="308"/>
        <v>0</v>
      </c>
      <c r="FT468" s="110"/>
      <c r="FU468" s="110"/>
      <c r="FV468" s="67">
        <f>SUM(Tableau1[[#This Row],[Droits d''auteurs SACEM + cotisations SACEM]:[Autres ou non préciés]])</f>
        <v>0</v>
      </c>
      <c r="FW468" s="75">
        <f t="shared" si="309"/>
        <v>0</v>
      </c>
      <c r="FX468" s="111">
        <v>0</v>
      </c>
      <c r="FY468" s="111"/>
      <c r="FZ468" s="111"/>
      <c r="GA468" s="111"/>
      <c r="GB468" s="71">
        <f t="shared" si="310"/>
        <v>0</v>
      </c>
      <c r="GC468" s="112"/>
      <c r="GD468" s="112"/>
      <c r="GE468" s="67">
        <f t="shared" si="311"/>
        <v>0</v>
      </c>
      <c r="GF468" s="113"/>
      <c r="GG468" s="113"/>
      <c r="GH468" s="113"/>
      <c r="GI468" s="113"/>
      <c r="GJ468" s="114"/>
    </row>
    <row r="469" spans="1:192" ht="18.600000000000001" customHeight="1" x14ac:dyDescent="0.25">
      <c r="A469" s="96"/>
      <c r="B469" s="97"/>
      <c r="C469" s="99"/>
      <c r="D469" s="140"/>
      <c r="E469" s="51"/>
      <c r="F469" s="139">
        <f t="shared" si="276"/>
        <v>1</v>
      </c>
      <c r="G469" s="98"/>
      <c r="H469" s="99"/>
      <c r="I469" s="122"/>
      <c r="J469" s="98"/>
      <c r="K469" s="99"/>
      <c r="L469" s="99"/>
      <c r="M469" s="100"/>
      <c r="N469" s="99"/>
      <c r="O469" s="99"/>
      <c r="P469" s="101"/>
      <c r="Q469" s="52">
        <f t="shared" si="281"/>
        <v>0</v>
      </c>
      <c r="R469" s="52">
        <f t="shared" si="282"/>
        <v>0</v>
      </c>
      <c r="S469" s="53">
        <f t="shared" si="283"/>
        <v>0</v>
      </c>
      <c r="T469" s="54">
        <f t="shared" si="284"/>
        <v>0</v>
      </c>
      <c r="U469" s="115">
        <f>SUM(Tableau1[[#This Row],[Vente confiserie]:[Vente boisson]])</f>
        <v>0</v>
      </c>
      <c r="V469" s="102"/>
      <c r="W469" s="102"/>
      <c r="X469" s="136">
        <f>SUM(Tableau1[[#This Row],[Vente lunette]:[Location lunette]])</f>
        <v>0</v>
      </c>
      <c r="Y469" s="102"/>
      <c r="Z469" s="102"/>
      <c r="AA469" s="102"/>
      <c r="AB469" s="102"/>
      <c r="AC469" s="56">
        <f t="shared" ref="AC469:AC499" si="313">SUM(AD469:AI469,AK469)</f>
        <v>0</v>
      </c>
      <c r="AD469" s="103"/>
      <c r="AE469" s="103"/>
      <c r="AF469" s="103"/>
      <c r="AG469" s="103"/>
      <c r="AH469" s="103"/>
      <c r="AI469" s="103"/>
      <c r="AJ469" s="118">
        <f>(Tableau1[[#This Row],[Recette guichet ]]*1.1275177)-Tableau1[[#This Row],[Recette guichet ]]</f>
        <v>0</v>
      </c>
      <c r="AK469" s="103"/>
      <c r="AL469" s="56">
        <f t="shared" si="275"/>
        <v>0</v>
      </c>
      <c r="AM469" s="104"/>
      <c r="AN469" s="58"/>
      <c r="AO469" s="104"/>
      <c r="AP469" s="115">
        <f t="shared" si="285"/>
        <v>0</v>
      </c>
      <c r="AQ469" s="105"/>
      <c r="AR469" s="105"/>
      <c r="AS469" s="105"/>
      <c r="AT469" s="105"/>
      <c r="AU469" s="59">
        <f t="shared" si="286"/>
        <v>0</v>
      </c>
      <c r="AV469" s="60">
        <f t="shared" si="287"/>
        <v>0</v>
      </c>
      <c r="AW469" s="104"/>
      <c r="AX469" s="104"/>
      <c r="AY469" s="104"/>
      <c r="AZ469" s="60">
        <f t="shared" si="277"/>
        <v>0</v>
      </c>
      <c r="BA469" s="104"/>
      <c r="BB469" s="104"/>
      <c r="BC469" s="104"/>
      <c r="BD469" s="60">
        <f>SUM(Tableau1[[#This Row],[ticket/carte/abonnement périmé]:[Autres ou non précisé 5]])</f>
        <v>0</v>
      </c>
      <c r="BE469" s="104"/>
      <c r="BF469" s="104"/>
      <c r="BG469" s="104"/>
      <c r="BH469" s="61">
        <f t="shared" si="288"/>
        <v>0</v>
      </c>
      <c r="BI469" s="137"/>
      <c r="BJ469" s="137"/>
      <c r="BK469" s="62">
        <f t="shared" si="289"/>
        <v>0</v>
      </c>
      <c r="BL469" s="137"/>
      <c r="BM469" s="137"/>
      <c r="BN469" s="137"/>
      <c r="BO469" s="137"/>
      <c r="BP469" s="137"/>
      <c r="BQ469" s="106"/>
      <c r="BR469" s="52">
        <f t="shared" si="290"/>
        <v>0</v>
      </c>
      <c r="BS469" s="52">
        <f t="shared" si="291"/>
        <v>0</v>
      </c>
      <c r="BT469" s="61">
        <f t="shared" si="292"/>
        <v>0</v>
      </c>
      <c r="BU469" s="64">
        <f t="shared" si="293"/>
        <v>0</v>
      </c>
      <c r="BV469" s="119">
        <f>SUM(Tableau1[[#This Row],[Achats confiserie]:[Achats boisson]])</f>
        <v>0</v>
      </c>
      <c r="BW469" s="104"/>
      <c r="BX469" s="105"/>
      <c r="BY469" s="104"/>
      <c r="BZ469" s="56">
        <f t="shared" si="294"/>
        <v>0</v>
      </c>
      <c r="CA469" s="108"/>
      <c r="CB469" s="108"/>
      <c r="CC469" s="56">
        <f t="shared" si="295"/>
        <v>0</v>
      </c>
      <c r="CD469" s="93"/>
      <c r="CE469" s="107"/>
      <c r="CF469" s="93"/>
      <c r="CG469" s="93"/>
      <c r="CH469" s="67">
        <f t="shared" si="296"/>
        <v>0</v>
      </c>
      <c r="CI469" s="68">
        <f t="shared" si="312"/>
        <v>0</v>
      </c>
      <c r="CJ469" s="93"/>
      <c r="CK469" s="93"/>
      <c r="CL469" s="93"/>
      <c r="CM469" s="93"/>
      <c r="CN469" s="93"/>
      <c r="CO469" s="68">
        <f t="shared" si="297"/>
        <v>0</v>
      </c>
      <c r="CP469" s="75">
        <f>SUM(Tableau1[[#This Row],[Fourniture eau]:[Energie (non précisé)]])</f>
        <v>0</v>
      </c>
      <c r="CQ469" s="93"/>
      <c r="CR469" s="93"/>
      <c r="CS469" s="93"/>
      <c r="CT469" s="93"/>
      <c r="CU469" s="93"/>
      <c r="CV469" s="93">
        <v>0</v>
      </c>
      <c r="CW469" s="93"/>
      <c r="CX469" s="68">
        <f>SUM(Tableau1[[#This Row],[Sous-traitance]:[Autres ou non précisé 12]])</f>
        <v>0</v>
      </c>
      <c r="CY469" s="107"/>
      <c r="CZ469" s="107"/>
      <c r="DA469" s="107"/>
      <c r="DB469" s="107"/>
      <c r="DC469" s="93"/>
      <c r="DD469" s="68">
        <f t="shared" si="278"/>
        <v>0</v>
      </c>
      <c r="DE469" s="93"/>
      <c r="DF469" s="107"/>
      <c r="DG469" s="107"/>
      <c r="DH469" s="107"/>
      <c r="DI469" s="68">
        <f>SUM(Tableau1[[#This Row],[Entretien et réparation matériel de projection]:[Autres ou non précisé 14]])</f>
        <v>0</v>
      </c>
      <c r="DJ469" s="104"/>
      <c r="DK469" s="104"/>
      <c r="DL469" s="105"/>
      <c r="DM469" s="68">
        <f t="shared" si="298"/>
        <v>0</v>
      </c>
      <c r="DN469" s="104"/>
      <c r="DO469" s="104"/>
      <c r="DP469" s="68">
        <f t="shared" si="299"/>
        <v>0</v>
      </c>
      <c r="DQ469" s="107"/>
      <c r="DR469" s="107"/>
      <c r="DS469" s="68">
        <f t="shared" si="300"/>
        <v>0</v>
      </c>
      <c r="DT469" s="107"/>
      <c r="DU469" s="107"/>
      <c r="DV469" s="107"/>
      <c r="DW469" s="68">
        <f>SUM(Tableau1[[#This Row],[Comission et courtage sur achats]:[Autres ou honoraires
 non précisé ]])</f>
        <v>0</v>
      </c>
      <c r="DX469" s="57"/>
      <c r="DY469" s="57"/>
      <c r="DZ469" s="107"/>
      <c r="EA469" s="107"/>
      <c r="EB469" s="107"/>
      <c r="EC469" s="68">
        <f t="shared" si="301"/>
        <v>0</v>
      </c>
      <c r="ED469" s="105"/>
      <c r="EE469" s="105"/>
      <c r="EF469" s="105"/>
      <c r="EG469" s="105"/>
      <c r="EH469" s="105"/>
      <c r="EI469" s="84">
        <f>SUM(Tableau1[[#This Row],[Transports sur films]:[autres ]])</f>
        <v>0</v>
      </c>
      <c r="EJ469" s="134">
        <v>0</v>
      </c>
      <c r="EK469" s="134"/>
      <c r="EL469" s="68">
        <f t="shared" si="302"/>
        <v>0</v>
      </c>
      <c r="EM469" s="107"/>
      <c r="EN469" s="107">
        <v>0</v>
      </c>
      <c r="EO469" s="107"/>
      <c r="EP469" s="107"/>
      <c r="EQ469" s="107"/>
      <c r="ER469" s="107"/>
      <c r="ES469" s="107"/>
      <c r="ET469" s="68">
        <f t="shared" si="303"/>
        <v>0</v>
      </c>
      <c r="EU469" s="107"/>
      <c r="EV469" s="107"/>
      <c r="EW469" s="107"/>
      <c r="EX469" s="107"/>
      <c r="EY469" s="107"/>
      <c r="EZ469" s="68">
        <f t="shared" si="280"/>
        <v>0</v>
      </c>
      <c r="FA469" s="107"/>
      <c r="FB469" s="107"/>
      <c r="FC469" s="70">
        <f t="shared" si="279"/>
        <v>0</v>
      </c>
      <c r="FD469" s="107"/>
      <c r="FE469" s="71">
        <f t="shared" si="304"/>
        <v>0</v>
      </c>
      <c r="FF469" s="72">
        <f t="shared" si="305"/>
        <v>0</v>
      </c>
      <c r="FG469" s="107"/>
      <c r="FH469" s="107"/>
      <c r="FI469" s="107"/>
      <c r="FJ469" s="56">
        <f t="shared" si="306"/>
        <v>0</v>
      </c>
      <c r="FK469" s="107"/>
      <c r="FL469" s="107"/>
      <c r="FM469" s="107"/>
      <c r="FN469" s="107"/>
      <c r="FO469" s="67">
        <f t="shared" si="307"/>
        <v>0</v>
      </c>
      <c r="FP469" s="103"/>
      <c r="FQ469" s="109"/>
      <c r="FR469" s="109"/>
      <c r="FS469" s="71">
        <f t="shared" si="308"/>
        <v>0</v>
      </c>
      <c r="FT469" s="110"/>
      <c r="FU469" s="110"/>
      <c r="FV469" s="67">
        <f>SUM(Tableau1[[#This Row],[Droits d''auteurs SACEM + cotisations SACEM]:[Autres ou non préciés]])</f>
        <v>0</v>
      </c>
      <c r="FW469" s="75">
        <f t="shared" si="309"/>
        <v>0</v>
      </c>
      <c r="FX469" s="111">
        <v>0</v>
      </c>
      <c r="FY469" s="111"/>
      <c r="FZ469" s="111"/>
      <c r="GA469" s="111"/>
      <c r="GB469" s="71">
        <f t="shared" si="310"/>
        <v>0</v>
      </c>
      <c r="GC469" s="112"/>
      <c r="GD469" s="112"/>
      <c r="GE469" s="67">
        <f t="shared" si="311"/>
        <v>0</v>
      </c>
      <c r="GF469" s="113"/>
      <c r="GG469" s="113"/>
      <c r="GH469" s="113"/>
      <c r="GI469" s="113"/>
      <c r="GJ469" s="114"/>
    </row>
    <row r="470" spans="1:192" ht="18.600000000000001" customHeight="1" x14ac:dyDescent="0.25">
      <c r="A470" s="96"/>
      <c r="B470" s="97"/>
      <c r="C470" s="99"/>
      <c r="D470" s="140"/>
      <c r="E470" s="51"/>
      <c r="F470" s="139">
        <f t="shared" si="276"/>
        <v>1</v>
      </c>
      <c r="G470" s="98"/>
      <c r="H470" s="99"/>
      <c r="I470" s="122"/>
      <c r="J470" s="98"/>
      <c r="K470" s="99"/>
      <c r="L470" s="99"/>
      <c r="M470" s="100"/>
      <c r="N470" s="99"/>
      <c r="O470" s="99"/>
      <c r="P470" s="101"/>
      <c r="Q470" s="52">
        <f t="shared" si="281"/>
        <v>0</v>
      </c>
      <c r="R470" s="52">
        <f t="shared" si="282"/>
        <v>0</v>
      </c>
      <c r="S470" s="53">
        <f t="shared" si="283"/>
        <v>0</v>
      </c>
      <c r="T470" s="54">
        <f t="shared" si="284"/>
        <v>0</v>
      </c>
      <c r="U470" s="115">
        <f>SUM(Tableau1[[#This Row],[Vente confiserie]:[Vente boisson]])</f>
        <v>0</v>
      </c>
      <c r="V470" s="102"/>
      <c r="W470" s="102"/>
      <c r="X470" s="136">
        <f>SUM(Tableau1[[#This Row],[Vente lunette]:[Location lunette]])</f>
        <v>0</v>
      </c>
      <c r="Y470" s="102"/>
      <c r="Z470" s="102"/>
      <c r="AA470" s="102"/>
      <c r="AB470" s="102"/>
      <c r="AC470" s="56">
        <f t="shared" si="313"/>
        <v>0</v>
      </c>
      <c r="AD470" s="103"/>
      <c r="AE470" s="103"/>
      <c r="AF470" s="103"/>
      <c r="AG470" s="103"/>
      <c r="AH470" s="103"/>
      <c r="AI470" s="103"/>
      <c r="AJ470" s="118">
        <f>(Tableau1[[#This Row],[Recette guichet ]]*1.1275177)-Tableau1[[#This Row],[Recette guichet ]]</f>
        <v>0</v>
      </c>
      <c r="AK470" s="103"/>
      <c r="AL470" s="56">
        <f t="shared" si="275"/>
        <v>0</v>
      </c>
      <c r="AM470" s="104"/>
      <c r="AN470" s="58"/>
      <c r="AO470" s="104"/>
      <c r="AP470" s="115">
        <f t="shared" si="285"/>
        <v>0</v>
      </c>
      <c r="AQ470" s="105"/>
      <c r="AR470" s="105"/>
      <c r="AS470" s="105"/>
      <c r="AT470" s="105"/>
      <c r="AU470" s="59">
        <f t="shared" si="286"/>
        <v>0</v>
      </c>
      <c r="AV470" s="60">
        <f t="shared" si="287"/>
        <v>0</v>
      </c>
      <c r="AW470" s="104"/>
      <c r="AX470" s="104"/>
      <c r="AY470" s="104"/>
      <c r="AZ470" s="60">
        <f t="shared" si="277"/>
        <v>0</v>
      </c>
      <c r="BA470" s="104"/>
      <c r="BB470" s="104"/>
      <c r="BC470" s="104"/>
      <c r="BD470" s="60">
        <f>SUM(Tableau1[[#This Row],[ticket/carte/abonnement périmé]:[Autres ou non précisé 5]])</f>
        <v>0</v>
      </c>
      <c r="BE470" s="104"/>
      <c r="BF470" s="104"/>
      <c r="BG470" s="104"/>
      <c r="BH470" s="61">
        <f t="shared" si="288"/>
        <v>0</v>
      </c>
      <c r="BI470" s="137"/>
      <c r="BJ470" s="137"/>
      <c r="BK470" s="62">
        <f t="shared" si="289"/>
        <v>0</v>
      </c>
      <c r="BL470" s="137"/>
      <c r="BM470" s="137"/>
      <c r="BN470" s="137"/>
      <c r="BO470" s="137"/>
      <c r="BP470" s="137"/>
      <c r="BQ470" s="106"/>
      <c r="BR470" s="52">
        <f t="shared" si="290"/>
        <v>0</v>
      </c>
      <c r="BS470" s="52">
        <f t="shared" si="291"/>
        <v>0</v>
      </c>
      <c r="BT470" s="61">
        <f t="shared" si="292"/>
        <v>0</v>
      </c>
      <c r="BU470" s="64">
        <f t="shared" si="293"/>
        <v>0</v>
      </c>
      <c r="BV470" s="119">
        <f>SUM(Tableau1[[#This Row],[Achats confiserie]:[Achats boisson]])</f>
        <v>0</v>
      </c>
      <c r="BW470" s="104"/>
      <c r="BX470" s="105"/>
      <c r="BY470" s="104"/>
      <c r="BZ470" s="56">
        <f t="shared" si="294"/>
        <v>0</v>
      </c>
      <c r="CA470" s="108"/>
      <c r="CB470" s="108"/>
      <c r="CC470" s="56">
        <f t="shared" si="295"/>
        <v>0</v>
      </c>
      <c r="CD470" s="93"/>
      <c r="CE470" s="107"/>
      <c r="CF470" s="93"/>
      <c r="CG470" s="93"/>
      <c r="CH470" s="67">
        <f t="shared" si="296"/>
        <v>0</v>
      </c>
      <c r="CI470" s="68">
        <f t="shared" si="312"/>
        <v>0</v>
      </c>
      <c r="CJ470" s="93"/>
      <c r="CK470" s="93"/>
      <c r="CL470" s="93"/>
      <c r="CM470" s="93"/>
      <c r="CN470" s="93"/>
      <c r="CO470" s="68">
        <f t="shared" si="297"/>
        <v>0</v>
      </c>
      <c r="CP470" s="75">
        <f>SUM(Tableau1[[#This Row],[Fourniture eau]:[Energie (non précisé)]])</f>
        <v>0</v>
      </c>
      <c r="CQ470" s="93"/>
      <c r="CR470" s="93"/>
      <c r="CS470" s="93"/>
      <c r="CT470" s="93"/>
      <c r="CU470" s="93"/>
      <c r="CV470" s="93">
        <v>0</v>
      </c>
      <c r="CW470" s="93"/>
      <c r="CX470" s="68">
        <f>SUM(Tableau1[[#This Row],[Sous-traitance]:[Autres ou non précisé 12]])</f>
        <v>0</v>
      </c>
      <c r="CY470" s="107"/>
      <c r="CZ470" s="107"/>
      <c r="DA470" s="107"/>
      <c r="DB470" s="107"/>
      <c r="DC470" s="93"/>
      <c r="DD470" s="68">
        <f t="shared" si="278"/>
        <v>0</v>
      </c>
      <c r="DE470" s="93"/>
      <c r="DF470" s="107"/>
      <c r="DG470" s="107"/>
      <c r="DH470" s="107"/>
      <c r="DI470" s="68">
        <f>SUM(Tableau1[[#This Row],[Entretien et réparation matériel de projection]:[Autres ou non précisé 14]])</f>
        <v>0</v>
      </c>
      <c r="DJ470" s="104"/>
      <c r="DK470" s="104"/>
      <c r="DL470" s="105"/>
      <c r="DM470" s="68">
        <f t="shared" si="298"/>
        <v>0</v>
      </c>
      <c r="DN470" s="104"/>
      <c r="DO470" s="104"/>
      <c r="DP470" s="68">
        <f t="shared" si="299"/>
        <v>0</v>
      </c>
      <c r="DQ470" s="107"/>
      <c r="DR470" s="107"/>
      <c r="DS470" s="68">
        <f t="shared" si="300"/>
        <v>0</v>
      </c>
      <c r="DT470" s="107"/>
      <c r="DU470" s="107"/>
      <c r="DV470" s="107"/>
      <c r="DW470" s="68">
        <f>SUM(Tableau1[[#This Row],[Comission et courtage sur achats]:[Autres ou honoraires
 non précisé ]])</f>
        <v>0</v>
      </c>
      <c r="DX470" s="57"/>
      <c r="DY470" s="57"/>
      <c r="DZ470" s="107"/>
      <c r="EA470" s="107"/>
      <c r="EB470" s="107"/>
      <c r="EC470" s="68">
        <f t="shared" si="301"/>
        <v>0</v>
      </c>
      <c r="ED470" s="105"/>
      <c r="EE470" s="105"/>
      <c r="EF470" s="105"/>
      <c r="EG470" s="105"/>
      <c r="EH470" s="105"/>
      <c r="EI470" s="84">
        <f>SUM(Tableau1[[#This Row],[Transports sur films]:[autres ]])</f>
        <v>0</v>
      </c>
      <c r="EJ470" s="134">
        <v>0</v>
      </c>
      <c r="EK470" s="134"/>
      <c r="EL470" s="68">
        <f t="shared" si="302"/>
        <v>0</v>
      </c>
      <c r="EM470" s="107"/>
      <c r="EN470" s="107">
        <v>0</v>
      </c>
      <c r="EO470" s="107"/>
      <c r="EP470" s="107"/>
      <c r="EQ470" s="107"/>
      <c r="ER470" s="107"/>
      <c r="ES470" s="107"/>
      <c r="ET470" s="68">
        <f t="shared" si="303"/>
        <v>0</v>
      </c>
      <c r="EU470" s="107"/>
      <c r="EV470" s="107"/>
      <c r="EW470" s="107"/>
      <c r="EX470" s="107"/>
      <c r="EY470" s="107"/>
      <c r="EZ470" s="68">
        <f t="shared" si="280"/>
        <v>0</v>
      </c>
      <c r="FA470" s="107"/>
      <c r="FB470" s="107"/>
      <c r="FC470" s="70">
        <f t="shared" si="279"/>
        <v>0</v>
      </c>
      <c r="FD470" s="107"/>
      <c r="FE470" s="71">
        <f t="shared" si="304"/>
        <v>0</v>
      </c>
      <c r="FF470" s="72">
        <f t="shared" si="305"/>
        <v>0</v>
      </c>
      <c r="FG470" s="107"/>
      <c r="FH470" s="107"/>
      <c r="FI470" s="107"/>
      <c r="FJ470" s="56">
        <f t="shared" si="306"/>
        <v>0</v>
      </c>
      <c r="FK470" s="107"/>
      <c r="FL470" s="107"/>
      <c r="FM470" s="107"/>
      <c r="FN470" s="107"/>
      <c r="FO470" s="67">
        <f t="shared" si="307"/>
        <v>0</v>
      </c>
      <c r="FP470" s="103"/>
      <c r="FQ470" s="109"/>
      <c r="FR470" s="109"/>
      <c r="FS470" s="71">
        <f t="shared" si="308"/>
        <v>0</v>
      </c>
      <c r="FT470" s="110"/>
      <c r="FU470" s="110"/>
      <c r="FV470" s="67">
        <f>SUM(Tableau1[[#This Row],[Droits d''auteurs SACEM + cotisations SACEM]:[Autres ou non préciés]])</f>
        <v>0</v>
      </c>
      <c r="FW470" s="75">
        <f t="shared" si="309"/>
        <v>0</v>
      </c>
      <c r="FX470" s="111">
        <v>0</v>
      </c>
      <c r="FY470" s="111"/>
      <c r="FZ470" s="111"/>
      <c r="GA470" s="111"/>
      <c r="GB470" s="71">
        <f t="shared" si="310"/>
        <v>0</v>
      </c>
      <c r="GC470" s="112"/>
      <c r="GD470" s="112"/>
      <c r="GE470" s="67">
        <f t="shared" si="311"/>
        <v>0</v>
      </c>
      <c r="GF470" s="113"/>
      <c r="GG470" s="113"/>
      <c r="GH470" s="113"/>
      <c r="GI470" s="113"/>
      <c r="GJ470" s="114"/>
    </row>
    <row r="471" spans="1:192" ht="18.600000000000001" customHeight="1" x14ac:dyDescent="0.25">
      <c r="A471" s="96"/>
      <c r="B471" s="97"/>
      <c r="C471" s="99"/>
      <c r="D471" s="140"/>
      <c r="E471" s="51"/>
      <c r="F471" s="139">
        <f t="shared" si="276"/>
        <v>1</v>
      </c>
      <c r="G471" s="98"/>
      <c r="H471" s="99"/>
      <c r="I471" s="122"/>
      <c r="J471" s="98"/>
      <c r="K471" s="99"/>
      <c r="L471" s="99"/>
      <c r="M471" s="100"/>
      <c r="N471" s="99"/>
      <c r="O471" s="99"/>
      <c r="P471" s="101"/>
      <c r="Q471" s="52">
        <f t="shared" si="281"/>
        <v>0</v>
      </c>
      <c r="R471" s="52">
        <f t="shared" si="282"/>
        <v>0</v>
      </c>
      <c r="S471" s="53">
        <f t="shared" si="283"/>
        <v>0</v>
      </c>
      <c r="T471" s="54">
        <f t="shared" si="284"/>
        <v>0</v>
      </c>
      <c r="U471" s="115">
        <f>SUM(Tableau1[[#This Row],[Vente confiserie]:[Vente boisson]])</f>
        <v>0</v>
      </c>
      <c r="V471" s="102"/>
      <c r="W471" s="102"/>
      <c r="X471" s="136">
        <f>SUM(Tableau1[[#This Row],[Vente lunette]:[Location lunette]])</f>
        <v>0</v>
      </c>
      <c r="Y471" s="102"/>
      <c r="Z471" s="102"/>
      <c r="AA471" s="102"/>
      <c r="AB471" s="102"/>
      <c r="AC471" s="56">
        <f t="shared" si="313"/>
        <v>0</v>
      </c>
      <c r="AD471" s="103"/>
      <c r="AE471" s="103"/>
      <c r="AF471" s="103"/>
      <c r="AG471" s="103"/>
      <c r="AH471" s="103"/>
      <c r="AI471" s="103"/>
      <c r="AJ471" s="118">
        <f>(Tableau1[[#This Row],[Recette guichet ]]*1.1275177)-Tableau1[[#This Row],[Recette guichet ]]</f>
        <v>0</v>
      </c>
      <c r="AK471" s="103"/>
      <c r="AL471" s="56">
        <f t="shared" ref="AL471:AL499" si="314">SUM(AM471:AO471,AQ471:AT471)</f>
        <v>0</v>
      </c>
      <c r="AM471" s="104"/>
      <c r="AN471" s="58"/>
      <c r="AO471" s="104"/>
      <c r="AP471" s="115">
        <f t="shared" si="285"/>
        <v>0</v>
      </c>
      <c r="AQ471" s="105"/>
      <c r="AR471" s="105"/>
      <c r="AS471" s="105"/>
      <c r="AT471" s="105"/>
      <c r="AU471" s="59">
        <f t="shared" si="286"/>
        <v>0</v>
      </c>
      <c r="AV471" s="60">
        <f t="shared" si="287"/>
        <v>0</v>
      </c>
      <c r="AW471" s="104"/>
      <c r="AX471" s="104"/>
      <c r="AY471" s="104"/>
      <c r="AZ471" s="60">
        <f t="shared" si="277"/>
        <v>0</v>
      </c>
      <c r="BA471" s="104"/>
      <c r="BB471" s="104"/>
      <c r="BC471" s="104"/>
      <c r="BD471" s="60">
        <f>SUM(Tableau1[[#This Row],[ticket/carte/abonnement périmé]:[Autres ou non précisé 5]])</f>
        <v>0</v>
      </c>
      <c r="BE471" s="104"/>
      <c r="BF471" s="104"/>
      <c r="BG471" s="104"/>
      <c r="BH471" s="61">
        <f t="shared" si="288"/>
        <v>0</v>
      </c>
      <c r="BI471" s="137"/>
      <c r="BJ471" s="137"/>
      <c r="BK471" s="62">
        <f t="shared" si="289"/>
        <v>0</v>
      </c>
      <c r="BL471" s="137"/>
      <c r="BM471" s="137"/>
      <c r="BN471" s="137"/>
      <c r="BO471" s="137"/>
      <c r="BP471" s="137"/>
      <c r="BQ471" s="106"/>
      <c r="BR471" s="52">
        <f t="shared" si="290"/>
        <v>0</v>
      </c>
      <c r="BS471" s="52">
        <f t="shared" si="291"/>
        <v>0</v>
      </c>
      <c r="BT471" s="61">
        <f t="shared" si="292"/>
        <v>0</v>
      </c>
      <c r="BU471" s="64">
        <f t="shared" si="293"/>
        <v>0</v>
      </c>
      <c r="BV471" s="119">
        <f>SUM(Tableau1[[#This Row],[Achats confiserie]:[Achats boisson]])</f>
        <v>0</v>
      </c>
      <c r="BW471" s="104"/>
      <c r="BX471" s="105"/>
      <c r="BY471" s="104"/>
      <c r="BZ471" s="56">
        <f t="shared" si="294"/>
        <v>0</v>
      </c>
      <c r="CA471" s="108"/>
      <c r="CB471" s="108"/>
      <c r="CC471" s="56">
        <f t="shared" si="295"/>
        <v>0</v>
      </c>
      <c r="CD471" s="93"/>
      <c r="CE471" s="107"/>
      <c r="CF471" s="93"/>
      <c r="CG471" s="93"/>
      <c r="CH471" s="67">
        <f t="shared" si="296"/>
        <v>0</v>
      </c>
      <c r="CI471" s="68">
        <f t="shared" si="312"/>
        <v>0</v>
      </c>
      <c r="CJ471" s="93"/>
      <c r="CK471" s="93"/>
      <c r="CL471" s="93"/>
      <c r="CM471" s="93"/>
      <c r="CN471" s="93"/>
      <c r="CO471" s="68">
        <f t="shared" si="297"/>
        <v>0</v>
      </c>
      <c r="CP471" s="75">
        <f>SUM(Tableau1[[#This Row],[Fourniture eau]:[Energie (non précisé)]])</f>
        <v>0</v>
      </c>
      <c r="CQ471" s="93"/>
      <c r="CR471" s="93"/>
      <c r="CS471" s="93"/>
      <c r="CT471" s="93"/>
      <c r="CU471" s="93"/>
      <c r="CV471" s="93">
        <v>0</v>
      </c>
      <c r="CW471" s="93"/>
      <c r="CX471" s="68">
        <f>SUM(Tableau1[[#This Row],[Sous-traitance]:[Autres ou non précisé 12]])</f>
        <v>0</v>
      </c>
      <c r="CY471" s="107"/>
      <c r="CZ471" s="107"/>
      <c r="DA471" s="107"/>
      <c r="DB471" s="107"/>
      <c r="DC471" s="93"/>
      <c r="DD471" s="68">
        <f t="shared" si="278"/>
        <v>0</v>
      </c>
      <c r="DE471" s="93"/>
      <c r="DF471" s="107"/>
      <c r="DG471" s="107"/>
      <c r="DH471" s="107"/>
      <c r="DI471" s="68">
        <f>SUM(Tableau1[[#This Row],[Entretien et réparation matériel de projection]:[Autres ou non précisé 14]])</f>
        <v>0</v>
      </c>
      <c r="DJ471" s="104"/>
      <c r="DK471" s="104"/>
      <c r="DL471" s="105"/>
      <c r="DM471" s="68">
        <f t="shared" si="298"/>
        <v>0</v>
      </c>
      <c r="DN471" s="104"/>
      <c r="DO471" s="104"/>
      <c r="DP471" s="68">
        <f t="shared" si="299"/>
        <v>0</v>
      </c>
      <c r="DQ471" s="107"/>
      <c r="DR471" s="107"/>
      <c r="DS471" s="68">
        <f t="shared" si="300"/>
        <v>0</v>
      </c>
      <c r="DT471" s="107"/>
      <c r="DU471" s="107"/>
      <c r="DV471" s="107"/>
      <c r="DW471" s="68">
        <f>SUM(Tableau1[[#This Row],[Comission et courtage sur achats]:[Autres ou honoraires
 non précisé ]])</f>
        <v>0</v>
      </c>
      <c r="DX471" s="57"/>
      <c r="DY471" s="57"/>
      <c r="DZ471" s="107"/>
      <c r="EA471" s="107"/>
      <c r="EB471" s="107"/>
      <c r="EC471" s="68">
        <f t="shared" si="301"/>
        <v>0</v>
      </c>
      <c r="ED471" s="105"/>
      <c r="EE471" s="105"/>
      <c r="EF471" s="105"/>
      <c r="EG471" s="105"/>
      <c r="EH471" s="105"/>
      <c r="EI471" s="84">
        <f>SUM(Tableau1[[#This Row],[Transports sur films]:[autres ]])</f>
        <v>0</v>
      </c>
      <c r="EJ471" s="134">
        <v>0</v>
      </c>
      <c r="EK471" s="134"/>
      <c r="EL471" s="68">
        <f t="shared" si="302"/>
        <v>0</v>
      </c>
      <c r="EM471" s="107"/>
      <c r="EN471" s="107">
        <v>0</v>
      </c>
      <c r="EO471" s="107"/>
      <c r="EP471" s="107"/>
      <c r="EQ471" s="107"/>
      <c r="ER471" s="107"/>
      <c r="ES471" s="107"/>
      <c r="ET471" s="68">
        <f t="shared" si="303"/>
        <v>0</v>
      </c>
      <c r="EU471" s="107"/>
      <c r="EV471" s="107"/>
      <c r="EW471" s="107"/>
      <c r="EX471" s="107"/>
      <c r="EY471" s="107"/>
      <c r="EZ471" s="68">
        <f t="shared" si="280"/>
        <v>0</v>
      </c>
      <c r="FA471" s="107"/>
      <c r="FB471" s="107"/>
      <c r="FC471" s="70">
        <f t="shared" si="279"/>
        <v>0</v>
      </c>
      <c r="FD471" s="107"/>
      <c r="FE471" s="71">
        <f t="shared" si="304"/>
        <v>0</v>
      </c>
      <c r="FF471" s="72">
        <f t="shared" si="305"/>
        <v>0</v>
      </c>
      <c r="FG471" s="107"/>
      <c r="FH471" s="107"/>
      <c r="FI471" s="107"/>
      <c r="FJ471" s="56">
        <f t="shared" si="306"/>
        <v>0</v>
      </c>
      <c r="FK471" s="107"/>
      <c r="FL471" s="107"/>
      <c r="FM471" s="107"/>
      <c r="FN471" s="107"/>
      <c r="FO471" s="67">
        <f t="shared" si="307"/>
        <v>0</v>
      </c>
      <c r="FP471" s="103"/>
      <c r="FQ471" s="109"/>
      <c r="FR471" s="109"/>
      <c r="FS471" s="71">
        <f t="shared" si="308"/>
        <v>0</v>
      </c>
      <c r="FT471" s="110"/>
      <c r="FU471" s="110"/>
      <c r="FV471" s="67">
        <f>SUM(Tableau1[[#This Row],[Droits d''auteurs SACEM + cotisations SACEM]:[Autres ou non préciés]])</f>
        <v>0</v>
      </c>
      <c r="FW471" s="75">
        <f t="shared" si="309"/>
        <v>0</v>
      </c>
      <c r="FX471" s="111">
        <v>0</v>
      </c>
      <c r="FY471" s="111"/>
      <c r="FZ471" s="111"/>
      <c r="GA471" s="111"/>
      <c r="GB471" s="71">
        <f t="shared" si="310"/>
        <v>0</v>
      </c>
      <c r="GC471" s="112"/>
      <c r="GD471" s="112"/>
      <c r="GE471" s="67">
        <f t="shared" si="311"/>
        <v>0</v>
      </c>
      <c r="GF471" s="113"/>
      <c r="GG471" s="113"/>
      <c r="GH471" s="113"/>
      <c r="GI471" s="113"/>
      <c r="GJ471" s="114"/>
    </row>
    <row r="472" spans="1:192" ht="18.600000000000001" customHeight="1" x14ac:dyDescent="0.25">
      <c r="A472" s="96"/>
      <c r="B472" s="97"/>
      <c r="C472" s="99"/>
      <c r="D472" s="140"/>
      <c r="E472" s="51"/>
      <c r="F472" s="139">
        <f t="shared" si="276"/>
        <v>1</v>
      </c>
      <c r="G472" s="98"/>
      <c r="H472" s="99"/>
      <c r="I472" s="122"/>
      <c r="J472" s="98"/>
      <c r="K472" s="99"/>
      <c r="L472" s="99"/>
      <c r="M472" s="100"/>
      <c r="N472" s="99"/>
      <c r="O472" s="99"/>
      <c r="P472" s="101"/>
      <c r="Q472" s="52">
        <f t="shared" si="281"/>
        <v>0</v>
      </c>
      <c r="R472" s="52">
        <f t="shared" si="282"/>
        <v>0</v>
      </c>
      <c r="S472" s="53">
        <f t="shared" si="283"/>
        <v>0</v>
      </c>
      <c r="T472" s="54">
        <f t="shared" si="284"/>
        <v>0</v>
      </c>
      <c r="U472" s="115">
        <f>SUM(Tableau1[[#This Row],[Vente confiserie]:[Vente boisson]])</f>
        <v>0</v>
      </c>
      <c r="V472" s="102"/>
      <c r="W472" s="102"/>
      <c r="X472" s="136">
        <f>SUM(Tableau1[[#This Row],[Vente lunette]:[Location lunette]])</f>
        <v>0</v>
      </c>
      <c r="Y472" s="102"/>
      <c r="Z472" s="102"/>
      <c r="AA472" s="102"/>
      <c r="AB472" s="102"/>
      <c r="AC472" s="56">
        <f t="shared" si="313"/>
        <v>0</v>
      </c>
      <c r="AD472" s="103"/>
      <c r="AE472" s="103"/>
      <c r="AF472" s="103"/>
      <c r="AG472" s="103"/>
      <c r="AH472" s="103"/>
      <c r="AI472" s="103"/>
      <c r="AJ472" s="118">
        <f>(Tableau1[[#This Row],[Recette guichet ]]*1.1275177)-Tableau1[[#This Row],[Recette guichet ]]</f>
        <v>0</v>
      </c>
      <c r="AK472" s="103"/>
      <c r="AL472" s="56">
        <f t="shared" si="314"/>
        <v>0</v>
      </c>
      <c r="AM472" s="104"/>
      <c r="AN472" s="58"/>
      <c r="AO472" s="104"/>
      <c r="AP472" s="115">
        <f t="shared" si="285"/>
        <v>0</v>
      </c>
      <c r="AQ472" s="105"/>
      <c r="AR472" s="105"/>
      <c r="AS472" s="105"/>
      <c r="AT472" s="105"/>
      <c r="AU472" s="59">
        <f t="shared" si="286"/>
        <v>0</v>
      </c>
      <c r="AV472" s="60">
        <f t="shared" si="287"/>
        <v>0</v>
      </c>
      <c r="AW472" s="104"/>
      <c r="AX472" s="104"/>
      <c r="AY472" s="104"/>
      <c r="AZ472" s="60">
        <f t="shared" si="277"/>
        <v>0</v>
      </c>
      <c r="BA472" s="104"/>
      <c r="BB472" s="104"/>
      <c r="BC472" s="104"/>
      <c r="BD472" s="60">
        <f>SUM(Tableau1[[#This Row],[ticket/carte/abonnement périmé]:[Autres ou non précisé 5]])</f>
        <v>0</v>
      </c>
      <c r="BE472" s="104"/>
      <c r="BF472" s="104"/>
      <c r="BG472" s="104"/>
      <c r="BH472" s="61">
        <f t="shared" si="288"/>
        <v>0</v>
      </c>
      <c r="BI472" s="137"/>
      <c r="BJ472" s="137"/>
      <c r="BK472" s="62">
        <f t="shared" si="289"/>
        <v>0</v>
      </c>
      <c r="BL472" s="137"/>
      <c r="BM472" s="137"/>
      <c r="BN472" s="137"/>
      <c r="BO472" s="137"/>
      <c r="BP472" s="137"/>
      <c r="BQ472" s="106"/>
      <c r="BR472" s="52">
        <f t="shared" si="290"/>
        <v>0</v>
      </c>
      <c r="BS472" s="52">
        <f t="shared" si="291"/>
        <v>0</v>
      </c>
      <c r="BT472" s="61">
        <f t="shared" si="292"/>
        <v>0</v>
      </c>
      <c r="BU472" s="64">
        <f t="shared" si="293"/>
        <v>0</v>
      </c>
      <c r="BV472" s="119">
        <f>SUM(Tableau1[[#This Row],[Achats confiserie]:[Achats boisson]])</f>
        <v>0</v>
      </c>
      <c r="BW472" s="104"/>
      <c r="BX472" s="105"/>
      <c r="BY472" s="104"/>
      <c r="BZ472" s="56">
        <f t="shared" si="294"/>
        <v>0</v>
      </c>
      <c r="CA472" s="108"/>
      <c r="CB472" s="108"/>
      <c r="CC472" s="56">
        <f t="shared" si="295"/>
        <v>0</v>
      </c>
      <c r="CD472" s="93"/>
      <c r="CE472" s="107"/>
      <c r="CF472" s="93"/>
      <c r="CG472" s="93"/>
      <c r="CH472" s="67">
        <f t="shared" si="296"/>
        <v>0</v>
      </c>
      <c r="CI472" s="68">
        <f t="shared" si="312"/>
        <v>0</v>
      </c>
      <c r="CJ472" s="93"/>
      <c r="CK472" s="93"/>
      <c r="CL472" s="93"/>
      <c r="CM472" s="93"/>
      <c r="CN472" s="93"/>
      <c r="CO472" s="68">
        <f t="shared" si="297"/>
        <v>0</v>
      </c>
      <c r="CP472" s="75">
        <f>SUM(Tableau1[[#This Row],[Fourniture eau]:[Energie (non précisé)]])</f>
        <v>0</v>
      </c>
      <c r="CQ472" s="93"/>
      <c r="CR472" s="93"/>
      <c r="CS472" s="93"/>
      <c r="CT472" s="93"/>
      <c r="CU472" s="93"/>
      <c r="CV472" s="93">
        <v>0</v>
      </c>
      <c r="CW472" s="93"/>
      <c r="CX472" s="68">
        <f>SUM(Tableau1[[#This Row],[Sous-traitance]:[Autres ou non précisé 12]])</f>
        <v>0</v>
      </c>
      <c r="CY472" s="107"/>
      <c r="CZ472" s="107"/>
      <c r="DA472" s="107"/>
      <c r="DB472" s="107"/>
      <c r="DC472" s="93"/>
      <c r="DD472" s="68">
        <f t="shared" si="278"/>
        <v>0</v>
      </c>
      <c r="DE472" s="93"/>
      <c r="DF472" s="107"/>
      <c r="DG472" s="107"/>
      <c r="DH472" s="107"/>
      <c r="DI472" s="68">
        <f>SUM(Tableau1[[#This Row],[Entretien et réparation matériel de projection]:[Autres ou non précisé 14]])</f>
        <v>0</v>
      </c>
      <c r="DJ472" s="104"/>
      <c r="DK472" s="104"/>
      <c r="DL472" s="105"/>
      <c r="DM472" s="68">
        <f t="shared" si="298"/>
        <v>0</v>
      </c>
      <c r="DN472" s="104"/>
      <c r="DO472" s="104"/>
      <c r="DP472" s="68">
        <f t="shared" si="299"/>
        <v>0</v>
      </c>
      <c r="DQ472" s="107"/>
      <c r="DR472" s="107"/>
      <c r="DS472" s="68">
        <f t="shared" si="300"/>
        <v>0</v>
      </c>
      <c r="DT472" s="107"/>
      <c r="DU472" s="107"/>
      <c r="DV472" s="107"/>
      <c r="DW472" s="68">
        <f>SUM(Tableau1[[#This Row],[Comission et courtage sur achats]:[Autres ou honoraires
 non précisé ]])</f>
        <v>0</v>
      </c>
      <c r="DX472" s="57"/>
      <c r="DY472" s="57"/>
      <c r="DZ472" s="107"/>
      <c r="EA472" s="107"/>
      <c r="EB472" s="107"/>
      <c r="EC472" s="68">
        <f t="shared" si="301"/>
        <v>0</v>
      </c>
      <c r="ED472" s="105"/>
      <c r="EE472" s="105"/>
      <c r="EF472" s="105"/>
      <c r="EG472" s="105"/>
      <c r="EH472" s="105"/>
      <c r="EI472" s="84">
        <f>SUM(Tableau1[[#This Row],[Transports sur films]:[autres ]])</f>
        <v>0</v>
      </c>
      <c r="EJ472" s="134">
        <v>0</v>
      </c>
      <c r="EK472" s="134"/>
      <c r="EL472" s="68">
        <f t="shared" si="302"/>
        <v>0</v>
      </c>
      <c r="EM472" s="107"/>
      <c r="EN472" s="107">
        <v>0</v>
      </c>
      <c r="EO472" s="107"/>
      <c r="EP472" s="107"/>
      <c r="EQ472" s="107"/>
      <c r="ER472" s="107"/>
      <c r="ES472" s="107"/>
      <c r="ET472" s="68">
        <f t="shared" si="303"/>
        <v>0</v>
      </c>
      <c r="EU472" s="107"/>
      <c r="EV472" s="107"/>
      <c r="EW472" s="107"/>
      <c r="EX472" s="107"/>
      <c r="EY472" s="107"/>
      <c r="EZ472" s="68">
        <f t="shared" si="280"/>
        <v>0</v>
      </c>
      <c r="FA472" s="107"/>
      <c r="FB472" s="107"/>
      <c r="FC472" s="70">
        <f t="shared" si="279"/>
        <v>0</v>
      </c>
      <c r="FD472" s="107"/>
      <c r="FE472" s="71">
        <f t="shared" si="304"/>
        <v>0</v>
      </c>
      <c r="FF472" s="72">
        <f t="shared" si="305"/>
        <v>0</v>
      </c>
      <c r="FG472" s="107"/>
      <c r="FH472" s="107"/>
      <c r="FI472" s="107"/>
      <c r="FJ472" s="56">
        <f t="shared" si="306"/>
        <v>0</v>
      </c>
      <c r="FK472" s="107"/>
      <c r="FL472" s="107"/>
      <c r="FM472" s="107"/>
      <c r="FN472" s="107"/>
      <c r="FO472" s="67">
        <f t="shared" si="307"/>
        <v>0</v>
      </c>
      <c r="FP472" s="103"/>
      <c r="FQ472" s="109"/>
      <c r="FR472" s="109"/>
      <c r="FS472" s="71">
        <f t="shared" si="308"/>
        <v>0</v>
      </c>
      <c r="FT472" s="110"/>
      <c r="FU472" s="110"/>
      <c r="FV472" s="67">
        <f>SUM(Tableau1[[#This Row],[Droits d''auteurs SACEM + cotisations SACEM]:[Autres ou non préciés]])</f>
        <v>0</v>
      </c>
      <c r="FW472" s="75">
        <f t="shared" si="309"/>
        <v>0</v>
      </c>
      <c r="FX472" s="111">
        <v>0</v>
      </c>
      <c r="FY472" s="111"/>
      <c r="FZ472" s="111"/>
      <c r="GA472" s="111"/>
      <c r="GB472" s="71">
        <f t="shared" si="310"/>
        <v>0</v>
      </c>
      <c r="GC472" s="112"/>
      <c r="GD472" s="112"/>
      <c r="GE472" s="67">
        <f t="shared" si="311"/>
        <v>0</v>
      </c>
      <c r="GF472" s="113"/>
      <c r="GG472" s="113"/>
      <c r="GH472" s="113"/>
      <c r="GI472" s="113"/>
      <c r="GJ472" s="114"/>
    </row>
    <row r="473" spans="1:192" ht="18.600000000000001" customHeight="1" x14ac:dyDescent="0.25">
      <c r="A473" s="96"/>
      <c r="B473" s="97"/>
      <c r="C473" s="99"/>
      <c r="D473" s="140"/>
      <c r="E473" s="51"/>
      <c r="F473" s="139">
        <f t="shared" si="276"/>
        <v>1</v>
      </c>
      <c r="G473" s="98"/>
      <c r="H473" s="99"/>
      <c r="I473" s="122"/>
      <c r="J473" s="98"/>
      <c r="K473" s="99"/>
      <c r="L473" s="99"/>
      <c r="M473" s="100"/>
      <c r="N473" s="99"/>
      <c r="O473" s="99"/>
      <c r="P473" s="101"/>
      <c r="Q473" s="52">
        <f t="shared" si="281"/>
        <v>0</v>
      </c>
      <c r="R473" s="52">
        <f t="shared" si="282"/>
        <v>0</v>
      </c>
      <c r="S473" s="53">
        <f t="shared" si="283"/>
        <v>0</v>
      </c>
      <c r="T473" s="54">
        <f t="shared" si="284"/>
        <v>0</v>
      </c>
      <c r="U473" s="115">
        <f>SUM(Tableau1[[#This Row],[Vente confiserie]:[Vente boisson]])</f>
        <v>0</v>
      </c>
      <c r="V473" s="102"/>
      <c r="W473" s="102"/>
      <c r="X473" s="136">
        <f>SUM(Tableau1[[#This Row],[Vente lunette]:[Location lunette]])</f>
        <v>0</v>
      </c>
      <c r="Y473" s="102"/>
      <c r="Z473" s="102"/>
      <c r="AA473" s="102"/>
      <c r="AB473" s="102"/>
      <c r="AC473" s="56">
        <f t="shared" si="313"/>
        <v>0</v>
      </c>
      <c r="AD473" s="103"/>
      <c r="AE473" s="103"/>
      <c r="AF473" s="103"/>
      <c r="AG473" s="103"/>
      <c r="AH473" s="103"/>
      <c r="AI473" s="103"/>
      <c r="AJ473" s="118">
        <f>(Tableau1[[#This Row],[Recette guichet ]]*1.1275177)-Tableau1[[#This Row],[Recette guichet ]]</f>
        <v>0</v>
      </c>
      <c r="AK473" s="103"/>
      <c r="AL473" s="56">
        <f t="shared" si="314"/>
        <v>0</v>
      </c>
      <c r="AM473" s="104"/>
      <c r="AN473" s="58"/>
      <c r="AO473" s="104"/>
      <c r="AP473" s="115">
        <f t="shared" si="285"/>
        <v>0</v>
      </c>
      <c r="AQ473" s="105"/>
      <c r="AR473" s="105"/>
      <c r="AS473" s="105"/>
      <c r="AT473" s="105"/>
      <c r="AU473" s="59">
        <f t="shared" si="286"/>
        <v>0</v>
      </c>
      <c r="AV473" s="60">
        <f t="shared" si="287"/>
        <v>0</v>
      </c>
      <c r="AW473" s="104"/>
      <c r="AX473" s="104"/>
      <c r="AY473" s="104"/>
      <c r="AZ473" s="60">
        <f t="shared" si="277"/>
        <v>0</v>
      </c>
      <c r="BA473" s="104"/>
      <c r="BB473" s="104"/>
      <c r="BC473" s="104"/>
      <c r="BD473" s="60">
        <f>SUM(Tableau1[[#This Row],[ticket/carte/abonnement périmé]:[Autres ou non précisé 5]])</f>
        <v>0</v>
      </c>
      <c r="BE473" s="104"/>
      <c r="BF473" s="104"/>
      <c r="BG473" s="104"/>
      <c r="BH473" s="61">
        <f t="shared" si="288"/>
        <v>0</v>
      </c>
      <c r="BI473" s="137"/>
      <c r="BJ473" s="137"/>
      <c r="BK473" s="62">
        <f t="shared" si="289"/>
        <v>0</v>
      </c>
      <c r="BL473" s="137"/>
      <c r="BM473" s="137"/>
      <c r="BN473" s="137"/>
      <c r="BO473" s="137"/>
      <c r="BP473" s="137"/>
      <c r="BQ473" s="106"/>
      <c r="BR473" s="52">
        <f t="shared" si="290"/>
        <v>0</v>
      </c>
      <c r="BS473" s="52">
        <f t="shared" si="291"/>
        <v>0</v>
      </c>
      <c r="BT473" s="61">
        <f t="shared" si="292"/>
        <v>0</v>
      </c>
      <c r="BU473" s="64">
        <f t="shared" si="293"/>
        <v>0</v>
      </c>
      <c r="BV473" s="119">
        <f>SUM(Tableau1[[#This Row],[Achats confiserie]:[Achats boisson]])</f>
        <v>0</v>
      </c>
      <c r="BW473" s="104"/>
      <c r="BX473" s="105"/>
      <c r="BY473" s="104"/>
      <c r="BZ473" s="56">
        <f t="shared" si="294"/>
        <v>0</v>
      </c>
      <c r="CA473" s="108"/>
      <c r="CB473" s="108"/>
      <c r="CC473" s="56">
        <f t="shared" si="295"/>
        <v>0</v>
      </c>
      <c r="CD473" s="93"/>
      <c r="CE473" s="107"/>
      <c r="CF473" s="93"/>
      <c r="CG473" s="93"/>
      <c r="CH473" s="67">
        <f t="shared" si="296"/>
        <v>0</v>
      </c>
      <c r="CI473" s="68">
        <f t="shared" si="312"/>
        <v>0</v>
      </c>
      <c r="CJ473" s="93"/>
      <c r="CK473" s="93"/>
      <c r="CL473" s="93"/>
      <c r="CM473" s="93"/>
      <c r="CN473" s="93"/>
      <c r="CO473" s="68">
        <f t="shared" si="297"/>
        <v>0</v>
      </c>
      <c r="CP473" s="75">
        <f>SUM(Tableau1[[#This Row],[Fourniture eau]:[Energie (non précisé)]])</f>
        <v>0</v>
      </c>
      <c r="CQ473" s="93"/>
      <c r="CR473" s="93"/>
      <c r="CS473" s="93"/>
      <c r="CT473" s="93"/>
      <c r="CU473" s="93"/>
      <c r="CV473" s="93">
        <v>0</v>
      </c>
      <c r="CW473" s="93"/>
      <c r="CX473" s="68">
        <f>SUM(Tableau1[[#This Row],[Sous-traitance]:[Autres ou non précisé 12]])</f>
        <v>0</v>
      </c>
      <c r="CY473" s="107"/>
      <c r="CZ473" s="107"/>
      <c r="DA473" s="107"/>
      <c r="DB473" s="107"/>
      <c r="DC473" s="93"/>
      <c r="DD473" s="68">
        <f t="shared" si="278"/>
        <v>0</v>
      </c>
      <c r="DE473" s="93"/>
      <c r="DF473" s="107"/>
      <c r="DG473" s="107"/>
      <c r="DH473" s="107"/>
      <c r="DI473" s="68">
        <f>SUM(Tableau1[[#This Row],[Entretien et réparation matériel de projection]:[Autres ou non précisé 14]])</f>
        <v>0</v>
      </c>
      <c r="DJ473" s="104"/>
      <c r="DK473" s="104"/>
      <c r="DL473" s="105"/>
      <c r="DM473" s="68">
        <f t="shared" si="298"/>
        <v>0</v>
      </c>
      <c r="DN473" s="104"/>
      <c r="DO473" s="104"/>
      <c r="DP473" s="68">
        <f t="shared" si="299"/>
        <v>0</v>
      </c>
      <c r="DQ473" s="107"/>
      <c r="DR473" s="107"/>
      <c r="DS473" s="68">
        <f t="shared" si="300"/>
        <v>0</v>
      </c>
      <c r="DT473" s="107"/>
      <c r="DU473" s="107"/>
      <c r="DV473" s="107"/>
      <c r="DW473" s="68">
        <f>SUM(Tableau1[[#This Row],[Comission et courtage sur achats]:[Autres ou honoraires
 non précisé ]])</f>
        <v>0</v>
      </c>
      <c r="DX473" s="57"/>
      <c r="DY473" s="57"/>
      <c r="DZ473" s="107"/>
      <c r="EA473" s="107"/>
      <c r="EB473" s="107"/>
      <c r="EC473" s="68">
        <f t="shared" si="301"/>
        <v>0</v>
      </c>
      <c r="ED473" s="105"/>
      <c r="EE473" s="105"/>
      <c r="EF473" s="105"/>
      <c r="EG473" s="105"/>
      <c r="EH473" s="105"/>
      <c r="EI473" s="84">
        <f>SUM(Tableau1[[#This Row],[Transports sur films]:[autres ]])</f>
        <v>0</v>
      </c>
      <c r="EJ473" s="134">
        <v>0</v>
      </c>
      <c r="EK473" s="134"/>
      <c r="EL473" s="68">
        <f t="shared" si="302"/>
        <v>0</v>
      </c>
      <c r="EM473" s="107"/>
      <c r="EN473" s="107">
        <v>0</v>
      </c>
      <c r="EO473" s="107"/>
      <c r="EP473" s="107"/>
      <c r="EQ473" s="107"/>
      <c r="ER473" s="107"/>
      <c r="ES473" s="107"/>
      <c r="ET473" s="68">
        <f t="shared" si="303"/>
        <v>0</v>
      </c>
      <c r="EU473" s="107"/>
      <c r="EV473" s="107"/>
      <c r="EW473" s="107"/>
      <c r="EX473" s="107"/>
      <c r="EY473" s="107"/>
      <c r="EZ473" s="68">
        <f t="shared" si="280"/>
        <v>0</v>
      </c>
      <c r="FA473" s="107"/>
      <c r="FB473" s="107"/>
      <c r="FC473" s="70">
        <f t="shared" si="279"/>
        <v>0</v>
      </c>
      <c r="FD473" s="107"/>
      <c r="FE473" s="71">
        <f t="shared" si="304"/>
        <v>0</v>
      </c>
      <c r="FF473" s="72">
        <f t="shared" si="305"/>
        <v>0</v>
      </c>
      <c r="FG473" s="107"/>
      <c r="FH473" s="107"/>
      <c r="FI473" s="107"/>
      <c r="FJ473" s="56">
        <f t="shared" si="306"/>
        <v>0</v>
      </c>
      <c r="FK473" s="107"/>
      <c r="FL473" s="107"/>
      <c r="FM473" s="107"/>
      <c r="FN473" s="107"/>
      <c r="FO473" s="67">
        <f t="shared" si="307"/>
        <v>0</v>
      </c>
      <c r="FP473" s="103"/>
      <c r="FQ473" s="109"/>
      <c r="FR473" s="109"/>
      <c r="FS473" s="71">
        <f t="shared" si="308"/>
        <v>0</v>
      </c>
      <c r="FT473" s="110"/>
      <c r="FU473" s="110"/>
      <c r="FV473" s="67">
        <f>SUM(Tableau1[[#This Row],[Droits d''auteurs SACEM + cotisations SACEM]:[Autres ou non préciés]])</f>
        <v>0</v>
      </c>
      <c r="FW473" s="75">
        <f t="shared" si="309"/>
        <v>0</v>
      </c>
      <c r="FX473" s="111">
        <v>0</v>
      </c>
      <c r="FY473" s="111"/>
      <c r="FZ473" s="111"/>
      <c r="GA473" s="111"/>
      <c r="GB473" s="71">
        <f t="shared" si="310"/>
        <v>0</v>
      </c>
      <c r="GC473" s="112"/>
      <c r="GD473" s="112"/>
      <c r="GE473" s="67">
        <f t="shared" si="311"/>
        <v>0</v>
      </c>
      <c r="GF473" s="113"/>
      <c r="GG473" s="113"/>
      <c r="GH473" s="113"/>
      <c r="GI473" s="113"/>
      <c r="GJ473" s="114"/>
    </row>
    <row r="474" spans="1:192" ht="18.600000000000001" customHeight="1" x14ac:dyDescent="0.25">
      <c r="A474" s="96"/>
      <c r="B474" s="97"/>
      <c r="C474" s="99"/>
      <c r="D474" s="140"/>
      <c r="E474" s="51"/>
      <c r="F474" s="139">
        <f t="shared" si="276"/>
        <v>1</v>
      </c>
      <c r="G474" s="98"/>
      <c r="H474" s="99"/>
      <c r="I474" s="122"/>
      <c r="J474" s="98"/>
      <c r="K474" s="99"/>
      <c r="L474" s="99"/>
      <c r="M474" s="100"/>
      <c r="N474" s="99"/>
      <c r="O474" s="99"/>
      <c r="P474" s="101"/>
      <c r="Q474" s="52">
        <f t="shared" si="281"/>
        <v>0</v>
      </c>
      <c r="R474" s="52">
        <f t="shared" si="282"/>
        <v>0</v>
      </c>
      <c r="S474" s="53">
        <f t="shared" si="283"/>
        <v>0</v>
      </c>
      <c r="T474" s="54">
        <f t="shared" si="284"/>
        <v>0</v>
      </c>
      <c r="U474" s="115">
        <f>SUM(Tableau1[[#This Row],[Vente confiserie]:[Vente boisson]])</f>
        <v>0</v>
      </c>
      <c r="V474" s="102"/>
      <c r="W474" s="102"/>
      <c r="X474" s="136">
        <f>SUM(Tableau1[[#This Row],[Vente lunette]:[Location lunette]])</f>
        <v>0</v>
      </c>
      <c r="Y474" s="102"/>
      <c r="Z474" s="102"/>
      <c r="AA474" s="102"/>
      <c r="AB474" s="102"/>
      <c r="AC474" s="56">
        <f t="shared" si="313"/>
        <v>0</v>
      </c>
      <c r="AD474" s="103"/>
      <c r="AE474" s="103"/>
      <c r="AF474" s="103"/>
      <c r="AG474" s="103"/>
      <c r="AH474" s="103"/>
      <c r="AI474" s="103"/>
      <c r="AJ474" s="118">
        <f>(Tableau1[[#This Row],[Recette guichet ]]*1.1275177)-Tableau1[[#This Row],[Recette guichet ]]</f>
        <v>0</v>
      </c>
      <c r="AK474" s="103"/>
      <c r="AL474" s="56">
        <f t="shared" si="314"/>
        <v>0</v>
      </c>
      <c r="AM474" s="104"/>
      <c r="AN474" s="58"/>
      <c r="AO474" s="104"/>
      <c r="AP474" s="115">
        <f t="shared" si="285"/>
        <v>0</v>
      </c>
      <c r="AQ474" s="105"/>
      <c r="AR474" s="105"/>
      <c r="AS474" s="105"/>
      <c r="AT474" s="105"/>
      <c r="AU474" s="59">
        <f t="shared" si="286"/>
        <v>0</v>
      </c>
      <c r="AV474" s="60">
        <f t="shared" si="287"/>
        <v>0</v>
      </c>
      <c r="AW474" s="104"/>
      <c r="AX474" s="104"/>
      <c r="AY474" s="104"/>
      <c r="AZ474" s="60">
        <f t="shared" si="277"/>
        <v>0</v>
      </c>
      <c r="BA474" s="104"/>
      <c r="BB474" s="104"/>
      <c r="BC474" s="104"/>
      <c r="BD474" s="60">
        <f>SUM(Tableau1[[#This Row],[ticket/carte/abonnement périmé]:[Autres ou non précisé 5]])</f>
        <v>0</v>
      </c>
      <c r="BE474" s="104"/>
      <c r="BF474" s="104"/>
      <c r="BG474" s="104"/>
      <c r="BH474" s="61">
        <f t="shared" si="288"/>
        <v>0</v>
      </c>
      <c r="BI474" s="137"/>
      <c r="BJ474" s="137"/>
      <c r="BK474" s="62">
        <f t="shared" si="289"/>
        <v>0</v>
      </c>
      <c r="BL474" s="137"/>
      <c r="BM474" s="137"/>
      <c r="BN474" s="137"/>
      <c r="BO474" s="137"/>
      <c r="BP474" s="137"/>
      <c r="BQ474" s="106"/>
      <c r="BR474" s="52">
        <f t="shared" si="290"/>
        <v>0</v>
      </c>
      <c r="BS474" s="52">
        <f t="shared" si="291"/>
        <v>0</v>
      </c>
      <c r="BT474" s="61">
        <f t="shared" si="292"/>
        <v>0</v>
      </c>
      <c r="BU474" s="64">
        <f t="shared" si="293"/>
        <v>0</v>
      </c>
      <c r="BV474" s="119">
        <f>SUM(Tableau1[[#This Row],[Achats confiserie]:[Achats boisson]])</f>
        <v>0</v>
      </c>
      <c r="BW474" s="104"/>
      <c r="BX474" s="105"/>
      <c r="BY474" s="104"/>
      <c r="BZ474" s="56">
        <f t="shared" si="294"/>
        <v>0</v>
      </c>
      <c r="CA474" s="108"/>
      <c r="CB474" s="108"/>
      <c r="CC474" s="56">
        <f t="shared" si="295"/>
        <v>0</v>
      </c>
      <c r="CD474" s="93"/>
      <c r="CE474" s="107"/>
      <c r="CF474" s="93"/>
      <c r="CG474" s="93"/>
      <c r="CH474" s="67">
        <f t="shared" si="296"/>
        <v>0</v>
      </c>
      <c r="CI474" s="68">
        <f t="shared" si="312"/>
        <v>0</v>
      </c>
      <c r="CJ474" s="93"/>
      <c r="CK474" s="93"/>
      <c r="CL474" s="93"/>
      <c r="CM474" s="93"/>
      <c r="CN474" s="93"/>
      <c r="CO474" s="68">
        <f t="shared" si="297"/>
        <v>0</v>
      </c>
      <c r="CP474" s="75">
        <f>SUM(Tableau1[[#This Row],[Fourniture eau]:[Energie (non précisé)]])</f>
        <v>0</v>
      </c>
      <c r="CQ474" s="93"/>
      <c r="CR474" s="93"/>
      <c r="CS474" s="93"/>
      <c r="CT474" s="93"/>
      <c r="CU474" s="93"/>
      <c r="CV474" s="93">
        <v>0</v>
      </c>
      <c r="CW474" s="93"/>
      <c r="CX474" s="68">
        <f>SUM(Tableau1[[#This Row],[Sous-traitance]:[Autres ou non précisé 12]])</f>
        <v>0</v>
      </c>
      <c r="CY474" s="107"/>
      <c r="CZ474" s="107"/>
      <c r="DA474" s="107"/>
      <c r="DB474" s="107"/>
      <c r="DC474" s="93"/>
      <c r="DD474" s="68">
        <f t="shared" si="278"/>
        <v>0</v>
      </c>
      <c r="DE474" s="93"/>
      <c r="DF474" s="107"/>
      <c r="DG474" s="107"/>
      <c r="DH474" s="107"/>
      <c r="DI474" s="68">
        <f>SUM(Tableau1[[#This Row],[Entretien et réparation matériel de projection]:[Autres ou non précisé 14]])</f>
        <v>0</v>
      </c>
      <c r="DJ474" s="104"/>
      <c r="DK474" s="104"/>
      <c r="DL474" s="105"/>
      <c r="DM474" s="68">
        <f t="shared" si="298"/>
        <v>0</v>
      </c>
      <c r="DN474" s="104"/>
      <c r="DO474" s="104"/>
      <c r="DP474" s="68">
        <f t="shared" si="299"/>
        <v>0</v>
      </c>
      <c r="DQ474" s="107"/>
      <c r="DR474" s="107"/>
      <c r="DS474" s="68">
        <f t="shared" si="300"/>
        <v>0</v>
      </c>
      <c r="DT474" s="107"/>
      <c r="DU474" s="107"/>
      <c r="DV474" s="107"/>
      <c r="DW474" s="68">
        <f>SUM(Tableau1[[#This Row],[Comission et courtage sur achats]:[Autres ou honoraires
 non précisé ]])</f>
        <v>0</v>
      </c>
      <c r="DX474" s="57"/>
      <c r="DY474" s="57"/>
      <c r="DZ474" s="107"/>
      <c r="EA474" s="107"/>
      <c r="EB474" s="107"/>
      <c r="EC474" s="68">
        <f t="shared" si="301"/>
        <v>0</v>
      </c>
      <c r="ED474" s="105"/>
      <c r="EE474" s="105"/>
      <c r="EF474" s="105"/>
      <c r="EG474" s="105"/>
      <c r="EH474" s="105"/>
      <c r="EI474" s="84">
        <f>SUM(Tableau1[[#This Row],[Transports sur films]:[autres ]])</f>
        <v>0</v>
      </c>
      <c r="EJ474" s="134">
        <v>0</v>
      </c>
      <c r="EK474" s="134"/>
      <c r="EL474" s="68">
        <f t="shared" si="302"/>
        <v>0</v>
      </c>
      <c r="EM474" s="107"/>
      <c r="EN474" s="107">
        <v>0</v>
      </c>
      <c r="EO474" s="107"/>
      <c r="EP474" s="107"/>
      <c r="EQ474" s="107"/>
      <c r="ER474" s="107"/>
      <c r="ES474" s="107"/>
      <c r="ET474" s="68">
        <f t="shared" si="303"/>
        <v>0</v>
      </c>
      <c r="EU474" s="107"/>
      <c r="EV474" s="107"/>
      <c r="EW474" s="107"/>
      <c r="EX474" s="107"/>
      <c r="EY474" s="107"/>
      <c r="EZ474" s="68">
        <f t="shared" si="280"/>
        <v>0</v>
      </c>
      <c r="FA474" s="107"/>
      <c r="FB474" s="107"/>
      <c r="FC474" s="70">
        <f t="shared" si="279"/>
        <v>0</v>
      </c>
      <c r="FD474" s="107"/>
      <c r="FE474" s="71">
        <f t="shared" si="304"/>
        <v>0</v>
      </c>
      <c r="FF474" s="72">
        <f t="shared" si="305"/>
        <v>0</v>
      </c>
      <c r="FG474" s="107"/>
      <c r="FH474" s="107"/>
      <c r="FI474" s="107"/>
      <c r="FJ474" s="56">
        <f t="shared" si="306"/>
        <v>0</v>
      </c>
      <c r="FK474" s="107"/>
      <c r="FL474" s="107"/>
      <c r="FM474" s="107"/>
      <c r="FN474" s="107"/>
      <c r="FO474" s="67">
        <f t="shared" si="307"/>
        <v>0</v>
      </c>
      <c r="FP474" s="103"/>
      <c r="FQ474" s="109"/>
      <c r="FR474" s="109"/>
      <c r="FS474" s="71">
        <f t="shared" si="308"/>
        <v>0</v>
      </c>
      <c r="FT474" s="110"/>
      <c r="FU474" s="110"/>
      <c r="FV474" s="67">
        <f>SUM(Tableau1[[#This Row],[Droits d''auteurs SACEM + cotisations SACEM]:[Autres ou non préciés]])</f>
        <v>0</v>
      </c>
      <c r="FW474" s="75">
        <f t="shared" si="309"/>
        <v>0</v>
      </c>
      <c r="FX474" s="111">
        <v>0</v>
      </c>
      <c r="FY474" s="111"/>
      <c r="FZ474" s="111"/>
      <c r="GA474" s="111"/>
      <c r="GB474" s="71">
        <f t="shared" si="310"/>
        <v>0</v>
      </c>
      <c r="GC474" s="112"/>
      <c r="GD474" s="112"/>
      <c r="GE474" s="67">
        <f t="shared" si="311"/>
        <v>0</v>
      </c>
      <c r="GF474" s="113"/>
      <c r="GG474" s="113"/>
      <c r="GH474" s="113"/>
      <c r="GI474" s="113"/>
      <c r="GJ474" s="114"/>
    </row>
    <row r="475" spans="1:192" ht="18.600000000000001" customHeight="1" x14ac:dyDescent="0.25">
      <c r="A475" s="96"/>
      <c r="B475" s="97"/>
      <c r="C475" s="99"/>
      <c r="D475" s="140"/>
      <c r="E475" s="51"/>
      <c r="F475" s="139">
        <f t="shared" si="276"/>
        <v>1</v>
      </c>
      <c r="G475" s="98"/>
      <c r="H475" s="99"/>
      <c r="I475" s="122"/>
      <c r="J475" s="98"/>
      <c r="K475" s="99"/>
      <c r="L475" s="99"/>
      <c r="M475" s="100"/>
      <c r="N475" s="99"/>
      <c r="O475" s="99"/>
      <c r="P475" s="101"/>
      <c r="Q475" s="52">
        <f t="shared" si="281"/>
        <v>0</v>
      </c>
      <c r="R475" s="52">
        <f t="shared" si="282"/>
        <v>0</v>
      </c>
      <c r="S475" s="53">
        <f t="shared" si="283"/>
        <v>0</v>
      </c>
      <c r="T475" s="54">
        <f t="shared" si="284"/>
        <v>0</v>
      </c>
      <c r="U475" s="115">
        <f>SUM(Tableau1[[#This Row],[Vente confiserie]:[Vente boisson]])</f>
        <v>0</v>
      </c>
      <c r="V475" s="102"/>
      <c r="W475" s="102"/>
      <c r="X475" s="136">
        <f>SUM(Tableau1[[#This Row],[Vente lunette]:[Location lunette]])</f>
        <v>0</v>
      </c>
      <c r="Y475" s="102"/>
      <c r="Z475" s="102"/>
      <c r="AA475" s="102"/>
      <c r="AB475" s="102"/>
      <c r="AC475" s="56">
        <f t="shared" si="313"/>
        <v>0</v>
      </c>
      <c r="AD475" s="103"/>
      <c r="AE475" s="103"/>
      <c r="AF475" s="103"/>
      <c r="AG475" s="103"/>
      <c r="AH475" s="103"/>
      <c r="AI475" s="103"/>
      <c r="AJ475" s="118">
        <f>(Tableau1[[#This Row],[Recette guichet ]]*1.1275177)-Tableau1[[#This Row],[Recette guichet ]]</f>
        <v>0</v>
      </c>
      <c r="AK475" s="103"/>
      <c r="AL475" s="56">
        <f t="shared" si="314"/>
        <v>0</v>
      </c>
      <c r="AM475" s="104"/>
      <c r="AN475" s="58"/>
      <c r="AO475" s="104"/>
      <c r="AP475" s="115">
        <f t="shared" si="285"/>
        <v>0</v>
      </c>
      <c r="AQ475" s="105"/>
      <c r="AR475" s="105"/>
      <c r="AS475" s="105"/>
      <c r="AT475" s="105"/>
      <c r="AU475" s="59">
        <f t="shared" si="286"/>
        <v>0</v>
      </c>
      <c r="AV475" s="60">
        <f t="shared" si="287"/>
        <v>0</v>
      </c>
      <c r="AW475" s="104"/>
      <c r="AX475" s="104"/>
      <c r="AY475" s="104"/>
      <c r="AZ475" s="60">
        <f t="shared" si="277"/>
        <v>0</v>
      </c>
      <c r="BA475" s="104"/>
      <c r="BB475" s="104"/>
      <c r="BC475" s="104"/>
      <c r="BD475" s="60">
        <f>SUM(Tableau1[[#This Row],[ticket/carte/abonnement périmé]:[Autres ou non précisé 5]])</f>
        <v>0</v>
      </c>
      <c r="BE475" s="104"/>
      <c r="BF475" s="104"/>
      <c r="BG475" s="104"/>
      <c r="BH475" s="61">
        <f t="shared" si="288"/>
        <v>0</v>
      </c>
      <c r="BI475" s="137"/>
      <c r="BJ475" s="137"/>
      <c r="BK475" s="62">
        <f t="shared" si="289"/>
        <v>0</v>
      </c>
      <c r="BL475" s="137"/>
      <c r="BM475" s="137"/>
      <c r="BN475" s="137"/>
      <c r="BO475" s="137"/>
      <c r="BP475" s="137"/>
      <c r="BQ475" s="106"/>
      <c r="BR475" s="52">
        <f t="shared" si="290"/>
        <v>0</v>
      </c>
      <c r="BS475" s="52">
        <f t="shared" si="291"/>
        <v>0</v>
      </c>
      <c r="BT475" s="61">
        <f t="shared" si="292"/>
        <v>0</v>
      </c>
      <c r="BU475" s="64">
        <f t="shared" si="293"/>
        <v>0</v>
      </c>
      <c r="BV475" s="119">
        <f>SUM(Tableau1[[#This Row],[Achats confiserie]:[Achats boisson]])</f>
        <v>0</v>
      </c>
      <c r="BW475" s="104"/>
      <c r="BX475" s="105"/>
      <c r="BY475" s="104"/>
      <c r="BZ475" s="56">
        <f t="shared" si="294"/>
        <v>0</v>
      </c>
      <c r="CA475" s="108"/>
      <c r="CB475" s="108"/>
      <c r="CC475" s="56">
        <f t="shared" si="295"/>
        <v>0</v>
      </c>
      <c r="CD475" s="93"/>
      <c r="CE475" s="107"/>
      <c r="CF475" s="93"/>
      <c r="CG475" s="93"/>
      <c r="CH475" s="67">
        <f t="shared" si="296"/>
        <v>0</v>
      </c>
      <c r="CI475" s="68">
        <f t="shared" si="312"/>
        <v>0</v>
      </c>
      <c r="CJ475" s="93"/>
      <c r="CK475" s="93"/>
      <c r="CL475" s="93"/>
      <c r="CM475" s="93"/>
      <c r="CN475" s="93"/>
      <c r="CO475" s="68">
        <f t="shared" si="297"/>
        <v>0</v>
      </c>
      <c r="CP475" s="75">
        <f>SUM(Tableau1[[#This Row],[Fourniture eau]:[Energie (non précisé)]])</f>
        <v>0</v>
      </c>
      <c r="CQ475" s="93"/>
      <c r="CR475" s="93"/>
      <c r="CS475" s="93"/>
      <c r="CT475" s="93"/>
      <c r="CU475" s="93"/>
      <c r="CV475" s="93">
        <v>0</v>
      </c>
      <c r="CW475" s="93"/>
      <c r="CX475" s="68">
        <f>SUM(Tableau1[[#This Row],[Sous-traitance]:[Autres ou non précisé 12]])</f>
        <v>0</v>
      </c>
      <c r="CY475" s="107"/>
      <c r="CZ475" s="107"/>
      <c r="DA475" s="107"/>
      <c r="DB475" s="107"/>
      <c r="DC475" s="93"/>
      <c r="DD475" s="68">
        <f t="shared" si="278"/>
        <v>0</v>
      </c>
      <c r="DE475" s="93"/>
      <c r="DF475" s="107"/>
      <c r="DG475" s="107"/>
      <c r="DH475" s="107"/>
      <c r="DI475" s="68">
        <f>SUM(Tableau1[[#This Row],[Entretien et réparation matériel de projection]:[Autres ou non précisé 14]])</f>
        <v>0</v>
      </c>
      <c r="DJ475" s="104"/>
      <c r="DK475" s="104"/>
      <c r="DL475" s="105"/>
      <c r="DM475" s="68">
        <f t="shared" si="298"/>
        <v>0</v>
      </c>
      <c r="DN475" s="104"/>
      <c r="DO475" s="104"/>
      <c r="DP475" s="68">
        <f t="shared" si="299"/>
        <v>0</v>
      </c>
      <c r="DQ475" s="107"/>
      <c r="DR475" s="107"/>
      <c r="DS475" s="68">
        <f t="shared" si="300"/>
        <v>0</v>
      </c>
      <c r="DT475" s="107"/>
      <c r="DU475" s="107"/>
      <c r="DV475" s="107"/>
      <c r="DW475" s="68">
        <f>SUM(Tableau1[[#This Row],[Comission et courtage sur achats]:[Autres ou honoraires
 non précisé ]])</f>
        <v>0</v>
      </c>
      <c r="DX475" s="57"/>
      <c r="DY475" s="57"/>
      <c r="DZ475" s="107"/>
      <c r="EA475" s="107"/>
      <c r="EB475" s="107"/>
      <c r="EC475" s="68">
        <f t="shared" si="301"/>
        <v>0</v>
      </c>
      <c r="ED475" s="105"/>
      <c r="EE475" s="105"/>
      <c r="EF475" s="105"/>
      <c r="EG475" s="105"/>
      <c r="EH475" s="105"/>
      <c r="EI475" s="84">
        <f>SUM(Tableau1[[#This Row],[Transports sur films]:[autres ]])</f>
        <v>0</v>
      </c>
      <c r="EJ475" s="134">
        <v>0</v>
      </c>
      <c r="EK475" s="134"/>
      <c r="EL475" s="68">
        <f t="shared" si="302"/>
        <v>0</v>
      </c>
      <c r="EM475" s="107"/>
      <c r="EN475" s="107">
        <v>0</v>
      </c>
      <c r="EO475" s="107"/>
      <c r="EP475" s="107"/>
      <c r="EQ475" s="107"/>
      <c r="ER475" s="107"/>
      <c r="ES475" s="107"/>
      <c r="ET475" s="68">
        <f t="shared" si="303"/>
        <v>0</v>
      </c>
      <c r="EU475" s="107"/>
      <c r="EV475" s="107"/>
      <c r="EW475" s="107"/>
      <c r="EX475" s="107"/>
      <c r="EY475" s="107"/>
      <c r="EZ475" s="68">
        <f t="shared" si="280"/>
        <v>0</v>
      </c>
      <c r="FA475" s="107"/>
      <c r="FB475" s="107"/>
      <c r="FC475" s="70">
        <f t="shared" si="279"/>
        <v>0</v>
      </c>
      <c r="FD475" s="107"/>
      <c r="FE475" s="71">
        <f t="shared" si="304"/>
        <v>0</v>
      </c>
      <c r="FF475" s="72">
        <f t="shared" si="305"/>
        <v>0</v>
      </c>
      <c r="FG475" s="107"/>
      <c r="FH475" s="107"/>
      <c r="FI475" s="107"/>
      <c r="FJ475" s="56">
        <f t="shared" si="306"/>
        <v>0</v>
      </c>
      <c r="FK475" s="107"/>
      <c r="FL475" s="107"/>
      <c r="FM475" s="107"/>
      <c r="FN475" s="107"/>
      <c r="FO475" s="67">
        <f t="shared" si="307"/>
        <v>0</v>
      </c>
      <c r="FP475" s="103"/>
      <c r="FQ475" s="109"/>
      <c r="FR475" s="109"/>
      <c r="FS475" s="71">
        <f t="shared" si="308"/>
        <v>0</v>
      </c>
      <c r="FT475" s="110"/>
      <c r="FU475" s="110"/>
      <c r="FV475" s="67">
        <f>SUM(Tableau1[[#This Row],[Droits d''auteurs SACEM + cotisations SACEM]:[Autres ou non préciés]])</f>
        <v>0</v>
      </c>
      <c r="FW475" s="75">
        <f t="shared" si="309"/>
        <v>0</v>
      </c>
      <c r="FX475" s="111">
        <v>0</v>
      </c>
      <c r="FY475" s="111"/>
      <c r="FZ475" s="111"/>
      <c r="GA475" s="111"/>
      <c r="GB475" s="71">
        <f t="shared" si="310"/>
        <v>0</v>
      </c>
      <c r="GC475" s="112"/>
      <c r="GD475" s="112"/>
      <c r="GE475" s="67">
        <f t="shared" si="311"/>
        <v>0</v>
      </c>
      <c r="GF475" s="113"/>
      <c r="GG475" s="113"/>
      <c r="GH475" s="113"/>
      <c r="GI475" s="113"/>
      <c r="GJ475" s="114"/>
    </row>
    <row r="476" spans="1:192" ht="18.600000000000001" customHeight="1" x14ac:dyDescent="0.25">
      <c r="A476" s="96"/>
      <c r="B476" s="97"/>
      <c r="C476" s="99"/>
      <c r="D476" s="140"/>
      <c r="E476" s="51"/>
      <c r="F476" s="139">
        <f t="shared" si="276"/>
        <v>1</v>
      </c>
      <c r="G476" s="98"/>
      <c r="H476" s="99"/>
      <c r="I476" s="122"/>
      <c r="J476" s="98"/>
      <c r="K476" s="99"/>
      <c r="L476" s="99"/>
      <c r="M476" s="100"/>
      <c r="N476" s="99"/>
      <c r="O476" s="99"/>
      <c r="P476" s="101"/>
      <c r="Q476" s="52">
        <f t="shared" si="281"/>
        <v>0</v>
      </c>
      <c r="R476" s="52">
        <f t="shared" si="282"/>
        <v>0</v>
      </c>
      <c r="S476" s="53">
        <f t="shared" si="283"/>
        <v>0</v>
      </c>
      <c r="T476" s="54">
        <f t="shared" si="284"/>
        <v>0</v>
      </c>
      <c r="U476" s="115">
        <f>SUM(Tableau1[[#This Row],[Vente confiserie]:[Vente boisson]])</f>
        <v>0</v>
      </c>
      <c r="V476" s="102"/>
      <c r="W476" s="102"/>
      <c r="X476" s="136">
        <f>SUM(Tableau1[[#This Row],[Vente lunette]:[Location lunette]])</f>
        <v>0</v>
      </c>
      <c r="Y476" s="102"/>
      <c r="Z476" s="102"/>
      <c r="AA476" s="102"/>
      <c r="AB476" s="102"/>
      <c r="AC476" s="56">
        <f t="shared" si="313"/>
        <v>0</v>
      </c>
      <c r="AD476" s="103"/>
      <c r="AE476" s="103"/>
      <c r="AF476" s="103"/>
      <c r="AG476" s="103"/>
      <c r="AH476" s="103"/>
      <c r="AI476" s="103"/>
      <c r="AJ476" s="118">
        <f>(Tableau1[[#This Row],[Recette guichet ]]*1.1275177)-Tableau1[[#This Row],[Recette guichet ]]</f>
        <v>0</v>
      </c>
      <c r="AK476" s="103"/>
      <c r="AL476" s="56">
        <f t="shared" si="314"/>
        <v>0</v>
      </c>
      <c r="AM476" s="104"/>
      <c r="AN476" s="58"/>
      <c r="AO476" s="104"/>
      <c r="AP476" s="115">
        <f t="shared" si="285"/>
        <v>0</v>
      </c>
      <c r="AQ476" s="105"/>
      <c r="AR476" s="105"/>
      <c r="AS476" s="105"/>
      <c r="AT476" s="105"/>
      <c r="AU476" s="59">
        <f t="shared" si="286"/>
        <v>0</v>
      </c>
      <c r="AV476" s="60">
        <f t="shared" si="287"/>
        <v>0</v>
      </c>
      <c r="AW476" s="104"/>
      <c r="AX476" s="104"/>
      <c r="AY476" s="104"/>
      <c r="AZ476" s="60">
        <f t="shared" si="277"/>
        <v>0</v>
      </c>
      <c r="BA476" s="104"/>
      <c r="BB476" s="104"/>
      <c r="BC476" s="104"/>
      <c r="BD476" s="60">
        <f>SUM(Tableau1[[#This Row],[ticket/carte/abonnement périmé]:[Autres ou non précisé 5]])</f>
        <v>0</v>
      </c>
      <c r="BE476" s="104"/>
      <c r="BF476" s="104"/>
      <c r="BG476" s="104"/>
      <c r="BH476" s="61">
        <f t="shared" si="288"/>
        <v>0</v>
      </c>
      <c r="BI476" s="137"/>
      <c r="BJ476" s="137"/>
      <c r="BK476" s="62">
        <f t="shared" si="289"/>
        <v>0</v>
      </c>
      <c r="BL476" s="137"/>
      <c r="BM476" s="137"/>
      <c r="BN476" s="137"/>
      <c r="BO476" s="137"/>
      <c r="BP476" s="137"/>
      <c r="BQ476" s="106"/>
      <c r="BR476" s="52">
        <f t="shared" si="290"/>
        <v>0</v>
      </c>
      <c r="BS476" s="52">
        <f t="shared" si="291"/>
        <v>0</v>
      </c>
      <c r="BT476" s="61">
        <f t="shared" si="292"/>
        <v>0</v>
      </c>
      <c r="BU476" s="64">
        <f t="shared" si="293"/>
        <v>0</v>
      </c>
      <c r="BV476" s="119">
        <f>SUM(Tableau1[[#This Row],[Achats confiserie]:[Achats boisson]])</f>
        <v>0</v>
      </c>
      <c r="BW476" s="104"/>
      <c r="BX476" s="105"/>
      <c r="BY476" s="104"/>
      <c r="BZ476" s="56">
        <f t="shared" si="294"/>
        <v>0</v>
      </c>
      <c r="CA476" s="108"/>
      <c r="CB476" s="108"/>
      <c r="CC476" s="56">
        <f t="shared" si="295"/>
        <v>0</v>
      </c>
      <c r="CD476" s="93"/>
      <c r="CE476" s="107"/>
      <c r="CF476" s="93"/>
      <c r="CG476" s="93"/>
      <c r="CH476" s="67">
        <f t="shared" si="296"/>
        <v>0</v>
      </c>
      <c r="CI476" s="68">
        <f t="shared" si="312"/>
        <v>0</v>
      </c>
      <c r="CJ476" s="93"/>
      <c r="CK476" s="93"/>
      <c r="CL476" s="93"/>
      <c r="CM476" s="93"/>
      <c r="CN476" s="93"/>
      <c r="CO476" s="68">
        <f t="shared" si="297"/>
        <v>0</v>
      </c>
      <c r="CP476" s="75">
        <f>SUM(Tableau1[[#This Row],[Fourniture eau]:[Energie (non précisé)]])</f>
        <v>0</v>
      </c>
      <c r="CQ476" s="93"/>
      <c r="CR476" s="93"/>
      <c r="CS476" s="93"/>
      <c r="CT476" s="93"/>
      <c r="CU476" s="93"/>
      <c r="CV476" s="93">
        <v>0</v>
      </c>
      <c r="CW476" s="93"/>
      <c r="CX476" s="68">
        <f>SUM(Tableau1[[#This Row],[Sous-traitance]:[Autres ou non précisé 12]])</f>
        <v>0</v>
      </c>
      <c r="CY476" s="107"/>
      <c r="CZ476" s="107"/>
      <c r="DA476" s="107"/>
      <c r="DB476" s="107"/>
      <c r="DC476" s="93"/>
      <c r="DD476" s="68">
        <f t="shared" si="278"/>
        <v>0</v>
      </c>
      <c r="DE476" s="93"/>
      <c r="DF476" s="107"/>
      <c r="DG476" s="107"/>
      <c r="DH476" s="107"/>
      <c r="DI476" s="68">
        <f>SUM(Tableau1[[#This Row],[Entretien et réparation matériel de projection]:[Autres ou non précisé 14]])</f>
        <v>0</v>
      </c>
      <c r="DJ476" s="104"/>
      <c r="DK476" s="104"/>
      <c r="DL476" s="105"/>
      <c r="DM476" s="68">
        <f t="shared" si="298"/>
        <v>0</v>
      </c>
      <c r="DN476" s="104"/>
      <c r="DO476" s="104"/>
      <c r="DP476" s="68">
        <f t="shared" si="299"/>
        <v>0</v>
      </c>
      <c r="DQ476" s="107"/>
      <c r="DR476" s="107"/>
      <c r="DS476" s="68">
        <f t="shared" si="300"/>
        <v>0</v>
      </c>
      <c r="DT476" s="107"/>
      <c r="DU476" s="107"/>
      <c r="DV476" s="107"/>
      <c r="DW476" s="68">
        <f>SUM(Tableau1[[#This Row],[Comission et courtage sur achats]:[Autres ou honoraires
 non précisé ]])</f>
        <v>0</v>
      </c>
      <c r="DX476" s="57"/>
      <c r="DY476" s="57"/>
      <c r="DZ476" s="107"/>
      <c r="EA476" s="107"/>
      <c r="EB476" s="107"/>
      <c r="EC476" s="68">
        <f t="shared" si="301"/>
        <v>0</v>
      </c>
      <c r="ED476" s="105"/>
      <c r="EE476" s="105"/>
      <c r="EF476" s="105"/>
      <c r="EG476" s="105"/>
      <c r="EH476" s="105"/>
      <c r="EI476" s="84">
        <f>SUM(Tableau1[[#This Row],[Transports sur films]:[autres ]])</f>
        <v>0</v>
      </c>
      <c r="EJ476" s="134">
        <v>0</v>
      </c>
      <c r="EK476" s="134"/>
      <c r="EL476" s="68">
        <f t="shared" si="302"/>
        <v>0</v>
      </c>
      <c r="EM476" s="107"/>
      <c r="EN476" s="107">
        <v>0</v>
      </c>
      <c r="EO476" s="107"/>
      <c r="EP476" s="107"/>
      <c r="EQ476" s="107"/>
      <c r="ER476" s="107"/>
      <c r="ES476" s="107"/>
      <c r="ET476" s="68">
        <f t="shared" si="303"/>
        <v>0</v>
      </c>
      <c r="EU476" s="107"/>
      <c r="EV476" s="107"/>
      <c r="EW476" s="107"/>
      <c r="EX476" s="107"/>
      <c r="EY476" s="107"/>
      <c r="EZ476" s="68">
        <f t="shared" si="280"/>
        <v>0</v>
      </c>
      <c r="FA476" s="107"/>
      <c r="FB476" s="107"/>
      <c r="FC476" s="70">
        <f t="shared" si="279"/>
        <v>0</v>
      </c>
      <c r="FD476" s="107"/>
      <c r="FE476" s="71">
        <f t="shared" si="304"/>
        <v>0</v>
      </c>
      <c r="FF476" s="72">
        <f t="shared" si="305"/>
        <v>0</v>
      </c>
      <c r="FG476" s="107"/>
      <c r="FH476" s="107"/>
      <c r="FI476" s="107"/>
      <c r="FJ476" s="56">
        <f t="shared" si="306"/>
        <v>0</v>
      </c>
      <c r="FK476" s="107"/>
      <c r="FL476" s="107"/>
      <c r="FM476" s="107"/>
      <c r="FN476" s="107"/>
      <c r="FO476" s="67">
        <f t="shared" si="307"/>
        <v>0</v>
      </c>
      <c r="FP476" s="103"/>
      <c r="FQ476" s="109"/>
      <c r="FR476" s="109"/>
      <c r="FS476" s="71">
        <f t="shared" si="308"/>
        <v>0</v>
      </c>
      <c r="FT476" s="110"/>
      <c r="FU476" s="110"/>
      <c r="FV476" s="67">
        <f>SUM(Tableau1[[#This Row],[Droits d''auteurs SACEM + cotisations SACEM]:[Autres ou non préciés]])</f>
        <v>0</v>
      </c>
      <c r="FW476" s="75">
        <f t="shared" si="309"/>
        <v>0</v>
      </c>
      <c r="FX476" s="111">
        <v>0</v>
      </c>
      <c r="FY476" s="111"/>
      <c r="FZ476" s="111"/>
      <c r="GA476" s="111"/>
      <c r="GB476" s="71">
        <f t="shared" si="310"/>
        <v>0</v>
      </c>
      <c r="GC476" s="112"/>
      <c r="GD476" s="112"/>
      <c r="GE476" s="67">
        <f t="shared" si="311"/>
        <v>0</v>
      </c>
      <c r="GF476" s="113"/>
      <c r="GG476" s="113"/>
      <c r="GH476" s="113"/>
      <c r="GI476" s="113"/>
      <c r="GJ476" s="114"/>
    </row>
    <row r="477" spans="1:192" ht="18.600000000000001" customHeight="1" x14ac:dyDescent="0.25">
      <c r="A477" s="96"/>
      <c r="B477" s="97"/>
      <c r="C477" s="99"/>
      <c r="D477" s="140"/>
      <c r="E477" s="51"/>
      <c r="F477" s="139">
        <f t="shared" si="276"/>
        <v>1</v>
      </c>
      <c r="G477" s="98"/>
      <c r="H477" s="99"/>
      <c r="I477" s="122"/>
      <c r="J477" s="98"/>
      <c r="K477" s="99"/>
      <c r="L477" s="99"/>
      <c r="M477" s="100"/>
      <c r="N477" s="99"/>
      <c r="O477" s="99"/>
      <c r="P477" s="101"/>
      <c r="Q477" s="52">
        <f t="shared" si="281"/>
        <v>0</v>
      </c>
      <c r="R477" s="52">
        <f t="shared" si="282"/>
        <v>0</v>
      </c>
      <c r="S477" s="53">
        <f t="shared" si="283"/>
        <v>0</v>
      </c>
      <c r="T477" s="54">
        <f t="shared" si="284"/>
        <v>0</v>
      </c>
      <c r="U477" s="115">
        <f>SUM(Tableau1[[#This Row],[Vente confiserie]:[Vente boisson]])</f>
        <v>0</v>
      </c>
      <c r="V477" s="102"/>
      <c r="W477" s="102"/>
      <c r="X477" s="136">
        <f>SUM(Tableau1[[#This Row],[Vente lunette]:[Location lunette]])</f>
        <v>0</v>
      </c>
      <c r="Y477" s="102"/>
      <c r="Z477" s="102"/>
      <c r="AA477" s="102"/>
      <c r="AB477" s="102"/>
      <c r="AC477" s="56">
        <f t="shared" si="313"/>
        <v>0</v>
      </c>
      <c r="AD477" s="103"/>
      <c r="AE477" s="103"/>
      <c r="AF477" s="103"/>
      <c r="AG477" s="103"/>
      <c r="AH477" s="103"/>
      <c r="AI477" s="103"/>
      <c r="AJ477" s="118">
        <f>(Tableau1[[#This Row],[Recette guichet ]]*1.1275177)-Tableau1[[#This Row],[Recette guichet ]]</f>
        <v>0</v>
      </c>
      <c r="AK477" s="103"/>
      <c r="AL477" s="56">
        <f t="shared" si="314"/>
        <v>0</v>
      </c>
      <c r="AM477" s="104"/>
      <c r="AN477" s="58"/>
      <c r="AO477" s="104"/>
      <c r="AP477" s="115">
        <f t="shared" si="285"/>
        <v>0</v>
      </c>
      <c r="AQ477" s="105"/>
      <c r="AR477" s="105"/>
      <c r="AS477" s="105"/>
      <c r="AT477" s="105"/>
      <c r="AU477" s="59">
        <f t="shared" si="286"/>
        <v>0</v>
      </c>
      <c r="AV477" s="60">
        <f t="shared" si="287"/>
        <v>0</v>
      </c>
      <c r="AW477" s="104"/>
      <c r="AX477" s="104"/>
      <c r="AY477" s="104"/>
      <c r="AZ477" s="60">
        <f t="shared" si="277"/>
        <v>0</v>
      </c>
      <c r="BA477" s="104"/>
      <c r="BB477" s="104"/>
      <c r="BC477" s="104"/>
      <c r="BD477" s="60">
        <f>SUM(Tableau1[[#This Row],[ticket/carte/abonnement périmé]:[Autres ou non précisé 5]])</f>
        <v>0</v>
      </c>
      <c r="BE477" s="104"/>
      <c r="BF477" s="104"/>
      <c r="BG477" s="104"/>
      <c r="BH477" s="61">
        <f t="shared" si="288"/>
        <v>0</v>
      </c>
      <c r="BI477" s="137"/>
      <c r="BJ477" s="137"/>
      <c r="BK477" s="62">
        <f t="shared" si="289"/>
        <v>0</v>
      </c>
      <c r="BL477" s="137"/>
      <c r="BM477" s="137"/>
      <c r="BN477" s="137"/>
      <c r="BO477" s="137"/>
      <c r="BP477" s="137"/>
      <c r="BQ477" s="106"/>
      <c r="BR477" s="52">
        <f t="shared" si="290"/>
        <v>0</v>
      </c>
      <c r="BS477" s="52">
        <f t="shared" si="291"/>
        <v>0</v>
      </c>
      <c r="BT477" s="61">
        <f t="shared" si="292"/>
        <v>0</v>
      </c>
      <c r="BU477" s="64">
        <f t="shared" si="293"/>
        <v>0</v>
      </c>
      <c r="BV477" s="119">
        <f>SUM(Tableau1[[#This Row],[Achats confiserie]:[Achats boisson]])</f>
        <v>0</v>
      </c>
      <c r="BW477" s="104"/>
      <c r="BX477" s="105"/>
      <c r="BY477" s="104"/>
      <c r="BZ477" s="56">
        <f t="shared" si="294"/>
        <v>0</v>
      </c>
      <c r="CA477" s="108"/>
      <c r="CB477" s="108"/>
      <c r="CC477" s="56">
        <f t="shared" si="295"/>
        <v>0</v>
      </c>
      <c r="CD477" s="93"/>
      <c r="CE477" s="107"/>
      <c r="CF477" s="93"/>
      <c r="CG477" s="93"/>
      <c r="CH477" s="67">
        <f t="shared" si="296"/>
        <v>0</v>
      </c>
      <c r="CI477" s="68">
        <f t="shared" si="312"/>
        <v>0</v>
      </c>
      <c r="CJ477" s="93"/>
      <c r="CK477" s="93"/>
      <c r="CL477" s="93"/>
      <c r="CM477" s="93"/>
      <c r="CN477" s="93"/>
      <c r="CO477" s="68">
        <f t="shared" si="297"/>
        <v>0</v>
      </c>
      <c r="CP477" s="75">
        <f>SUM(Tableau1[[#This Row],[Fourniture eau]:[Energie (non précisé)]])</f>
        <v>0</v>
      </c>
      <c r="CQ477" s="93"/>
      <c r="CR477" s="93"/>
      <c r="CS477" s="93"/>
      <c r="CT477" s="93"/>
      <c r="CU477" s="93"/>
      <c r="CV477" s="93">
        <v>0</v>
      </c>
      <c r="CW477" s="93"/>
      <c r="CX477" s="68">
        <f>SUM(Tableau1[[#This Row],[Sous-traitance]:[Autres ou non précisé 12]])</f>
        <v>0</v>
      </c>
      <c r="CY477" s="107"/>
      <c r="CZ477" s="107"/>
      <c r="DA477" s="107"/>
      <c r="DB477" s="107"/>
      <c r="DC477" s="93"/>
      <c r="DD477" s="68">
        <f t="shared" si="278"/>
        <v>0</v>
      </c>
      <c r="DE477" s="93"/>
      <c r="DF477" s="107"/>
      <c r="DG477" s="107"/>
      <c r="DH477" s="107"/>
      <c r="DI477" s="68">
        <f>SUM(Tableau1[[#This Row],[Entretien et réparation matériel de projection]:[Autres ou non précisé 14]])</f>
        <v>0</v>
      </c>
      <c r="DJ477" s="104"/>
      <c r="DK477" s="104"/>
      <c r="DL477" s="105"/>
      <c r="DM477" s="68">
        <f t="shared" si="298"/>
        <v>0</v>
      </c>
      <c r="DN477" s="104"/>
      <c r="DO477" s="104"/>
      <c r="DP477" s="68">
        <f t="shared" si="299"/>
        <v>0</v>
      </c>
      <c r="DQ477" s="107"/>
      <c r="DR477" s="107"/>
      <c r="DS477" s="68">
        <f t="shared" si="300"/>
        <v>0</v>
      </c>
      <c r="DT477" s="107"/>
      <c r="DU477" s="107"/>
      <c r="DV477" s="107"/>
      <c r="DW477" s="68">
        <f>SUM(Tableau1[[#This Row],[Comission et courtage sur achats]:[Autres ou honoraires
 non précisé ]])</f>
        <v>0</v>
      </c>
      <c r="DX477" s="57"/>
      <c r="DY477" s="57"/>
      <c r="DZ477" s="107"/>
      <c r="EA477" s="107"/>
      <c r="EB477" s="107"/>
      <c r="EC477" s="68">
        <f t="shared" si="301"/>
        <v>0</v>
      </c>
      <c r="ED477" s="105"/>
      <c r="EE477" s="105"/>
      <c r="EF477" s="105"/>
      <c r="EG477" s="105"/>
      <c r="EH477" s="105"/>
      <c r="EI477" s="84">
        <f>SUM(Tableau1[[#This Row],[Transports sur films]:[autres ]])</f>
        <v>0</v>
      </c>
      <c r="EJ477" s="134">
        <v>0</v>
      </c>
      <c r="EK477" s="134"/>
      <c r="EL477" s="68">
        <f t="shared" si="302"/>
        <v>0</v>
      </c>
      <c r="EM477" s="107"/>
      <c r="EN477" s="107">
        <v>0</v>
      </c>
      <c r="EO477" s="107"/>
      <c r="EP477" s="107"/>
      <c r="EQ477" s="107"/>
      <c r="ER477" s="107"/>
      <c r="ES477" s="107"/>
      <c r="ET477" s="68">
        <f t="shared" si="303"/>
        <v>0</v>
      </c>
      <c r="EU477" s="107"/>
      <c r="EV477" s="107"/>
      <c r="EW477" s="107"/>
      <c r="EX477" s="107"/>
      <c r="EY477" s="107"/>
      <c r="EZ477" s="68">
        <f t="shared" si="280"/>
        <v>0</v>
      </c>
      <c r="FA477" s="107"/>
      <c r="FB477" s="107"/>
      <c r="FC477" s="70">
        <f t="shared" si="279"/>
        <v>0</v>
      </c>
      <c r="FD477" s="107"/>
      <c r="FE477" s="71">
        <f t="shared" si="304"/>
        <v>0</v>
      </c>
      <c r="FF477" s="72">
        <f t="shared" si="305"/>
        <v>0</v>
      </c>
      <c r="FG477" s="107"/>
      <c r="FH477" s="107"/>
      <c r="FI477" s="107"/>
      <c r="FJ477" s="56">
        <f t="shared" si="306"/>
        <v>0</v>
      </c>
      <c r="FK477" s="107"/>
      <c r="FL477" s="107"/>
      <c r="FM477" s="107"/>
      <c r="FN477" s="107"/>
      <c r="FO477" s="67">
        <f t="shared" si="307"/>
        <v>0</v>
      </c>
      <c r="FP477" s="103"/>
      <c r="FQ477" s="109"/>
      <c r="FR477" s="109"/>
      <c r="FS477" s="71">
        <f t="shared" si="308"/>
        <v>0</v>
      </c>
      <c r="FT477" s="110"/>
      <c r="FU477" s="110"/>
      <c r="FV477" s="67">
        <f>SUM(Tableau1[[#This Row],[Droits d''auteurs SACEM + cotisations SACEM]:[Autres ou non préciés]])</f>
        <v>0</v>
      </c>
      <c r="FW477" s="75">
        <f t="shared" si="309"/>
        <v>0</v>
      </c>
      <c r="FX477" s="111">
        <v>0</v>
      </c>
      <c r="FY477" s="111"/>
      <c r="FZ477" s="111"/>
      <c r="GA477" s="111"/>
      <c r="GB477" s="71">
        <f t="shared" si="310"/>
        <v>0</v>
      </c>
      <c r="GC477" s="112"/>
      <c r="GD477" s="112"/>
      <c r="GE477" s="67">
        <f t="shared" si="311"/>
        <v>0</v>
      </c>
      <c r="GF477" s="113"/>
      <c r="GG477" s="113"/>
      <c r="GH477" s="113"/>
      <c r="GI477" s="113"/>
      <c r="GJ477" s="114"/>
    </row>
    <row r="478" spans="1:192" ht="18.600000000000001" customHeight="1" x14ac:dyDescent="0.25">
      <c r="A478" s="96"/>
      <c r="B478" s="97"/>
      <c r="C478" s="99"/>
      <c r="D478" s="140"/>
      <c r="E478" s="51"/>
      <c r="F478" s="139">
        <f t="shared" si="276"/>
        <v>1</v>
      </c>
      <c r="G478" s="98"/>
      <c r="H478" s="99"/>
      <c r="I478" s="122"/>
      <c r="J478" s="98"/>
      <c r="K478" s="99"/>
      <c r="L478" s="99"/>
      <c r="M478" s="100"/>
      <c r="N478" s="99"/>
      <c r="O478" s="99"/>
      <c r="P478" s="101"/>
      <c r="Q478" s="52">
        <f t="shared" si="281"/>
        <v>0</v>
      </c>
      <c r="R478" s="52">
        <f t="shared" si="282"/>
        <v>0</v>
      </c>
      <c r="S478" s="53">
        <f t="shared" si="283"/>
        <v>0</v>
      </c>
      <c r="T478" s="54">
        <f t="shared" si="284"/>
        <v>0</v>
      </c>
      <c r="U478" s="115">
        <f>SUM(Tableau1[[#This Row],[Vente confiserie]:[Vente boisson]])</f>
        <v>0</v>
      </c>
      <c r="V478" s="102"/>
      <c r="W478" s="102"/>
      <c r="X478" s="136">
        <f>SUM(Tableau1[[#This Row],[Vente lunette]:[Location lunette]])</f>
        <v>0</v>
      </c>
      <c r="Y478" s="102"/>
      <c r="Z478" s="102"/>
      <c r="AA478" s="102"/>
      <c r="AB478" s="102"/>
      <c r="AC478" s="56">
        <f t="shared" si="313"/>
        <v>0</v>
      </c>
      <c r="AD478" s="103"/>
      <c r="AE478" s="103"/>
      <c r="AF478" s="103"/>
      <c r="AG478" s="103"/>
      <c r="AH478" s="103"/>
      <c r="AI478" s="103"/>
      <c r="AJ478" s="118">
        <f>(Tableau1[[#This Row],[Recette guichet ]]*1.1275177)-Tableau1[[#This Row],[Recette guichet ]]</f>
        <v>0</v>
      </c>
      <c r="AK478" s="103"/>
      <c r="AL478" s="56">
        <f t="shared" si="314"/>
        <v>0</v>
      </c>
      <c r="AM478" s="104"/>
      <c r="AN478" s="58"/>
      <c r="AO478" s="104"/>
      <c r="AP478" s="115">
        <f t="shared" si="285"/>
        <v>0</v>
      </c>
      <c r="AQ478" s="105"/>
      <c r="AR478" s="105"/>
      <c r="AS478" s="105"/>
      <c r="AT478" s="105"/>
      <c r="AU478" s="59">
        <f t="shared" si="286"/>
        <v>0</v>
      </c>
      <c r="AV478" s="60">
        <f t="shared" si="287"/>
        <v>0</v>
      </c>
      <c r="AW478" s="104"/>
      <c r="AX478" s="104"/>
      <c r="AY478" s="104"/>
      <c r="AZ478" s="60">
        <f t="shared" si="277"/>
        <v>0</v>
      </c>
      <c r="BA478" s="104"/>
      <c r="BB478" s="104"/>
      <c r="BC478" s="104"/>
      <c r="BD478" s="60">
        <f>SUM(Tableau1[[#This Row],[ticket/carte/abonnement périmé]:[Autres ou non précisé 5]])</f>
        <v>0</v>
      </c>
      <c r="BE478" s="104"/>
      <c r="BF478" s="104"/>
      <c r="BG478" s="104"/>
      <c r="BH478" s="61">
        <f t="shared" si="288"/>
        <v>0</v>
      </c>
      <c r="BI478" s="137"/>
      <c r="BJ478" s="137"/>
      <c r="BK478" s="62">
        <f t="shared" si="289"/>
        <v>0</v>
      </c>
      <c r="BL478" s="137"/>
      <c r="BM478" s="137"/>
      <c r="BN478" s="137"/>
      <c r="BO478" s="137"/>
      <c r="BP478" s="137"/>
      <c r="BQ478" s="106"/>
      <c r="BR478" s="52">
        <f t="shared" si="290"/>
        <v>0</v>
      </c>
      <c r="BS478" s="52">
        <f t="shared" si="291"/>
        <v>0</v>
      </c>
      <c r="BT478" s="61">
        <f t="shared" si="292"/>
        <v>0</v>
      </c>
      <c r="BU478" s="64">
        <f t="shared" si="293"/>
        <v>0</v>
      </c>
      <c r="BV478" s="119">
        <f>SUM(Tableau1[[#This Row],[Achats confiserie]:[Achats boisson]])</f>
        <v>0</v>
      </c>
      <c r="BW478" s="104"/>
      <c r="BX478" s="105"/>
      <c r="BY478" s="104"/>
      <c r="BZ478" s="56">
        <f t="shared" si="294"/>
        <v>0</v>
      </c>
      <c r="CA478" s="108"/>
      <c r="CB478" s="108"/>
      <c r="CC478" s="56">
        <f t="shared" si="295"/>
        <v>0</v>
      </c>
      <c r="CD478" s="93"/>
      <c r="CE478" s="107"/>
      <c r="CF478" s="93"/>
      <c r="CG478" s="93"/>
      <c r="CH478" s="67">
        <f t="shared" si="296"/>
        <v>0</v>
      </c>
      <c r="CI478" s="68">
        <f t="shared" si="312"/>
        <v>0</v>
      </c>
      <c r="CJ478" s="93"/>
      <c r="CK478" s="93"/>
      <c r="CL478" s="93"/>
      <c r="CM478" s="93"/>
      <c r="CN478" s="93"/>
      <c r="CO478" s="68">
        <f t="shared" si="297"/>
        <v>0</v>
      </c>
      <c r="CP478" s="75">
        <f>SUM(Tableau1[[#This Row],[Fourniture eau]:[Energie (non précisé)]])</f>
        <v>0</v>
      </c>
      <c r="CQ478" s="93"/>
      <c r="CR478" s="93"/>
      <c r="CS478" s="93"/>
      <c r="CT478" s="93"/>
      <c r="CU478" s="93"/>
      <c r="CV478" s="93">
        <v>0</v>
      </c>
      <c r="CW478" s="93"/>
      <c r="CX478" s="68">
        <f>SUM(Tableau1[[#This Row],[Sous-traitance]:[Autres ou non précisé 12]])</f>
        <v>0</v>
      </c>
      <c r="CY478" s="107"/>
      <c r="CZ478" s="107"/>
      <c r="DA478" s="107"/>
      <c r="DB478" s="107"/>
      <c r="DC478" s="93"/>
      <c r="DD478" s="68">
        <f t="shared" si="278"/>
        <v>0</v>
      </c>
      <c r="DE478" s="93"/>
      <c r="DF478" s="107"/>
      <c r="DG478" s="107"/>
      <c r="DH478" s="107"/>
      <c r="DI478" s="68">
        <f>SUM(Tableau1[[#This Row],[Entretien et réparation matériel de projection]:[Autres ou non précisé 14]])</f>
        <v>0</v>
      </c>
      <c r="DJ478" s="104"/>
      <c r="DK478" s="104"/>
      <c r="DL478" s="105"/>
      <c r="DM478" s="68">
        <f t="shared" si="298"/>
        <v>0</v>
      </c>
      <c r="DN478" s="104"/>
      <c r="DO478" s="104"/>
      <c r="DP478" s="68">
        <f t="shared" si="299"/>
        <v>0</v>
      </c>
      <c r="DQ478" s="107"/>
      <c r="DR478" s="107"/>
      <c r="DS478" s="68">
        <f t="shared" si="300"/>
        <v>0</v>
      </c>
      <c r="DT478" s="107"/>
      <c r="DU478" s="107"/>
      <c r="DV478" s="107"/>
      <c r="DW478" s="68">
        <f>SUM(Tableau1[[#This Row],[Comission et courtage sur achats]:[Autres ou honoraires
 non précisé ]])</f>
        <v>0</v>
      </c>
      <c r="DX478" s="57"/>
      <c r="DY478" s="57"/>
      <c r="DZ478" s="107"/>
      <c r="EA478" s="107"/>
      <c r="EB478" s="107"/>
      <c r="EC478" s="68">
        <f t="shared" si="301"/>
        <v>0</v>
      </c>
      <c r="ED478" s="105"/>
      <c r="EE478" s="105"/>
      <c r="EF478" s="105"/>
      <c r="EG478" s="105"/>
      <c r="EH478" s="105"/>
      <c r="EI478" s="84">
        <f>SUM(Tableau1[[#This Row],[Transports sur films]:[autres ]])</f>
        <v>0</v>
      </c>
      <c r="EJ478" s="134">
        <v>0</v>
      </c>
      <c r="EK478" s="134"/>
      <c r="EL478" s="68">
        <f t="shared" si="302"/>
        <v>0</v>
      </c>
      <c r="EM478" s="107"/>
      <c r="EN478" s="107">
        <v>0</v>
      </c>
      <c r="EO478" s="107"/>
      <c r="EP478" s="107"/>
      <c r="EQ478" s="107"/>
      <c r="ER478" s="107"/>
      <c r="ES478" s="107"/>
      <c r="ET478" s="68">
        <f t="shared" si="303"/>
        <v>0</v>
      </c>
      <c r="EU478" s="107"/>
      <c r="EV478" s="107"/>
      <c r="EW478" s="107"/>
      <c r="EX478" s="107"/>
      <c r="EY478" s="107"/>
      <c r="EZ478" s="68">
        <f t="shared" si="280"/>
        <v>0</v>
      </c>
      <c r="FA478" s="107"/>
      <c r="FB478" s="107"/>
      <c r="FC478" s="70">
        <f t="shared" si="279"/>
        <v>0</v>
      </c>
      <c r="FD478" s="107"/>
      <c r="FE478" s="71">
        <f t="shared" si="304"/>
        <v>0</v>
      </c>
      <c r="FF478" s="72">
        <f t="shared" si="305"/>
        <v>0</v>
      </c>
      <c r="FG478" s="107"/>
      <c r="FH478" s="107"/>
      <c r="FI478" s="107"/>
      <c r="FJ478" s="56">
        <f t="shared" si="306"/>
        <v>0</v>
      </c>
      <c r="FK478" s="107"/>
      <c r="FL478" s="107"/>
      <c r="FM478" s="107"/>
      <c r="FN478" s="107"/>
      <c r="FO478" s="67">
        <f t="shared" si="307"/>
        <v>0</v>
      </c>
      <c r="FP478" s="103"/>
      <c r="FQ478" s="109"/>
      <c r="FR478" s="109"/>
      <c r="FS478" s="71">
        <f t="shared" si="308"/>
        <v>0</v>
      </c>
      <c r="FT478" s="110"/>
      <c r="FU478" s="110"/>
      <c r="FV478" s="67">
        <f>SUM(Tableau1[[#This Row],[Droits d''auteurs SACEM + cotisations SACEM]:[Autres ou non préciés]])</f>
        <v>0</v>
      </c>
      <c r="FW478" s="75">
        <f t="shared" si="309"/>
        <v>0</v>
      </c>
      <c r="FX478" s="111">
        <v>0</v>
      </c>
      <c r="FY478" s="111"/>
      <c r="FZ478" s="111"/>
      <c r="GA478" s="111"/>
      <c r="GB478" s="71">
        <f t="shared" si="310"/>
        <v>0</v>
      </c>
      <c r="GC478" s="112"/>
      <c r="GD478" s="112"/>
      <c r="GE478" s="67">
        <f t="shared" si="311"/>
        <v>0</v>
      </c>
      <c r="GF478" s="113"/>
      <c r="GG478" s="113"/>
      <c r="GH478" s="113"/>
      <c r="GI478" s="113"/>
      <c r="GJ478" s="114"/>
    </row>
    <row r="479" spans="1:192" ht="18.600000000000001" customHeight="1" x14ac:dyDescent="0.25">
      <c r="A479" s="96"/>
      <c r="B479" s="97"/>
      <c r="C479" s="99"/>
      <c r="D479" s="140"/>
      <c r="E479" s="51"/>
      <c r="F479" s="139">
        <f t="shared" si="276"/>
        <v>1</v>
      </c>
      <c r="G479" s="98"/>
      <c r="H479" s="99"/>
      <c r="I479" s="122"/>
      <c r="J479" s="98"/>
      <c r="K479" s="99"/>
      <c r="L479" s="99"/>
      <c r="M479" s="100"/>
      <c r="N479" s="99"/>
      <c r="O479" s="99"/>
      <c r="P479" s="101"/>
      <c r="Q479" s="52">
        <f t="shared" si="281"/>
        <v>0</v>
      </c>
      <c r="R479" s="52">
        <f t="shared" si="282"/>
        <v>0</v>
      </c>
      <c r="S479" s="53">
        <f t="shared" si="283"/>
        <v>0</v>
      </c>
      <c r="T479" s="54">
        <f t="shared" si="284"/>
        <v>0</v>
      </c>
      <c r="U479" s="115">
        <f>SUM(Tableau1[[#This Row],[Vente confiserie]:[Vente boisson]])</f>
        <v>0</v>
      </c>
      <c r="V479" s="102"/>
      <c r="W479" s="102"/>
      <c r="X479" s="136">
        <f>SUM(Tableau1[[#This Row],[Vente lunette]:[Location lunette]])</f>
        <v>0</v>
      </c>
      <c r="Y479" s="102"/>
      <c r="Z479" s="102"/>
      <c r="AA479" s="102"/>
      <c r="AB479" s="102"/>
      <c r="AC479" s="56">
        <f t="shared" si="313"/>
        <v>0</v>
      </c>
      <c r="AD479" s="103"/>
      <c r="AE479" s="103"/>
      <c r="AF479" s="103"/>
      <c r="AG479" s="103"/>
      <c r="AH479" s="103"/>
      <c r="AI479" s="103"/>
      <c r="AJ479" s="118">
        <f>(Tableau1[[#This Row],[Recette guichet ]]*1.1275177)-Tableau1[[#This Row],[Recette guichet ]]</f>
        <v>0</v>
      </c>
      <c r="AK479" s="103"/>
      <c r="AL479" s="56">
        <f t="shared" si="314"/>
        <v>0</v>
      </c>
      <c r="AM479" s="104"/>
      <c r="AN479" s="58"/>
      <c r="AO479" s="104"/>
      <c r="AP479" s="115">
        <f t="shared" si="285"/>
        <v>0</v>
      </c>
      <c r="AQ479" s="105"/>
      <c r="AR479" s="105"/>
      <c r="AS479" s="105"/>
      <c r="AT479" s="105"/>
      <c r="AU479" s="59">
        <f t="shared" si="286"/>
        <v>0</v>
      </c>
      <c r="AV479" s="60">
        <f t="shared" si="287"/>
        <v>0</v>
      </c>
      <c r="AW479" s="104"/>
      <c r="AX479" s="104"/>
      <c r="AY479" s="104"/>
      <c r="AZ479" s="60">
        <f t="shared" si="277"/>
        <v>0</v>
      </c>
      <c r="BA479" s="104"/>
      <c r="BB479" s="104"/>
      <c r="BC479" s="104"/>
      <c r="BD479" s="60">
        <f>SUM(Tableau1[[#This Row],[ticket/carte/abonnement périmé]:[Autres ou non précisé 5]])</f>
        <v>0</v>
      </c>
      <c r="BE479" s="104"/>
      <c r="BF479" s="104"/>
      <c r="BG479" s="104"/>
      <c r="BH479" s="61">
        <f t="shared" si="288"/>
        <v>0</v>
      </c>
      <c r="BI479" s="137"/>
      <c r="BJ479" s="137"/>
      <c r="BK479" s="62">
        <f t="shared" si="289"/>
        <v>0</v>
      </c>
      <c r="BL479" s="137"/>
      <c r="BM479" s="137"/>
      <c r="BN479" s="137"/>
      <c r="BO479" s="137"/>
      <c r="BP479" s="137"/>
      <c r="BQ479" s="106"/>
      <c r="BR479" s="52">
        <f t="shared" si="290"/>
        <v>0</v>
      </c>
      <c r="BS479" s="52">
        <f t="shared" si="291"/>
        <v>0</v>
      </c>
      <c r="BT479" s="61">
        <f t="shared" si="292"/>
        <v>0</v>
      </c>
      <c r="BU479" s="64">
        <f t="shared" si="293"/>
        <v>0</v>
      </c>
      <c r="BV479" s="119">
        <f>SUM(Tableau1[[#This Row],[Achats confiserie]:[Achats boisson]])</f>
        <v>0</v>
      </c>
      <c r="BW479" s="104"/>
      <c r="BX479" s="105"/>
      <c r="BY479" s="104"/>
      <c r="BZ479" s="56">
        <f t="shared" si="294"/>
        <v>0</v>
      </c>
      <c r="CA479" s="108"/>
      <c r="CB479" s="108"/>
      <c r="CC479" s="56">
        <f t="shared" si="295"/>
        <v>0</v>
      </c>
      <c r="CD479" s="93"/>
      <c r="CE479" s="107"/>
      <c r="CF479" s="93"/>
      <c r="CG479" s="93"/>
      <c r="CH479" s="67">
        <f t="shared" si="296"/>
        <v>0</v>
      </c>
      <c r="CI479" s="68">
        <f t="shared" si="312"/>
        <v>0</v>
      </c>
      <c r="CJ479" s="93"/>
      <c r="CK479" s="93"/>
      <c r="CL479" s="93"/>
      <c r="CM479" s="93"/>
      <c r="CN479" s="93"/>
      <c r="CO479" s="68">
        <f t="shared" si="297"/>
        <v>0</v>
      </c>
      <c r="CP479" s="75">
        <f>SUM(Tableau1[[#This Row],[Fourniture eau]:[Energie (non précisé)]])</f>
        <v>0</v>
      </c>
      <c r="CQ479" s="93"/>
      <c r="CR479" s="93"/>
      <c r="CS479" s="93"/>
      <c r="CT479" s="93"/>
      <c r="CU479" s="93"/>
      <c r="CV479" s="93">
        <v>0</v>
      </c>
      <c r="CW479" s="93"/>
      <c r="CX479" s="68">
        <f>SUM(Tableau1[[#This Row],[Sous-traitance]:[Autres ou non précisé 12]])</f>
        <v>0</v>
      </c>
      <c r="CY479" s="107"/>
      <c r="CZ479" s="107"/>
      <c r="DA479" s="107"/>
      <c r="DB479" s="107"/>
      <c r="DC479" s="93"/>
      <c r="DD479" s="68">
        <f t="shared" si="278"/>
        <v>0</v>
      </c>
      <c r="DE479" s="93"/>
      <c r="DF479" s="107"/>
      <c r="DG479" s="107"/>
      <c r="DH479" s="107"/>
      <c r="DI479" s="68">
        <f>SUM(Tableau1[[#This Row],[Entretien et réparation matériel de projection]:[Autres ou non précisé 14]])</f>
        <v>0</v>
      </c>
      <c r="DJ479" s="104"/>
      <c r="DK479" s="104"/>
      <c r="DL479" s="105"/>
      <c r="DM479" s="68">
        <f t="shared" si="298"/>
        <v>0</v>
      </c>
      <c r="DN479" s="104"/>
      <c r="DO479" s="104"/>
      <c r="DP479" s="68">
        <f t="shared" si="299"/>
        <v>0</v>
      </c>
      <c r="DQ479" s="107"/>
      <c r="DR479" s="107"/>
      <c r="DS479" s="68">
        <f t="shared" si="300"/>
        <v>0</v>
      </c>
      <c r="DT479" s="107"/>
      <c r="DU479" s="107"/>
      <c r="DV479" s="107"/>
      <c r="DW479" s="68">
        <f>SUM(Tableau1[[#This Row],[Comission et courtage sur achats]:[Autres ou honoraires
 non précisé ]])</f>
        <v>0</v>
      </c>
      <c r="DX479" s="57"/>
      <c r="DY479" s="57"/>
      <c r="DZ479" s="107"/>
      <c r="EA479" s="107"/>
      <c r="EB479" s="107"/>
      <c r="EC479" s="68">
        <f t="shared" si="301"/>
        <v>0</v>
      </c>
      <c r="ED479" s="105"/>
      <c r="EE479" s="105"/>
      <c r="EF479" s="105"/>
      <c r="EG479" s="105"/>
      <c r="EH479" s="105"/>
      <c r="EI479" s="84">
        <f>SUM(Tableau1[[#This Row],[Transports sur films]:[autres ]])</f>
        <v>0</v>
      </c>
      <c r="EJ479" s="134">
        <v>0</v>
      </c>
      <c r="EK479" s="134"/>
      <c r="EL479" s="68">
        <f t="shared" si="302"/>
        <v>0</v>
      </c>
      <c r="EM479" s="107"/>
      <c r="EN479" s="107">
        <v>0</v>
      </c>
      <c r="EO479" s="107"/>
      <c r="EP479" s="107"/>
      <c r="EQ479" s="107"/>
      <c r="ER479" s="107"/>
      <c r="ES479" s="107"/>
      <c r="ET479" s="68">
        <f t="shared" si="303"/>
        <v>0</v>
      </c>
      <c r="EU479" s="107"/>
      <c r="EV479" s="107"/>
      <c r="EW479" s="107"/>
      <c r="EX479" s="107"/>
      <c r="EY479" s="107"/>
      <c r="EZ479" s="68">
        <f t="shared" si="280"/>
        <v>0</v>
      </c>
      <c r="FA479" s="107"/>
      <c r="FB479" s="107"/>
      <c r="FC479" s="70">
        <f t="shared" si="279"/>
        <v>0</v>
      </c>
      <c r="FD479" s="107"/>
      <c r="FE479" s="71">
        <f t="shared" si="304"/>
        <v>0</v>
      </c>
      <c r="FF479" s="72">
        <f t="shared" si="305"/>
        <v>0</v>
      </c>
      <c r="FG479" s="107"/>
      <c r="FH479" s="107"/>
      <c r="FI479" s="107"/>
      <c r="FJ479" s="56">
        <f t="shared" si="306"/>
        <v>0</v>
      </c>
      <c r="FK479" s="107"/>
      <c r="FL479" s="107"/>
      <c r="FM479" s="107"/>
      <c r="FN479" s="107"/>
      <c r="FO479" s="67">
        <f t="shared" si="307"/>
        <v>0</v>
      </c>
      <c r="FP479" s="103"/>
      <c r="FQ479" s="109"/>
      <c r="FR479" s="109"/>
      <c r="FS479" s="71">
        <f t="shared" si="308"/>
        <v>0</v>
      </c>
      <c r="FT479" s="110"/>
      <c r="FU479" s="110"/>
      <c r="FV479" s="67">
        <f>SUM(Tableau1[[#This Row],[Droits d''auteurs SACEM + cotisations SACEM]:[Autres ou non préciés]])</f>
        <v>0</v>
      </c>
      <c r="FW479" s="75">
        <f t="shared" si="309"/>
        <v>0</v>
      </c>
      <c r="FX479" s="111">
        <v>0</v>
      </c>
      <c r="FY479" s="111"/>
      <c r="FZ479" s="111"/>
      <c r="GA479" s="111"/>
      <c r="GB479" s="71">
        <f t="shared" si="310"/>
        <v>0</v>
      </c>
      <c r="GC479" s="112"/>
      <c r="GD479" s="112"/>
      <c r="GE479" s="67">
        <f t="shared" si="311"/>
        <v>0</v>
      </c>
      <c r="GF479" s="113"/>
      <c r="GG479" s="113"/>
      <c r="GH479" s="113"/>
      <c r="GI479" s="113"/>
      <c r="GJ479" s="114"/>
    </row>
    <row r="480" spans="1:192" ht="18.600000000000001" customHeight="1" x14ac:dyDescent="0.25">
      <c r="A480" s="96"/>
      <c r="B480" s="97"/>
      <c r="C480" s="99"/>
      <c r="D480" s="140"/>
      <c r="E480" s="51"/>
      <c r="F480" s="139">
        <f t="shared" si="276"/>
        <v>1</v>
      </c>
      <c r="G480" s="98"/>
      <c r="H480" s="99"/>
      <c r="I480" s="122"/>
      <c r="J480" s="98"/>
      <c r="K480" s="99"/>
      <c r="L480" s="99"/>
      <c r="M480" s="100"/>
      <c r="N480" s="99"/>
      <c r="O480" s="99"/>
      <c r="P480" s="101"/>
      <c r="Q480" s="52">
        <f t="shared" si="281"/>
        <v>0</v>
      </c>
      <c r="R480" s="52">
        <f t="shared" si="282"/>
        <v>0</v>
      </c>
      <c r="S480" s="53">
        <f t="shared" si="283"/>
        <v>0</v>
      </c>
      <c r="T480" s="54">
        <f t="shared" si="284"/>
        <v>0</v>
      </c>
      <c r="U480" s="115">
        <f>SUM(Tableau1[[#This Row],[Vente confiserie]:[Vente boisson]])</f>
        <v>0</v>
      </c>
      <c r="V480" s="102"/>
      <c r="W480" s="102"/>
      <c r="X480" s="136">
        <f>SUM(Tableau1[[#This Row],[Vente lunette]:[Location lunette]])</f>
        <v>0</v>
      </c>
      <c r="Y480" s="102"/>
      <c r="Z480" s="102"/>
      <c r="AA480" s="102"/>
      <c r="AB480" s="102"/>
      <c r="AC480" s="56">
        <f t="shared" si="313"/>
        <v>0</v>
      </c>
      <c r="AD480" s="103"/>
      <c r="AE480" s="103"/>
      <c r="AF480" s="103"/>
      <c r="AG480" s="103"/>
      <c r="AH480" s="103"/>
      <c r="AI480" s="103"/>
      <c r="AJ480" s="118">
        <f>(Tableau1[[#This Row],[Recette guichet ]]*1.1275177)-Tableau1[[#This Row],[Recette guichet ]]</f>
        <v>0</v>
      </c>
      <c r="AK480" s="103"/>
      <c r="AL480" s="56">
        <f t="shared" si="314"/>
        <v>0</v>
      </c>
      <c r="AM480" s="104"/>
      <c r="AN480" s="58"/>
      <c r="AO480" s="104"/>
      <c r="AP480" s="115">
        <f t="shared" si="285"/>
        <v>0</v>
      </c>
      <c r="AQ480" s="105"/>
      <c r="AR480" s="105"/>
      <c r="AS480" s="105"/>
      <c r="AT480" s="105"/>
      <c r="AU480" s="59">
        <f t="shared" si="286"/>
        <v>0</v>
      </c>
      <c r="AV480" s="60">
        <f t="shared" si="287"/>
        <v>0</v>
      </c>
      <c r="AW480" s="104"/>
      <c r="AX480" s="104"/>
      <c r="AY480" s="104"/>
      <c r="AZ480" s="60">
        <f t="shared" si="277"/>
        <v>0</v>
      </c>
      <c r="BA480" s="104"/>
      <c r="BB480" s="104"/>
      <c r="BC480" s="104"/>
      <c r="BD480" s="60">
        <f>SUM(Tableau1[[#This Row],[ticket/carte/abonnement périmé]:[Autres ou non précisé 5]])</f>
        <v>0</v>
      </c>
      <c r="BE480" s="104"/>
      <c r="BF480" s="104"/>
      <c r="BG480" s="104"/>
      <c r="BH480" s="61">
        <f t="shared" si="288"/>
        <v>0</v>
      </c>
      <c r="BI480" s="137"/>
      <c r="BJ480" s="137"/>
      <c r="BK480" s="62">
        <f t="shared" si="289"/>
        <v>0</v>
      </c>
      <c r="BL480" s="137"/>
      <c r="BM480" s="137"/>
      <c r="BN480" s="137"/>
      <c r="BO480" s="137"/>
      <c r="BP480" s="137"/>
      <c r="BQ480" s="106"/>
      <c r="BR480" s="52">
        <f t="shared" si="290"/>
        <v>0</v>
      </c>
      <c r="BS480" s="52">
        <f t="shared" si="291"/>
        <v>0</v>
      </c>
      <c r="BT480" s="61">
        <f t="shared" si="292"/>
        <v>0</v>
      </c>
      <c r="BU480" s="64">
        <f t="shared" si="293"/>
        <v>0</v>
      </c>
      <c r="BV480" s="119">
        <f>SUM(Tableau1[[#This Row],[Achats confiserie]:[Achats boisson]])</f>
        <v>0</v>
      </c>
      <c r="BW480" s="104"/>
      <c r="BX480" s="105"/>
      <c r="BY480" s="104"/>
      <c r="BZ480" s="56">
        <f t="shared" si="294"/>
        <v>0</v>
      </c>
      <c r="CA480" s="108"/>
      <c r="CB480" s="108"/>
      <c r="CC480" s="56">
        <f t="shared" si="295"/>
        <v>0</v>
      </c>
      <c r="CD480" s="93"/>
      <c r="CE480" s="107"/>
      <c r="CF480" s="93"/>
      <c r="CG480" s="93"/>
      <c r="CH480" s="67">
        <f t="shared" si="296"/>
        <v>0</v>
      </c>
      <c r="CI480" s="68">
        <f t="shared" si="312"/>
        <v>0</v>
      </c>
      <c r="CJ480" s="93"/>
      <c r="CK480" s="93"/>
      <c r="CL480" s="93"/>
      <c r="CM480" s="93"/>
      <c r="CN480" s="93"/>
      <c r="CO480" s="68">
        <f t="shared" si="297"/>
        <v>0</v>
      </c>
      <c r="CP480" s="75">
        <f>SUM(Tableau1[[#This Row],[Fourniture eau]:[Energie (non précisé)]])</f>
        <v>0</v>
      </c>
      <c r="CQ480" s="93"/>
      <c r="CR480" s="93"/>
      <c r="CS480" s="93"/>
      <c r="CT480" s="93"/>
      <c r="CU480" s="93"/>
      <c r="CV480" s="93">
        <v>0</v>
      </c>
      <c r="CW480" s="93"/>
      <c r="CX480" s="68">
        <f>SUM(Tableau1[[#This Row],[Sous-traitance]:[Autres ou non précisé 12]])</f>
        <v>0</v>
      </c>
      <c r="CY480" s="107"/>
      <c r="CZ480" s="107"/>
      <c r="DA480" s="107"/>
      <c r="DB480" s="107"/>
      <c r="DC480" s="93"/>
      <c r="DD480" s="68">
        <f t="shared" si="278"/>
        <v>0</v>
      </c>
      <c r="DE480" s="93"/>
      <c r="DF480" s="107"/>
      <c r="DG480" s="107"/>
      <c r="DH480" s="107"/>
      <c r="DI480" s="68">
        <f>SUM(Tableau1[[#This Row],[Entretien et réparation matériel de projection]:[Autres ou non précisé 14]])</f>
        <v>0</v>
      </c>
      <c r="DJ480" s="104"/>
      <c r="DK480" s="104"/>
      <c r="DL480" s="105"/>
      <c r="DM480" s="68">
        <f t="shared" si="298"/>
        <v>0</v>
      </c>
      <c r="DN480" s="104"/>
      <c r="DO480" s="104"/>
      <c r="DP480" s="68">
        <f t="shared" si="299"/>
        <v>0</v>
      </c>
      <c r="DQ480" s="107"/>
      <c r="DR480" s="107"/>
      <c r="DS480" s="68">
        <f t="shared" si="300"/>
        <v>0</v>
      </c>
      <c r="DT480" s="107"/>
      <c r="DU480" s="107"/>
      <c r="DV480" s="107"/>
      <c r="DW480" s="68">
        <f>SUM(Tableau1[[#This Row],[Comission et courtage sur achats]:[Autres ou honoraires
 non précisé ]])</f>
        <v>0</v>
      </c>
      <c r="DX480" s="57"/>
      <c r="DY480" s="57"/>
      <c r="DZ480" s="107"/>
      <c r="EA480" s="107"/>
      <c r="EB480" s="107"/>
      <c r="EC480" s="68">
        <f t="shared" si="301"/>
        <v>0</v>
      </c>
      <c r="ED480" s="105"/>
      <c r="EE480" s="105"/>
      <c r="EF480" s="105"/>
      <c r="EG480" s="105"/>
      <c r="EH480" s="105"/>
      <c r="EI480" s="84">
        <f>SUM(Tableau1[[#This Row],[Transports sur films]:[autres ]])</f>
        <v>0</v>
      </c>
      <c r="EJ480" s="134">
        <v>0</v>
      </c>
      <c r="EK480" s="134"/>
      <c r="EL480" s="68">
        <f t="shared" si="302"/>
        <v>0</v>
      </c>
      <c r="EM480" s="107"/>
      <c r="EN480" s="107">
        <v>0</v>
      </c>
      <c r="EO480" s="107"/>
      <c r="EP480" s="107"/>
      <c r="EQ480" s="107"/>
      <c r="ER480" s="107"/>
      <c r="ES480" s="107"/>
      <c r="ET480" s="68">
        <f t="shared" si="303"/>
        <v>0</v>
      </c>
      <c r="EU480" s="107"/>
      <c r="EV480" s="107"/>
      <c r="EW480" s="107"/>
      <c r="EX480" s="107"/>
      <c r="EY480" s="107"/>
      <c r="EZ480" s="68">
        <f t="shared" si="280"/>
        <v>0</v>
      </c>
      <c r="FA480" s="107"/>
      <c r="FB480" s="107"/>
      <c r="FC480" s="70">
        <f t="shared" si="279"/>
        <v>0</v>
      </c>
      <c r="FD480" s="107"/>
      <c r="FE480" s="71">
        <f t="shared" si="304"/>
        <v>0</v>
      </c>
      <c r="FF480" s="72">
        <f t="shared" si="305"/>
        <v>0</v>
      </c>
      <c r="FG480" s="107"/>
      <c r="FH480" s="107"/>
      <c r="FI480" s="107"/>
      <c r="FJ480" s="56">
        <f t="shared" si="306"/>
        <v>0</v>
      </c>
      <c r="FK480" s="107"/>
      <c r="FL480" s="107"/>
      <c r="FM480" s="107"/>
      <c r="FN480" s="107"/>
      <c r="FO480" s="67">
        <f t="shared" si="307"/>
        <v>0</v>
      </c>
      <c r="FP480" s="103"/>
      <c r="FQ480" s="109"/>
      <c r="FR480" s="109"/>
      <c r="FS480" s="71">
        <f t="shared" si="308"/>
        <v>0</v>
      </c>
      <c r="FT480" s="110"/>
      <c r="FU480" s="110"/>
      <c r="FV480" s="67">
        <f>SUM(Tableau1[[#This Row],[Droits d''auteurs SACEM + cotisations SACEM]:[Autres ou non préciés]])</f>
        <v>0</v>
      </c>
      <c r="FW480" s="75">
        <f t="shared" si="309"/>
        <v>0</v>
      </c>
      <c r="FX480" s="111">
        <v>0</v>
      </c>
      <c r="FY480" s="111"/>
      <c r="FZ480" s="111"/>
      <c r="GA480" s="111"/>
      <c r="GB480" s="71">
        <f t="shared" si="310"/>
        <v>0</v>
      </c>
      <c r="GC480" s="112"/>
      <c r="GD480" s="112"/>
      <c r="GE480" s="67">
        <f t="shared" si="311"/>
        <v>0</v>
      </c>
      <c r="GF480" s="113"/>
      <c r="GG480" s="113"/>
      <c r="GH480" s="113"/>
      <c r="GI480" s="113"/>
      <c r="GJ480" s="114"/>
    </row>
    <row r="481" spans="1:192" ht="18.600000000000001" customHeight="1" x14ac:dyDescent="0.25">
      <c r="A481" s="96"/>
      <c r="B481" s="97"/>
      <c r="C481" s="99"/>
      <c r="D481" s="140"/>
      <c r="E481" s="51"/>
      <c r="F481" s="139">
        <f t="shared" si="276"/>
        <v>1</v>
      </c>
      <c r="G481" s="98"/>
      <c r="H481" s="99"/>
      <c r="I481" s="122"/>
      <c r="J481" s="98"/>
      <c r="K481" s="99"/>
      <c r="L481" s="99"/>
      <c r="M481" s="100"/>
      <c r="N481" s="99"/>
      <c r="O481" s="99"/>
      <c r="P481" s="101"/>
      <c r="Q481" s="52">
        <f t="shared" si="281"/>
        <v>0</v>
      </c>
      <c r="R481" s="52">
        <f t="shared" si="282"/>
        <v>0</v>
      </c>
      <c r="S481" s="53">
        <f t="shared" si="283"/>
        <v>0</v>
      </c>
      <c r="T481" s="54">
        <f t="shared" si="284"/>
        <v>0</v>
      </c>
      <c r="U481" s="115">
        <f>SUM(Tableau1[[#This Row],[Vente confiserie]:[Vente boisson]])</f>
        <v>0</v>
      </c>
      <c r="V481" s="102"/>
      <c r="W481" s="102"/>
      <c r="X481" s="136">
        <f>SUM(Tableau1[[#This Row],[Vente lunette]:[Location lunette]])</f>
        <v>0</v>
      </c>
      <c r="Y481" s="102"/>
      <c r="Z481" s="102"/>
      <c r="AA481" s="102"/>
      <c r="AB481" s="102"/>
      <c r="AC481" s="56">
        <f t="shared" si="313"/>
        <v>0</v>
      </c>
      <c r="AD481" s="103"/>
      <c r="AE481" s="103"/>
      <c r="AF481" s="103"/>
      <c r="AG481" s="103"/>
      <c r="AH481" s="103"/>
      <c r="AI481" s="103"/>
      <c r="AJ481" s="118">
        <f>(Tableau1[[#This Row],[Recette guichet ]]*1.1275177)-Tableau1[[#This Row],[Recette guichet ]]</f>
        <v>0</v>
      </c>
      <c r="AK481" s="103"/>
      <c r="AL481" s="56">
        <f t="shared" si="314"/>
        <v>0</v>
      </c>
      <c r="AM481" s="104"/>
      <c r="AN481" s="58"/>
      <c r="AO481" s="104"/>
      <c r="AP481" s="115">
        <f t="shared" si="285"/>
        <v>0</v>
      </c>
      <c r="AQ481" s="105"/>
      <c r="AR481" s="105"/>
      <c r="AS481" s="105"/>
      <c r="AT481" s="105"/>
      <c r="AU481" s="59">
        <f t="shared" si="286"/>
        <v>0</v>
      </c>
      <c r="AV481" s="60">
        <f t="shared" si="287"/>
        <v>0</v>
      </c>
      <c r="AW481" s="104"/>
      <c r="AX481" s="104"/>
      <c r="AY481" s="104"/>
      <c r="AZ481" s="60">
        <f t="shared" si="277"/>
        <v>0</v>
      </c>
      <c r="BA481" s="104"/>
      <c r="BB481" s="104"/>
      <c r="BC481" s="104"/>
      <c r="BD481" s="60">
        <f>SUM(Tableau1[[#This Row],[ticket/carte/abonnement périmé]:[Autres ou non précisé 5]])</f>
        <v>0</v>
      </c>
      <c r="BE481" s="104"/>
      <c r="BF481" s="104"/>
      <c r="BG481" s="104"/>
      <c r="BH481" s="61">
        <f t="shared" si="288"/>
        <v>0</v>
      </c>
      <c r="BI481" s="137"/>
      <c r="BJ481" s="137"/>
      <c r="BK481" s="62">
        <f t="shared" si="289"/>
        <v>0</v>
      </c>
      <c r="BL481" s="137"/>
      <c r="BM481" s="137"/>
      <c r="BN481" s="137"/>
      <c r="BO481" s="137"/>
      <c r="BP481" s="137"/>
      <c r="BQ481" s="106"/>
      <c r="BR481" s="52">
        <f t="shared" si="290"/>
        <v>0</v>
      </c>
      <c r="BS481" s="52">
        <f t="shared" si="291"/>
        <v>0</v>
      </c>
      <c r="BT481" s="61">
        <f t="shared" si="292"/>
        <v>0</v>
      </c>
      <c r="BU481" s="64">
        <f t="shared" si="293"/>
        <v>0</v>
      </c>
      <c r="BV481" s="119">
        <f>SUM(Tableau1[[#This Row],[Achats confiserie]:[Achats boisson]])</f>
        <v>0</v>
      </c>
      <c r="BW481" s="104"/>
      <c r="BX481" s="105"/>
      <c r="BY481" s="104"/>
      <c r="BZ481" s="56">
        <f t="shared" si="294"/>
        <v>0</v>
      </c>
      <c r="CA481" s="108"/>
      <c r="CB481" s="108"/>
      <c r="CC481" s="56">
        <f t="shared" si="295"/>
        <v>0</v>
      </c>
      <c r="CD481" s="93"/>
      <c r="CE481" s="107"/>
      <c r="CF481" s="93"/>
      <c r="CG481" s="93"/>
      <c r="CH481" s="67">
        <f t="shared" si="296"/>
        <v>0</v>
      </c>
      <c r="CI481" s="68">
        <f t="shared" si="312"/>
        <v>0</v>
      </c>
      <c r="CJ481" s="93"/>
      <c r="CK481" s="93"/>
      <c r="CL481" s="93"/>
      <c r="CM481" s="93"/>
      <c r="CN481" s="93"/>
      <c r="CO481" s="68">
        <f t="shared" si="297"/>
        <v>0</v>
      </c>
      <c r="CP481" s="75">
        <f>SUM(Tableau1[[#This Row],[Fourniture eau]:[Energie (non précisé)]])</f>
        <v>0</v>
      </c>
      <c r="CQ481" s="93"/>
      <c r="CR481" s="93"/>
      <c r="CS481" s="93"/>
      <c r="CT481" s="93"/>
      <c r="CU481" s="93"/>
      <c r="CV481" s="93">
        <v>0</v>
      </c>
      <c r="CW481" s="93"/>
      <c r="CX481" s="68">
        <f>SUM(Tableau1[[#This Row],[Sous-traitance]:[Autres ou non précisé 12]])</f>
        <v>0</v>
      </c>
      <c r="CY481" s="107"/>
      <c r="CZ481" s="107"/>
      <c r="DA481" s="107"/>
      <c r="DB481" s="107"/>
      <c r="DC481" s="93"/>
      <c r="DD481" s="68">
        <f t="shared" si="278"/>
        <v>0</v>
      </c>
      <c r="DE481" s="93"/>
      <c r="DF481" s="107"/>
      <c r="DG481" s="107"/>
      <c r="DH481" s="107"/>
      <c r="DI481" s="68">
        <f>SUM(Tableau1[[#This Row],[Entretien et réparation matériel de projection]:[Autres ou non précisé 14]])</f>
        <v>0</v>
      </c>
      <c r="DJ481" s="104"/>
      <c r="DK481" s="104"/>
      <c r="DL481" s="105"/>
      <c r="DM481" s="68">
        <f t="shared" si="298"/>
        <v>0</v>
      </c>
      <c r="DN481" s="104"/>
      <c r="DO481" s="104"/>
      <c r="DP481" s="68">
        <f t="shared" si="299"/>
        <v>0</v>
      </c>
      <c r="DQ481" s="107"/>
      <c r="DR481" s="107"/>
      <c r="DS481" s="68">
        <f t="shared" si="300"/>
        <v>0</v>
      </c>
      <c r="DT481" s="107"/>
      <c r="DU481" s="107"/>
      <c r="DV481" s="107"/>
      <c r="DW481" s="68">
        <f>SUM(Tableau1[[#This Row],[Comission et courtage sur achats]:[Autres ou honoraires
 non précisé ]])</f>
        <v>0</v>
      </c>
      <c r="DX481" s="57"/>
      <c r="DY481" s="57"/>
      <c r="DZ481" s="107"/>
      <c r="EA481" s="107"/>
      <c r="EB481" s="107"/>
      <c r="EC481" s="68">
        <f t="shared" si="301"/>
        <v>0</v>
      </c>
      <c r="ED481" s="105"/>
      <c r="EE481" s="105"/>
      <c r="EF481" s="105"/>
      <c r="EG481" s="105"/>
      <c r="EH481" s="105"/>
      <c r="EI481" s="84">
        <f>SUM(Tableau1[[#This Row],[Transports sur films]:[autres ]])</f>
        <v>0</v>
      </c>
      <c r="EJ481" s="134">
        <v>0</v>
      </c>
      <c r="EK481" s="134"/>
      <c r="EL481" s="68">
        <f t="shared" si="302"/>
        <v>0</v>
      </c>
      <c r="EM481" s="107"/>
      <c r="EN481" s="107">
        <v>0</v>
      </c>
      <c r="EO481" s="107"/>
      <c r="EP481" s="107"/>
      <c r="EQ481" s="107"/>
      <c r="ER481" s="107"/>
      <c r="ES481" s="107"/>
      <c r="ET481" s="68">
        <f t="shared" si="303"/>
        <v>0</v>
      </c>
      <c r="EU481" s="107"/>
      <c r="EV481" s="107"/>
      <c r="EW481" s="107"/>
      <c r="EX481" s="107"/>
      <c r="EY481" s="107"/>
      <c r="EZ481" s="68">
        <f t="shared" si="280"/>
        <v>0</v>
      </c>
      <c r="FA481" s="107"/>
      <c r="FB481" s="107"/>
      <c r="FC481" s="70">
        <f t="shared" si="279"/>
        <v>0</v>
      </c>
      <c r="FD481" s="107"/>
      <c r="FE481" s="71">
        <f t="shared" si="304"/>
        <v>0</v>
      </c>
      <c r="FF481" s="72">
        <f t="shared" si="305"/>
        <v>0</v>
      </c>
      <c r="FG481" s="107"/>
      <c r="FH481" s="107"/>
      <c r="FI481" s="107"/>
      <c r="FJ481" s="56">
        <f t="shared" si="306"/>
        <v>0</v>
      </c>
      <c r="FK481" s="107"/>
      <c r="FL481" s="107"/>
      <c r="FM481" s="107"/>
      <c r="FN481" s="107"/>
      <c r="FO481" s="67">
        <f t="shared" si="307"/>
        <v>0</v>
      </c>
      <c r="FP481" s="103"/>
      <c r="FQ481" s="109"/>
      <c r="FR481" s="109"/>
      <c r="FS481" s="71">
        <f t="shared" si="308"/>
        <v>0</v>
      </c>
      <c r="FT481" s="110"/>
      <c r="FU481" s="110"/>
      <c r="FV481" s="67">
        <f>SUM(Tableau1[[#This Row],[Droits d''auteurs SACEM + cotisations SACEM]:[Autres ou non préciés]])</f>
        <v>0</v>
      </c>
      <c r="FW481" s="75">
        <f t="shared" si="309"/>
        <v>0</v>
      </c>
      <c r="FX481" s="111">
        <v>0</v>
      </c>
      <c r="FY481" s="111"/>
      <c r="FZ481" s="111"/>
      <c r="GA481" s="111"/>
      <c r="GB481" s="71">
        <f t="shared" si="310"/>
        <v>0</v>
      </c>
      <c r="GC481" s="112"/>
      <c r="GD481" s="112"/>
      <c r="GE481" s="67">
        <f t="shared" si="311"/>
        <v>0</v>
      </c>
      <c r="GF481" s="113"/>
      <c r="GG481" s="113"/>
      <c r="GH481" s="113"/>
      <c r="GI481" s="113"/>
      <c r="GJ481" s="114"/>
    </row>
    <row r="482" spans="1:192" ht="18.600000000000001" customHeight="1" x14ac:dyDescent="0.25">
      <c r="A482" s="96"/>
      <c r="B482" s="97"/>
      <c r="C482" s="99"/>
      <c r="D482" s="140"/>
      <c r="E482" s="51"/>
      <c r="F482" s="139">
        <f t="shared" si="276"/>
        <v>1</v>
      </c>
      <c r="G482" s="98"/>
      <c r="H482" s="99"/>
      <c r="I482" s="122"/>
      <c r="J482" s="98"/>
      <c r="K482" s="99"/>
      <c r="L482" s="99"/>
      <c r="M482" s="100"/>
      <c r="N482" s="99"/>
      <c r="O482" s="99"/>
      <c r="P482" s="101"/>
      <c r="Q482" s="52">
        <f t="shared" si="281"/>
        <v>0</v>
      </c>
      <c r="R482" s="52">
        <f t="shared" si="282"/>
        <v>0</v>
      </c>
      <c r="S482" s="53">
        <f t="shared" si="283"/>
        <v>0</v>
      </c>
      <c r="T482" s="54">
        <f t="shared" si="284"/>
        <v>0</v>
      </c>
      <c r="U482" s="115">
        <f>SUM(Tableau1[[#This Row],[Vente confiserie]:[Vente boisson]])</f>
        <v>0</v>
      </c>
      <c r="V482" s="102"/>
      <c r="W482" s="102"/>
      <c r="X482" s="136">
        <f>SUM(Tableau1[[#This Row],[Vente lunette]:[Location lunette]])</f>
        <v>0</v>
      </c>
      <c r="Y482" s="102"/>
      <c r="Z482" s="102"/>
      <c r="AA482" s="102"/>
      <c r="AB482" s="102"/>
      <c r="AC482" s="56">
        <f t="shared" si="313"/>
        <v>0</v>
      </c>
      <c r="AD482" s="103"/>
      <c r="AE482" s="103"/>
      <c r="AF482" s="103"/>
      <c r="AG482" s="103"/>
      <c r="AH482" s="103"/>
      <c r="AI482" s="103"/>
      <c r="AJ482" s="118">
        <f>(Tableau1[[#This Row],[Recette guichet ]]*1.1275177)-Tableau1[[#This Row],[Recette guichet ]]</f>
        <v>0</v>
      </c>
      <c r="AK482" s="103"/>
      <c r="AL482" s="56">
        <f t="shared" si="314"/>
        <v>0</v>
      </c>
      <c r="AM482" s="104"/>
      <c r="AN482" s="58"/>
      <c r="AO482" s="104"/>
      <c r="AP482" s="115">
        <f t="shared" si="285"/>
        <v>0</v>
      </c>
      <c r="AQ482" s="105"/>
      <c r="AR482" s="105"/>
      <c r="AS482" s="105"/>
      <c r="AT482" s="105"/>
      <c r="AU482" s="59">
        <f t="shared" si="286"/>
        <v>0</v>
      </c>
      <c r="AV482" s="60">
        <f t="shared" si="287"/>
        <v>0</v>
      </c>
      <c r="AW482" s="104"/>
      <c r="AX482" s="104"/>
      <c r="AY482" s="104"/>
      <c r="AZ482" s="60">
        <f t="shared" si="277"/>
        <v>0</v>
      </c>
      <c r="BA482" s="104"/>
      <c r="BB482" s="104"/>
      <c r="BC482" s="104"/>
      <c r="BD482" s="60">
        <f>SUM(Tableau1[[#This Row],[ticket/carte/abonnement périmé]:[Autres ou non précisé 5]])</f>
        <v>0</v>
      </c>
      <c r="BE482" s="104"/>
      <c r="BF482" s="104"/>
      <c r="BG482" s="104"/>
      <c r="BH482" s="61">
        <f t="shared" si="288"/>
        <v>0</v>
      </c>
      <c r="BI482" s="137"/>
      <c r="BJ482" s="137"/>
      <c r="BK482" s="62">
        <f t="shared" si="289"/>
        <v>0</v>
      </c>
      <c r="BL482" s="137"/>
      <c r="BM482" s="137"/>
      <c r="BN482" s="137"/>
      <c r="BO482" s="137"/>
      <c r="BP482" s="137"/>
      <c r="BQ482" s="106"/>
      <c r="BR482" s="52">
        <f t="shared" si="290"/>
        <v>0</v>
      </c>
      <c r="BS482" s="52">
        <f t="shared" si="291"/>
        <v>0</v>
      </c>
      <c r="BT482" s="61">
        <f t="shared" si="292"/>
        <v>0</v>
      </c>
      <c r="BU482" s="64">
        <f t="shared" si="293"/>
        <v>0</v>
      </c>
      <c r="BV482" s="119">
        <f>SUM(Tableau1[[#This Row],[Achats confiserie]:[Achats boisson]])</f>
        <v>0</v>
      </c>
      <c r="BW482" s="104"/>
      <c r="BX482" s="105"/>
      <c r="BY482" s="104"/>
      <c r="BZ482" s="56">
        <f t="shared" si="294"/>
        <v>0</v>
      </c>
      <c r="CA482" s="108"/>
      <c r="CB482" s="108"/>
      <c r="CC482" s="56">
        <f t="shared" si="295"/>
        <v>0</v>
      </c>
      <c r="CD482" s="93"/>
      <c r="CE482" s="107"/>
      <c r="CF482" s="93"/>
      <c r="CG482" s="93"/>
      <c r="CH482" s="67">
        <f t="shared" si="296"/>
        <v>0</v>
      </c>
      <c r="CI482" s="68">
        <f t="shared" si="312"/>
        <v>0</v>
      </c>
      <c r="CJ482" s="93"/>
      <c r="CK482" s="93"/>
      <c r="CL482" s="93"/>
      <c r="CM482" s="93"/>
      <c r="CN482" s="93"/>
      <c r="CO482" s="68">
        <f t="shared" si="297"/>
        <v>0</v>
      </c>
      <c r="CP482" s="75">
        <f>SUM(Tableau1[[#This Row],[Fourniture eau]:[Energie (non précisé)]])</f>
        <v>0</v>
      </c>
      <c r="CQ482" s="93"/>
      <c r="CR482" s="93"/>
      <c r="CS482" s="93"/>
      <c r="CT482" s="93"/>
      <c r="CU482" s="93"/>
      <c r="CV482" s="93">
        <v>0</v>
      </c>
      <c r="CW482" s="93"/>
      <c r="CX482" s="68">
        <f>SUM(Tableau1[[#This Row],[Sous-traitance]:[Autres ou non précisé 12]])</f>
        <v>0</v>
      </c>
      <c r="CY482" s="107"/>
      <c r="CZ482" s="107"/>
      <c r="DA482" s="107"/>
      <c r="DB482" s="107"/>
      <c r="DC482" s="93"/>
      <c r="DD482" s="68">
        <f t="shared" si="278"/>
        <v>0</v>
      </c>
      <c r="DE482" s="93"/>
      <c r="DF482" s="107"/>
      <c r="DG482" s="107"/>
      <c r="DH482" s="107"/>
      <c r="DI482" s="68">
        <f>SUM(Tableau1[[#This Row],[Entretien et réparation matériel de projection]:[Autres ou non précisé 14]])</f>
        <v>0</v>
      </c>
      <c r="DJ482" s="104"/>
      <c r="DK482" s="104"/>
      <c r="DL482" s="105"/>
      <c r="DM482" s="68">
        <f t="shared" si="298"/>
        <v>0</v>
      </c>
      <c r="DN482" s="104"/>
      <c r="DO482" s="104"/>
      <c r="DP482" s="68">
        <f t="shared" si="299"/>
        <v>0</v>
      </c>
      <c r="DQ482" s="107"/>
      <c r="DR482" s="107"/>
      <c r="DS482" s="68">
        <f t="shared" si="300"/>
        <v>0</v>
      </c>
      <c r="DT482" s="107"/>
      <c r="DU482" s="107"/>
      <c r="DV482" s="107"/>
      <c r="DW482" s="68">
        <f>SUM(Tableau1[[#This Row],[Comission et courtage sur achats]:[Autres ou honoraires
 non précisé ]])</f>
        <v>0</v>
      </c>
      <c r="DX482" s="57"/>
      <c r="DY482" s="57"/>
      <c r="DZ482" s="107"/>
      <c r="EA482" s="107"/>
      <c r="EB482" s="107"/>
      <c r="EC482" s="68">
        <f t="shared" si="301"/>
        <v>0</v>
      </c>
      <c r="ED482" s="105"/>
      <c r="EE482" s="105"/>
      <c r="EF482" s="105"/>
      <c r="EG482" s="105"/>
      <c r="EH482" s="105"/>
      <c r="EI482" s="84">
        <f>SUM(Tableau1[[#This Row],[Transports sur films]:[autres ]])</f>
        <v>0</v>
      </c>
      <c r="EJ482" s="134">
        <v>0</v>
      </c>
      <c r="EK482" s="134"/>
      <c r="EL482" s="68">
        <f t="shared" si="302"/>
        <v>0</v>
      </c>
      <c r="EM482" s="107"/>
      <c r="EN482" s="107">
        <v>0</v>
      </c>
      <c r="EO482" s="107"/>
      <c r="EP482" s="107"/>
      <c r="EQ482" s="107"/>
      <c r="ER482" s="107"/>
      <c r="ES482" s="107"/>
      <c r="ET482" s="68">
        <f t="shared" si="303"/>
        <v>0</v>
      </c>
      <c r="EU482" s="107"/>
      <c r="EV482" s="107"/>
      <c r="EW482" s="107"/>
      <c r="EX482" s="107"/>
      <c r="EY482" s="107"/>
      <c r="EZ482" s="68">
        <f t="shared" si="280"/>
        <v>0</v>
      </c>
      <c r="FA482" s="107"/>
      <c r="FB482" s="107"/>
      <c r="FC482" s="70">
        <f t="shared" si="279"/>
        <v>0</v>
      </c>
      <c r="FD482" s="107"/>
      <c r="FE482" s="71">
        <f t="shared" si="304"/>
        <v>0</v>
      </c>
      <c r="FF482" s="72">
        <f t="shared" si="305"/>
        <v>0</v>
      </c>
      <c r="FG482" s="107"/>
      <c r="FH482" s="107"/>
      <c r="FI482" s="107"/>
      <c r="FJ482" s="56">
        <f t="shared" si="306"/>
        <v>0</v>
      </c>
      <c r="FK482" s="107"/>
      <c r="FL482" s="107"/>
      <c r="FM482" s="107"/>
      <c r="FN482" s="107"/>
      <c r="FO482" s="67">
        <f t="shared" si="307"/>
        <v>0</v>
      </c>
      <c r="FP482" s="103"/>
      <c r="FQ482" s="109"/>
      <c r="FR482" s="109"/>
      <c r="FS482" s="71">
        <f t="shared" si="308"/>
        <v>0</v>
      </c>
      <c r="FT482" s="110"/>
      <c r="FU482" s="110"/>
      <c r="FV482" s="67">
        <f>SUM(Tableau1[[#This Row],[Droits d''auteurs SACEM + cotisations SACEM]:[Autres ou non préciés]])</f>
        <v>0</v>
      </c>
      <c r="FW482" s="75">
        <f t="shared" si="309"/>
        <v>0</v>
      </c>
      <c r="FX482" s="111">
        <v>0</v>
      </c>
      <c r="FY482" s="111"/>
      <c r="FZ482" s="111"/>
      <c r="GA482" s="111"/>
      <c r="GB482" s="71">
        <f t="shared" si="310"/>
        <v>0</v>
      </c>
      <c r="GC482" s="112"/>
      <c r="GD482" s="112"/>
      <c r="GE482" s="67">
        <f t="shared" si="311"/>
        <v>0</v>
      </c>
      <c r="GF482" s="113"/>
      <c r="GG482" s="113"/>
      <c r="GH482" s="113"/>
      <c r="GI482" s="113"/>
      <c r="GJ482" s="114"/>
    </row>
    <row r="483" spans="1:192" ht="18.600000000000001" customHeight="1" x14ac:dyDescent="0.25">
      <c r="A483" s="96"/>
      <c r="B483" s="97"/>
      <c r="C483" s="99"/>
      <c r="D483" s="140"/>
      <c r="E483" s="51"/>
      <c r="F483" s="139">
        <f t="shared" si="276"/>
        <v>1</v>
      </c>
      <c r="G483" s="98"/>
      <c r="H483" s="99"/>
      <c r="I483" s="122"/>
      <c r="J483" s="98"/>
      <c r="K483" s="99"/>
      <c r="L483" s="99"/>
      <c r="M483" s="100"/>
      <c r="N483" s="99"/>
      <c r="O483" s="99"/>
      <c r="P483" s="101"/>
      <c r="Q483" s="52">
        <f t="shared" si="281"/>
        <v>0</v>
      </c>
      <c r="R483" s="52">
        <f t="shared" si="282"/>
        <v>0</v>
      </c>
      <c r="S483" s="53">
        <f t="shared" si="283"/>
        <v>0</v>
      </c>
      <c r="T483" s="54">
        <f t="shared" si="284"/>
        <v>0</v>
      </c>
      <c r="U483" s="115">
        <f>SUM(Tableau1[[#This Row],[Vente confiserie]:[Vente boisson]])</f>
        <v>0</v>
      </c>
      <c r="V483" s="102"/>
      <c r="W483" s="102"/>
      <c r="X483" s="136">
        <f>SUM(Tableau1[[#This Row],[Vente lunette]:[Location lunette]])</f>
        <v>0</v>
      </c>
      <c r="Y483" s="102"/>
      <c r="Z483" s="102"/>
      <c r="AA483" s="102"/>
      <c r="AB483" s="102"/>
      <c r="AC483" s="56">
        <f t="shared" si="313"/>
        <v>0</v>
      </c>
      <c r="AD483" s="103"/>
      <c r="AE483" s="103"/>
      <c r="AF483" s="103"/>
      <c r="AG483" s="103"/>
      <c r="AH483" s="103"/>
      <c r="AI483" s="103"/>
      <c r="AJ483" s="118">
        <f>(Tableau1[[#This Row],[Recette guichet ]]*1.1275177)-Tableau1[[#This Row],[Recette guichet ]]</f>
        <v>0</v>
      </c>
      <c r="AK483" s="103"/>
      <c r="AL483" s="56">
        <f t="shared" si="314"/>
        <v>0</v>
      </c>
      <c r="AM483" s="104"/>
      <c r="AN483" s="58"/>
      <c r="AO483" s="104"/>
      <c r="AP483" s="115">
        <f t="shared" si="285"/>
        <v>0</v>
      </c>
      <c r="AQ483" s="105"/>
      <c r="AR483" s="105"/>
      <c r="AS483" s="105"/>
      <c r="AT483" s="105"/>
      <c r="AU483" s="59">
        <f t="shared" si="286"/>
        <v>0</v>
      </c>
      <c r="AV483" s="60">
        <f t="shared" si="287"/>
        <v>0</v>
      </c>
      <c r="AW483" s="104"/>
      <c r="AX483" s="104"/>
      <c r="AY483" s="104"/>
      <c r="AZ483" s="60">
        <f t="shared" si="277"/>
        <v>0</v>
      </c>
      <c r="BA483" s="104"/>
      <c r="BB483" s="104"/>
      <c r="BC483" s="104"/>
      <c r="BD483" s="60">
        <f>SUM(Tableau1[[#This Row],[ticket/carte/abonnement périmé]:[Autres ou non précisé 5]])</f>
        <v>0</v>
      </c>
      <c r="BE483" s="104"/>
      <c r="BF483" s="104"/>
      <c r="BG483" s="104"/>
      <c r="BH483" s="61">
        <f t="shared" si="288"/>
        <v>0</v>
      </c>
      <c r="BI483" s="137"/>
      <c r="BJ483" s="137"/>
      <c r="BK483" s="62">
        <f t="shared" si="289"/>
        <v>0</v>
      </c>
      <c r="BL483" s="137"/>
      <c r="BM483" s="137"/>
      <c r="BN483" s="137"/>
      <c r="BO483" s="137"/>
      <c r="BP483" s="137"/>
      <c r="BQ483" s="106"/>
      <c r="BR483" s="52">
        <f t="shared" si="290"/>
        <v>0</v>
      </c>
      <c r="BS483" s="52">
        <f t="shared" si="291"/>
        <v>0</v>
      </c>
      <c r="BT483" s="61">
        <f t="shared" si="292"/>
        <v>0</v>
      </c>
      <c r="BU483" s="64">
        <f t="shared" si="293"/>
        <v>0</v>
      </c>
      <c r="BV483" s="119">
        <f>SUM(Tableau1[[#This Row],[Achats confiserie]:[Achats boisson]])</f>
        <v>0</v>
      </c>
      <c r="BW483" s="104"/>
      <c r="BX483" s="105"/>
      <c r="BY483" s="104"/>
      <c r="BZ483" s="56">
        <f t="shared" si="294"/>
        <v>0</v>
      </c>
      <c r="CA483" s="108"/>
      <c r="CB483" s="108"/>
      <c r="CC483" s="56">
        <f t="shared" si="295"/>
        <v>0</v>
      </c>
      <c r="CD483" s="93"/>
      <c r="CE483" s="107"/>
      <c r="CF483" s="93"/>
      <c r="CG483" s="93"/>
      <c r="CH483" s="67">
        <f t="shared" si="296"/>
        <v>0</v>
      </c>
      <c r="CI483" s="68">
        <f t="shared" si="312"/>
        <v>0</v>
      </c>
      <c r="CJ483" s="93"/>
      <c r="CK483" s="93"/>
      <c r="CL483" s="93"/>
      <c r="CM483" s="93"/>
      <c r="CN483" s="93"/>
      <c r="CO483" s="68">
        <f t="shared" si="297"/>
        <v>0</v>
      </c>
      <c r="CP483" s="75">
        <f>SUM(Tableau1[[#This Row],[Fourniture eau]:[Energie (non précisé)]])</f>
        <v>0</v>
      </c>
      <c r="CQ483" s="93"/>
      <c r="CR483" s="93"/>
      <c r="CS483" s="93"/>
      <c r="CT483" s="93"/>
      <c r="CU483" s="93"/>
      <c r="CV483" s="93">
        <v>0</v>
      </c>
      <c r="CW483" s="93"/>
      <c r="CX483" s="68">
        <f>SUM(Tableau1[[#This Row],[Sous-traitance]:[Autres ou non précisé 12]])</f>
        <v>0</v>
      </c>
      <c r="CY483" s="107"/>
      <c r="CZ483" s="107"/>
      <c r="DA483" s="107"/>
      <c r="DB483" s="107"/>
      <c r="DC483" s="93"/>
      <c r="DD483" s="68">
        <f t="shared" si="278"/>
        <v>0</v>
      </c>
      <c r="DE483" s="93"/>
      <c r="DF483" s="107"/>
      <c r="DG483" s="107"/>
      <c r="DH483" s="107"/>
      <c r="DI483" s="68">
        <f>SUM(Tableau1[[#This Row],[Entretien et réparation matériel de projection]:[Autres ou non précisé 14]])</f>
        <v>0</v>
      </c>
      <c r="DJ483" s="104"/>
      <c r="DK483" s="104"/>
      <c r="DL483" s="105"/>
      <c r="DM483" s="68">
        <f t="shared" si="298"/>
        <v>0</v>
      </c>
      <c r="DN483" s="104"/>
      <c r="DO483" s="104"/>
      <c r="DP483" s="68">
        <f t="shared" si="299"/>
        <v>0</v>
      </c>
      <c r="DQ483" s="107"/>
      <c r="DR483" s="107"/>
      <c r="DS483" s="68">
        <f t="shared" si="300"/>
        <v>0</v>
      </c>
      <c r="DT483" s="107"/>
      <c r="DU483" s="107"/>
      <c r="DV483" s="107"/>
      <c r="DW483" s="68">
        <f>SUM(Tableau1[[#This Row],[Comission et courtage sur achats]:[Autres ou honoraires
 non précisé ]])</f>
        <v>0</v>
      </c>
      <c r="DX483" s="57"/>
      <c r="DY483" s="57"/>
      <c r="DZ483" s="107"/>
      <c r="EA483" s="107"/>
      <c r="EB483" s="107"/>
      <c r="EC483" s="68">
        <f t="shared" si="301"/>
        <v>0</v>
      </c>
      <c r="ED483" s="105"/>
      <c r="EE483" s="105"/>
      <c r="EF483" s="105"/>
      <c r="EG483" s="105"/>
      <c r="EH483" s="105"/>
      <c r="EI483" s="84">
        <f>SUM(Tableau1[[#This Row],[Transports sur films]:[autres ]])</f>
        <v>0</v>
      </c>
      <c r="EJ483" s="134">
        <v>0</v>
      </c>
      <c r="EK483" s="134"/>
      <c r="EL483" s="68">
        <f t="shared" si="302"/>
        <v>0</v>
      </c>
      <c r="EM483" s="107"/>
      <c r="EN483" s="107">
        <v>0</v>
      </c>
      <c r="EO483" s="107"/>
      <c r="EP483" s="107"/>
      <c r="EQ483" s="107"/>
      <c r="ER483" s="107"/>
      <c r="ES483" s="107"/>
      <c r="ET483" s="68">
        <f t="shared" si="303"/>
        <v>0</v>
      </c>
      <c r="EU483" s="107"/>
      <c r="EV483" s="107"/>
      <c r="EW483" s="107"/>
      <c r="EX483" s="107"/>
      <c r="EY483" s="107"/>
      <c r="EZ483" s="68">
        <f t="shared" si="280"/>
        <v>0</v>
      </c>
      <c r="FA483" s="107"/>
      <c r="FB483" s="107"/>
      <c r="FC483" s="70">
        <f t="shared" si="279"/>
        <v>0</v>
      </c>
      <c r="FD483" s="107"/>
      <c r="FE483" s="71">
        <f t="shared" si="304"/>
        <v>0</v>
      </c>
      <c r="FF483" s="72">
        <f t="shared" si="305"/>
        <v>0</v>
      </c>
      <c r="FG483" s="107"/>
      <c r="FH483" s="107"/>
      <c r="FI483" s="107"/>
      <c r="FJ483" s="56">
        <f t="shared" si="306"/>
        <v>0</v>
      </c>
      <c r="FK483" s="107"/>
      <c r="FL483" s="107"/>
      <c r="FM483" s="107"/>
      <c r="FN483" s="107"/>
      <c r="FO483" s="67">
        <f t="shared" si="307"/>
        <v>0</v>
      </c>
      <c r="FP483" s="103"/>
      <c r="FQ483" s="109"/>
      <c r="FR483" s="109"/>
      <c r="FS483" s="71">
        <f t="shared" si="308"/>
        <v>0</v>
      </c>
      <c r="FT483" s="110"/>
      <c r="FU483" s="110"/>
      <c r="FV483" s="67">
        <f>SUM(Tableau1[[#This Row],[Droits d''auteurs SACEM + cotisations SACEM]:[Autres ou non préciés]])</f>
        <v>0</v>
      </c>
      <c r="FW483" s="75">
        <f t="shared" si="309"/>
        <v>0</v>
      </c>
      <c r="FX483" s="111">
        <v>0</v>
      </c>
      <c r="FY483" s="111"/>
      <c r="FZ483" s="111"/>
      <c r="GA483" s="111"/>
      <c r="GB483" s="71">
        <f t="shared" si="310"/>
        <v>0</v>
      </c>
      <c r="GC483" s="112"/>
      <c r="GD483" s="112"/>
      <c r="GE483" s="67">
        <f t="shared" si="311"/>
        <v>0</v>
      </c>
      <c r="GF483" s="113"/>
      <c r="GG483" s="113"/>
      <c r="GH483" s="113"/>
      <c r="GI483" s="113"/>
      <c r="GJ483" s="114"/>
    </row>
    <row r="484" spans="1:192" ht="18.600000000000001" customHeight="1" x14ac:dyDescent="0.25">
      <c r="A484" s="96"/>
      <c r="B484" s="97"/>
      <c r="C484" s="99"/>
      <c r="D484" s="140"/>
      <c r="E484" s="51"/>
      <c r="F484" s="139">
        <f t="shared" si="276"/>
        <v>1</v>
      </c>
      <c r="G484" s="98"/>
      <c r="H484" s="99"/>
      <c r="I484" s="122"/>
      <c r="J484" s="98"/>
      <c r="K484" s="99"/>
      <c r="L484" s="99"/>
      <c r="M484" s="100"/>
      <c r="N484" s="99"/>
      <c r="O484" s="99"/>
      <c r="P484" s="101"/>
      <c r="Q484" s="52">
        <f t="shared" si="281"/>
        <v>0</v>
      </c>
      <c r="R484" s="52">
        <f t="shared" si="282"/>
        <v>0</v>
      </c>
      <c r="S484" s="53">
        <f t="shared" si="283"/>
        <v>0</v>
      </c>
      <c r="T484" s="54">
        <f t="shared" si="284"/>
        <v>0</v>
      </c>
      <c r="U484" s="115">
        <f>SUM(Tableau1[[#This Row],[Vente confiserie]:[Vente boisson]])</f>
        <v>0</v>
      </c>
      <c r="V484" s="102"/>
      <c r="W484" s="102"/>
      <c r="X484" s="136">
        <f>SUM(Tableau1[[#This Row],[Vente lunette]:[Location lunette]])</f>
        <v>0</v>
      </c>
      <c r="Y484" s="102"/>
      <c r="Z484" s="102"/>
      <c r="AA484" s="102"/>
      <c r="AB484" s="102"/>
      <c r="AC484" s="56">
        <f t="shared" si="313"/>
        <v>0</v>
      </c>
      <c r="AD484" s="103"/>
      <c r="AE484" s="103"/>
      <c r="AF484" s="103"/>
      <c r="AG484" s="103"/>
      <c r="AH484" s="103"/>
      <c r="AI484" s="103"/>
      <c r="AJ484" s="118">
        <f>(Tableau1[[#This Row],[Recette guichet ]]*1.1275177)-Tableau1[[#This Row],[Recette guichet ]]</f>
        <v>0</v>
      </c>
      <c r="AK484" s="103"/>
      <c r="AL484" s="56">
        <f t="shared" si="314"/>
        <v>0</v>
      </c>
      <c r="AM484" s="104"/>
      <c r="AN484" s="58"/>
      <c r="AO484" s="104"/>
      <c r="AP484" s="115">
        <f t="shared" si="285"/>
        <v>0</v>
      </c>
      <c r="AQ484" s="105"/>
      <c r="AR484" s="105"/>
      <c r="AS484" s="105"/>
      <c r="AT484" s="105"/>
      <c r="AU484" s="59">
        <f t="shared" si="286"/>
        <v>0</v>
      </c>
      <c r="AV484" s="60">
        <f t="shared" si="287"/>
        <v>0</v>
      </c>
      <c r="AW484" s="104"/>
      <c r="AX484" s="104"/>
      <c r="AY484" s="104"/>
      <c r="AZ484" s="60">
        <f t="shared" si="277"/>
        <v>0</v>
      </c>
      <c r="BA484" s="104"/>
      <c r="BB484" s="104"/>
      <c r="BC484" s="104"/>
      <c r="BD484" s="60">
        <f>SUM(Tableau1[[#This Row],[ticket/carte/abonnement périmé]:[Autres ou non précisé 5]])</f>
        <v>0</v>
      </c>
      <c r="BE484" s="104"/>
      <c r="BF484" s="104"/>
      <c r="BG484" s="104"/>
      <c r="BH484" s="61">
        <f t="shared" si="288"/>
        <v>0</v>
      </c>
      <c r="BI484" s="137"/>
      <c r="BJ484" s="137"/>
      <c r="BK484" s="62">
        <f t="shared" si="289"/>
        <v>0</v>
      </c>
      <c r="BL484" s="137"/>
      <c r="BM484" s="137"/>
      <c r="BN484" s="137"/>
      <c r="BO484" s="137"/>
      <c r="BP484" s="137"/>
      <c r="BQ484" s="106"/>
      <c r="BR484" s="52">
        <f t="shared" si="290"/>
        <v>0</v>
      </c>
      <c r="BS484" s="52">
        <f t="shared" si="291"/>
        <v>0</v>
      </c>
      <c r="BT484" s="61">
        <f t="shared" si="292"/>
        <v>0</v>
      </c>
      <c r="BU484" s="64">
        <f t="shared" si="293"/>
        <v>0</v>
      </c>
      <c r="BV484" s="119">
        <f>SUM(Tableau1[[#This Row],[Achats confiserie]:[Achats boisson]])</f>
        <v>0</v>
      </c>
      <c r="BW484" s="104"/>
      <c r="BX484" s="105"/>
      <c r="BY484" s="104"/>
      <c r="BZ484" s="56">
        <f t="shared" si="294"/>
        <v>0</v>
      </c>
      <c r="CA484" s="108"/>
      <c r="CB484" s="108"/>
      <c r="CC484" s="56">
        <f t="shared" si="295"/>
        <v>0</v>
      </c>
      <c r="CD484" s="93"/>
      <c r="CE484" s="107"/>
      <c r="CF484" s="93"/>
      <c r="CG484" s="93"/>
      <c r="CH484" s="67">
        <f t="shared" si="296"/>
        <v>0</v>
      </c>
      <c r="CI484" s="68">
        <f t="shared" si="312"/>
        <v>0</v>
      </c>
      <c r="CJ484" s="93"/>
      <c r="CK484" s="93"/>
      <c r="CL484" s="93"/>
      <c r="CM484" s="93"/>
      <c r="CN484" s="93"/>
      <c r="CO484" s="68">
        <f t="shared" si="297"/>
        <v>0</v>
      </c>
      <c r="CP484" s="75">
        <f>SUM(Tableau1[[#This Row],[Fourniture eau]:[Energie (non précisé)]])</f>
        <v>0</v>
      </c>
      <c r="CQ484" s="93"/>
      <c r="CR484" s="93"/>
      <c r="CS484" s="93"/>
      <c r="CT484" s="93"/>
      <c r="CU484" s="93"/>
      <c r="CV484" s="93">
        <v>0</v>
      </c>
      <c r="CW484" s="93"/>
      <c r="CX484" s="68">
        <f>SUM(Tableau1[[#This Row],[Sous-traitance]:[Autres ou non précisé 12]])</f>
        <v>0</v>
      </c>
      <c r="CY484" s="107"/>
      <c r="CZ484" s="107"/>
      <c r="DA484" s="107"/>
      <c r="DB484" s="107"/>
      <c r="DC484" s="93"/>
      <c r="DD484" s="68">
        <f t="shared" si="278"/>
        <v>0</v>
      </c>
      <c r="DE484" s="93"/>
      <c r="DF484" s="107"/>
      <c r="DG484" s="107"/>
      <c r="DH484" s="107"/>
      <c r="DI484" s="68">
        <f>SUM(Tableau1[[#This Row],[Entretien et réparation matériel de projection]:[Autres ou non précisé 14]])</f>
        <v>0</v>
      </c>
      <c r="DJ484" s="104"/>
      <c r="DK484" s="104"/>
      <c r="DL484" s="105"/>
      <c r="DM484" s="68">
        <f t="shared" si="298"/>
        <v>0</v>
      </c>
      <c r="DN484" s="104"/>
      <c r="DO484" s="104"/>
      <c r="DP484" s="68">
        <f t="shared" si="299"/>
        <v>0</v>
      </c>
      <c r="DQ484" s="107"/>
      <c r="DR484" s="107"/>
      <c r="DS484" s="68">
        <f t="shared" si="300"/>
        <v>0</v>
      </c>
      <c r="DT484" s="107"/>
      <c r="DU484" s="107"/>
      <c r="DV484" s="107"/>
      <c r="DW484" s="68">
        <f>SUM(Tableau1[[#This Row],[Comission et courtage sur achats]:[Autres ou honoraires
 non précisé ]])</f>
        <v>0</v>
      </c>
      <c r="DX484" s="57"/>
      <c r="DY484" s="57"/>
      <c r="DZ484" s="107"/>
      <c r="EA484" s="107"/>
      <c r="EB484" s="107"/>
      <c r="EC484" s="68">
        <f t="shared" si="301"/>
        <v>0</v>
      </c>
      <c r="ED484" s="105"/>
      <c r="EE484" s="105"/>
      <c r="EF484" s="105"/>
      <c r="EG484" s="105"/>
      <c r="EH484" s="105"/>
      <c r="EI484" s="84">
        <f>SUM(Tableau1[[#This Row],[Transports sur films]:[autres ]])</f>
        <v>0</v>
      </c>
      <c r="EJ484" s="134">
        <v>0</v>
      </c>
      <c r="EK484" s="134"/>
      <c r="EL484" s="68">
        <f t="shared" si="302"/>
        <v>0</v>
      </c>
      <c r="EM484" s="107"/>
      <c r="EN484" s="107">
        <v>0</v>
      </c>
      <c r="EO484" s="107"/>
      <c r="EP484" s="107"/>
      <c r="EQ484" s="107"/>
      <c r="ER484" s="107"/>
      <c r="ES484" s="107"/>
      <c r="ET484" s="68">
        <f t="shared" si="303"/>
        <v>0</v>
      </c>
      <c r="EU484" s="107"/>
      <c r="EV484" s="107"/>
      <c r="EW484" s="107"/>
      <c r="EX484" s="107"/>
      <c r="EY484" s="107"/>
      <c r="EZ484" s="68">
        <f t="shared" si="280"/>
        <v>0</v>
      </c>
      <c r="FA484" s="107"/>
      <c r="FB484" s="107"/>
      <c r="FC484" s="70">
        <f t="shared" si="279"/>
        <v>0</v>
      </c>
      <c r="FD484" s="107"/>
      <c r="FE484" s="71">
        <f t="shared" si="304"/>
        <v>0</v>
      </c>
      <c r="FF484" s="72">
        <f t="shared" si="305"/>
        <v>0</v>
      </c>
      <c r="FG484" s="107"/>
      <c r="FH484" s="107"/>
      <c r="FI484" s="107"/>
      <c r="FJ484" s="56">
        <f t="shared" si="306"/>
        <v>0</v>
      </c>
      <c r="FK484" s="107"/>
      <c r="FL484" s="107"/>
      <c r="FM484" s="107"/>
      <c r="FN484" s="107"/>
      <c r="FO484" s="67">
        <f t="shared" si="307"/>
        <v>0</v>
      </c>
      <c r="FP484" s="103"/>
      <c r="FQ484" s="109"/>
      <c r="FR484" s="109"/>
      <c r="FS484" s="71">
        <f t="shared" si="308"/>
        <v>0</v>
      </c>
      <c r="FT484" s="110"/>
      <c r="FU484" s="110"/>
      <c r="FV484" s="67">
        <f>SUM(Tableau1[[#This Row],[Droits d''auteurs SACEM + cotisations SACEM]:[Autres ou non préciés]])</f>
        <v>0</v>
      </c>
      <c r="FW484" s="75">
        <f t="shared" si="309"/>
        <v>0</v>
      </c>
      <c r="FX484" s="111">
        <v>0</v>
      </c>
      <c r="FY484" s="111"/>
      <c r="FZ484" s="111"/>
      <c r="GA484" s="111"/>
      <c r="GB484" s="71">
        <f t="shared" si="310"/>
        <v>0</v>
      </c>
      <c r="GC484" s="112"/>
      <c r="GD484" s="112"/>
      <c r="GE484" s="67">
        <f t="shared" si="311"/>
        <v>0</v>
      </c>
      <c r="GF484" s="113"/>
      <c r="GG484" s="113"/>
      <c r="GH484" s="113"/>
      <c r="GI484" s="113"/>
      <c r="GJ484" s="114"/>
    </row>
    <row r="485" spans="1:192" ht="18.600000000000001" customHeight="1" x14ac:dyDescent="0.25">
      <c r="A485" s="96"/>
      <c r="B485" s="97"/>
      <c r="C485" s="99"/>
      <c r="D485" s="140"/>
      <c r="E485" s="51"/>
      <c r="F485" s="139">
        <f t="shared" si="276"/>
        <v>1</v>
      </c>
      <c r="G485" s="98"/>
      <c r="H485" s="99"/>
      <c r="I485" s="122"/>
      <c r="J485" s="98"/>
      <c r="K485" s="99"/>
      <c r="L485" s="99"/>
      <c r="M485" s="100"/>
      <c r="N485" s="99"/>
      <c r="O485" s="99"/>
      <c r="P485" s="101"/>
      <c r="Q485" s="52">
        <f t="shared" si="281"/>
        <v>0</v>
      </c>
      <c r="R485" s="52">
        <f t="shared" si="282"/>
        <v>0</v>
      </c>
      <c r="S485" s="53">
        <f t="shared" si="283"/>
        <v>0</v>
      </c>
      <c r="T485" s="54">
        <f t="shared" si="284"/>
        <v>0</v>
      </c>
      <c r="U485" s="115">
        <f>SUM(Tableau1[[#This Row],[Vente confiserie]:[Vente boisson]])</f>
        <v>0</v>
      </c>
      <c r="V485" s="102"/>
      <c r="W485" s="102"/>
      <c r="X485" s="136">
        <f>SUM(Tableau1[[#This Row],[Vente lunette]:[Location lunette]])</f>
        <v>0</v>
      </c>
      <c r="Y485" s="102"/>
      <c r="Z485" s="102"/>
      <c r="AA485" s="102"/>
      <c r="AB485" s="102"/>
      <c r="AC485" s="56">
        <f t="shared" si="313"/>
        <v>0</v>
      </c>
      <c r="AD485" s="103"/>
      <c r="AE485" s="103"/>
      <c r="AF485" s="103"/>
      <c r="AG485" s="103"/>
      <c r="AH485" s="103"/>
      <c r="AI485" s="103"/>
      <c r="AJ485" s="118">
        <f>(Tableau1[[#This Row],[Recette guichet ]]*1.1275177)-Tableau1[[#This Row],[Recette guichet ]]</f>
        <v>0</v>
      </c>
      <c r="AK485" s="103"/>
      <c r="AL485" s="56">
        <f t="shared" si="314"/>
        <v>0</v>
      </c>
      <c r="AM485" s="104"/>
      <c r="AN485" s="58"/>
      <c r="AO485" s="104"/>
      <c r="AP485" s="115">
        <f t="shared" si="285"/>
        <v>0</v>
      </c>
      <c r="AQ485" s="105"/>
      <c r="AR485" s="105"/>
      <c r="AS485" s="105"/>
      <c r="AT485" s="105"/>
      <c r="AU485" s="59">
        <f t="shared" si="286"/>
        <v>0</v>
      </c>
      <c r="AV485" s="60">
        <f t="shared" si="287"/>
        <v>0</v>
      </c>
      <c r="AW485" s="104"/>
      <c r="AX485" s="104"/>
      <c r="AY485" s="104"/>
      <c r="AZ485" s="60">
        <f t="shared" si="277"/>
        <v>0</v>
      </c>
      <c r="BA485" s="104"/>
      <c r="BB485" s="104"/>
      <c r="BC485" s="104"/>
      <c r="BD485" s="60">
        <f>SUM(Tableau1[[#This Row],[ticket/carte/abonnement périmé]:[Autres ou non précisé 5]])</f>
        <v>0</v>
      </c>
      <c r="BE485" s="104"/>
      <c r="BF485" s="104"/>
      <c r="BG485" s="104"/>
      <c r="BH485" s="61">
        <f t="shared" si="288"/>
        <v>0</v>
      </c>
      <c r="BI485" s="137"/>
      <c r="BJ485" s="137"/>
      <c r="BK485" s="62">
        <f t="shared" si="289"/>
        <v>0</v>
      </c>
      <c r="BL485" s="137"/>
      <c r="BM485" s="137"/>
      <c r="BN485" s="137"/>
      <c r="BO485" s="137"/>
      <c r="BP485" s="137"/>
      <c r="BQ485" s="106"/>
      <c r="BR485" s="52">
        <f t="shared" si="290"/>
        <v>0</v>
      </c>
      <c r="BS485" s="52">
        <f t="shared" si="291"/>
        <v>0</v>
      </c>
      <c r="BT485" s="61">
        <f t="shared" si="292"/>
        <v>0</v>
      </c>
      <c r="BU485" s="64">
        <f t="shared" si="293"/>
        <v>0</v>
      </c>
      <c r="BV485" s="119">
        <f>SUM(Tableau1[[#This Row],[Achats confiserie]:[Achats boisson]])</f>
        <v>0</v>
      </c>
      <c r="BW485" s="104"/>
      <c r="BX485" s="105"/>
      <c r="BY485" s="104"/>
      <c r="BZ485" s="56">
        <f t="shared" si="294"/>
        <v>0</v>
      </c>
      <c r="CA485" s="108"/>
      <c r="CB485" s="108"/>
      <c r="CC485" s="56">
        <f t="shared" si="295"/>
        <v>0</v>
      </c>
      <c r="CD485" s="93"/>
      <c r="CE485" s="107"/>
      <c r="CF485" s="93"/>
      <c r="CG485" s="93"/>
      <c r="CH485" s="67">
        <f t="shared" si="296"/>
        <v>0</v>
      </c>
      <c r="CI485" s="68">
        <f t="shared" si="312"/>
        <v>0</v>
      </c>
      <c r="CJ485" s="93"/>
      <c r="CK485" s="93"/>
      <c r="CL485" s="93"/>
      <c r="CM485" s="93"/>
      <c r="CN485" s="93"/>
      <c r="CO485" s="68">
        <f t="shared" si="297"/>
        <v>0</v>
      </c>
      <c r="CP485" s="75">
        <f>SUM(Tableau1[[#This Row],[Fourniture eau]:[Energie (non précisé)]])</f>
        <v>0</v>
      </c>
      <c r="CQ485" s="93"/>
      <c r="CR485" s="93"/>
      <c r="CS485" s="93"/>
      <c r="CT485" s="93"/>
      <c r="CU485" s="93"/>
      <c r="CV485" s="93">
        <v>0</v>
      </c>
      <c r="CW485" s="93"/>
      <c r="CX485" s="68">
        <f>SUM(Tableau1[[#This Row],[Sous-traitance]:[Autres ou non précisé 12]])</f>
        <v>0</v>
      </c>
      <c r="CY485" s="107"/>
      <c r="CZ485" s="107"/>
      <c r="DA485" s="107"/>
      <c r="DB485" s="107"/>
      <c r="DC485" s="93"/>
      <c r="DD485" s="68">
        <f t="shared" si="278"/>
        <v>0</v>
      </c>
      <c r="DE485" s="93"/>
      <c r="DF485" s="107"/>
      <c r="DG485" s="107"/>
      <c r="DH485" s="107"/>
      <c r="DI485" s="68">
        <f>SUM(Tableau1[[#This Row],[Entretien et réparation matériel de projection]:[Autres ou non précisé 14]])</f>
        <v>0</v>
      </c>
      <c r="DJ485" s="104"/>
      <c r="DK485" s="104"/>
      <c r="DL485" s="105"/>
      <c r="DM485" s="68">
        <f t="shared" si="298"/>
        <v>0</v>
      </c>
      <c r="DN485" s="104"/>
      <c r="DO485" s="104"/>
      <c r="DP485" s="68">
        <f t="shared" si="299"/>
        <v>0</v>
      </c>
      <c r="DQ485" s="107"/>
      <c r="DR485" s="107"/>
      <c r="DS485" s="68">
        <f t="shared" si="300"/>
        <v>0</v>
      </c>
      <c r="DT485" s="107"/>
      <c r="DU485" s="107"/>
      <c r="DV485" s="107"/>
      <c r="DW485" s="68">
        <f>SUM(Tableau1[[#This Row],[Comission et courtage sur achats]:[Autres ou honoraires
 non précisé ]])</f>
        <v>0</v>
      </c>
      <c r="DX485" s="57"/>
      <c r="DY485" s="57"/>
      <c r="DZ485" s="107"/>
      <c r="EA485" s="107"/>
      <c r="EB485" s="107"/>
      <c r="EC485" s="68">
        <f t="shared" si="301"/>
        <v>0</v>
      </c>
      <c r="ED485" s="105"/>
      <c r="EE485" s="105"/>
      <c r="EF485" s="105"/>
      <c r="EG485" s="105"/>
      <c r="EH485" s="105"/>
      <c r="EI485" s="84">
        <f>SUM(Tableau1[[#This Row],[Transports sur films]:[autres ]])</f>
        <v>0</v>
      </c>
      <c r="EJ485" s="134">
        <v>0</v>
      </c>
      <c r="EK485" s="134"/>
      <c r="EL485" s="68">
        <f t="shared" si="302"/>
        <v>0</v>
      </c>
      <c r="EM485" s="107"/>
      <c r="EN485" s="107">
        <v>0</v>
      </c>
      <c r="EO485" s="107"/>
      <c r="EP485" s="107"/>
      <c r="EQ485" s="107"/>
      <c r="ER485" s="107"/>
      <c r="ES485" s="107"/>
      <c r="ET485" s="68">
        <f t="shared" si="303"/>
        <v>0</v>
      </c>
      <c r="EU485" s="107"/>
      <c r="EV485" s="107"/>
      <c r="EW485" s="107"/>
      <c r="EX485" s="107"/>
      <c r="EY485" s="107"/>
      <c r="EZ485" s="68">
        <f t="shared" si="280"/>
        <v>0</v>
      </c>
      <c r="FA485" s="107"/>
      <c r="FB485" s="107"/>
      <c r="FC485" s="70">
        <f t="shared" si="279"/>
        <v>0</v>
      </c>
      <c r="FD485" s="107"/>
      <c r="FE485" s="71">
        <f t="shared" si="304"/>
        <v>0</v>
      </c>
      <c r="FF485" s="72">
        <f t="shared" si="305"/>
        <v>0</v>
      </c>
      <c r="FG485" s="107"/>
      <c r="FH485" s="107"/>
      <c r="FI485" s="107"/>
      <c r="FJ485" s="56">
        <f t="shared" si="306"/>
        <v>0</v>
      </c>
      <c r="FK485" s="107"/>
      <c r="FL485" s="107"/>
      <c r="FM485" s="107"/>
      <c r="FN485" s="107"/>
      <c r="FO485" s="67">
        <f t="shared" si="307"/>
        <v>0</v>
      </c>
      <c r="FP485" s="103"/>
      <c r="FQ485" s="109"/>
      <c r="FR485" s="109"/>
      <c r="FS485" s="71">
        <f t="shared" si="308"/>
        <v>0</v>
      </c>
      <c r="FT485" s="110"/>
      <c r="FU485" s="110"/>
      <c r="FV485" s="67">
        <f>SUM(Tableau1[[#This Row],[Droits d''auteurs SACEM + cotisations SACEM]:[Autres ou non préciés]])</f>
        <v>0</v>
      </c>
      <c r="FW485" s="75">
        <f t="shared" si="309"/>
        <v>0</v>
      </c>
      <c r="FX485" s="111">
        <v>0</v>
      </c>
      <c r="FY485" s="111"/>
      <c r="FZ485" s="111"/>
      <c r="GA485" s="111"/>
      <c r="GB485" s="71">
        <f t="shared" si="310"/>
        <v>0</v>
      </c>
      <c r="GC485" s="112"/>
      <c r="GD485" s="112"/>
      <c r="GE485" s="67">
        <f t="shared" si="311"/>
        <v>0</v>
      </c>
      <c r="GF485" s="113"/>
      <c r="GG485" s="113"/>
      <c r="GH485" s="113"/>
      <c r="GI485" s="113"/>
      <c r="GJ485" s="114"/>
    </row>
    <row r="486" spans="1:192" ht="18.600000000000001" customHeight="1" x14ac:dyDescent="0.25">
      <c r="A486" s="96"/>
      <c r="B486" s="97"/>
      <c r="C486" s="99"/>
      <c r="D486" s="140"/>
      <c r="E486" s="51"/>
      <c r="F486" s="139">
        <f t="shared" si="276"/>
        <v>1</v>
      </c>
      <c r="G486" s="98"/>
      <c r="H486" s="99"/>
      <c r="I486" s="122"/>
      <c r="J486" s="98"/>
      <c r="K486" s="99"/>
      <c r="L486" s="99"/>
      <c r="M486" s="100"/>
      <c r="N486" s="99"/>
      <c r="O486" s="99"/>
      <c r="P486" s="101"/>
      <c r="Q486" s="52">
        <f t="shared" si="281"/>
        <v>0</v>
      </c>
      <c r="R486" s="52">
        <f t="shared" si="282"/>
        <v>0</v>
      </c>
      <c r="S486" s="53">
        <f t="shared" si="283"/>
        <v>0</v>
      </c>
      <c r="T486" s="54">
        <f t="shared" si="284"/>
        <v>0</v>
      </c>
      <c r="U486" s="115">
        <f>SUM(Tableau1[[#This Row],[Vente confiserie]:[Vente boisson]])</f>
        <v>0</v>
      </c>
      <c r="V486" s="102"/>
      <c r="W486" s="102"/>
      <c r="X486" s="136">
        <f>SUM(Tableau1[[#This Row],[Vente lunette]:[Location lunette]])</f>
        <v>0</v>
      </c>
      <c r="Y486" s="102"/>
      <c r="Z486" s="102"/>
      <c r="AA486" s="102"/>
      <c r="AB486" s="102"/>
      <c r="AC486" s="56">
        <f t="shared" si="313"/>
        <v>0</v>
      </c>
      <c r="AD486" s="103"/>
      <c r="AE486" s="103"/>
      <c r="AF486" s="103"/>
      <c r="AG486" s="103"/>
      <c r="AH486" s="103"/>
      <c r="AI486" s="103"/>
      <c r="AJ486" s="118">
        <f>(Tableau1[[#This Row],[Recette guichet ]]*1.1275177)-Tableau1[[#This Row],[Recette guichet ]]</f>
        <v>0</v>
      </c>
      <c r="AK486" s="103"/>
      <c r="AL486" s="56">
        <f t="shared" si="314"/>
        <v>0</v>
      </c>
      <c r="AM486" s="104"/>
      <c r="AN486" s="58"/>
      <c r="AO486" s="104"/>
      <c r="AP486" s="115">
        <f t="shared" si="285"/>
        <v>0</v>
      </c>
      <c r="AQ486" s="105"/>
      <c r="AR486" s="105"/>
      <c r="AS486" s="105"/>
      <c r="AT486" s="105"/>
      <c r="AU486" s="59">
        <f t="shared" si="286"/>
        <v>0</v>
      </c>
      <c r="AV486" s="60">
        <f t="shared" si="287"/>
        <v>0</v>
      </c>
      <c r="AW486" s="104"/>
      <c r="AX486" s="104"/>
      <c r="AY486" s="104"/>
      <c r="AZ486" s="60">
        <f t="shared" si="277"/>
        <v>0</v>
      </c>
      <c r="BA486" s="104"/>
      <c r="BB486" s="104"/>
      <c r="BC486" s="104"/>
      <c r="BD486" s="60">
        <f>SUM(Tableau1[[#This Row],[ticket/carte/abonnement périmé]:[Autres ou non précisé 5]])</f>
        <v>0</v>
      </c>
      <c r="BE486" s="104"/>
      <c r="BF486" s="104"/>
      <c r="BG486" s="104"/>
      <c r="BH486" s="61">
        <f t="shared" si="288"/>
        <v>0</v>
      </c>
      <c r="BI486" s="137"/>
      <c r="BJ486" s="137"/>
      <c r="BK486" s="62">
        <f t="shared" si="289"/>
        <v>0</v>
      </c>
      <c r="BL486" s="137"/>
      <c r="BM486" s="137"/>
      <c r="BN486" s="137"/>
      <c r="BO486" s="137"/>
      <c r="BP486" s="137"/>
      <c r="BQ486" s="106"/>
      <c r="BR486" s="52">
        <f t="shared" si="290"/>
        <v>0</v>
      </c>
      <c r="BS486" s="52">
        <f t="shared" si="291"/>
        <v>0</v>
      </c>
      <c r="BT486" s="61">
        <f t="shared" si="292"/>
        <v>0</v>
      </c>
      <c r="BU486" s="64">
        <f t="shared" si="293"/>
        <v>0</v>
      </c>
      <c r="BV486" s="119">
        <f>SUM(Tableau1[[#This Row],[Achats confiserie]:[Achats boisson]])</f>
        <v>0</v>
      </c>
      <c r="BW486" s="104"/>
      <c r="BX486" s="105"/>
      <c r="BY486" s="104"/>
      <c r="BZ486" s="56">
        <f t="shared" si="294"/>
        <v>0</v>
      </c>
      <c r="CA486" s="108"/>
      <c r="CB486" s="108"/>
      <c r="CC486" s="56">
        <f t="shared" si="295"/>
        <v>0</v>
      </c>
      <c r="CD486" s="93"/>
      <c r="CE486" s="107"/>
      <c r="CF486" s="93"/>
      <c r="CG486" s="93"/>
      <c r="CH486" s="67">
        <f t="shared" si="296"/>
        <v>0</v>
      </c>
      <c r="CI486" s="68">
        <f t="shared" si="312"/>
        <v>0</v>
      </c>
      <c r="CJ486" s="93"/>
      <c r="CK486" s="93"/>
      <c r="CL486" s="93"/>
      <c r="CM486" s="93"/>
      <c r="CN486" s="93"/>
      <c r="CO486" s="68">
        <f t="shared" si="297"/>
        <v>0</v>
      </c>
      <c r="CP486" s="75">
        <f>SUM(Tableau1[[#This Row],[Fourniture eau]:[Energie (non précisé)]])</f>
        <v>0</v>
      </c>
      <c r="CQ486" s="93"/>
      <c r="CR486" s="93"/>
      <c r="CS486" s="93"/>
      <c r="CT486" s="93"/>
      <c r="CU486" s="93"/>
      <c r="CV486" s="93">
        <v>0</v>
      </c>
      <c r="CW486" s="93"/>
      <c r="CX486" s="68">
        <f>SUM(Tableau1[[#This Row],[Sous-traitance]:[Autres ou non précisé 12]])</f>
        <v>0</v>
      </c>
      <c r="CY486" s="107"/>
      <c r="CZ486" s="107"/>
      <c r="DA486" s="107"/>
      <c r="DB486" s="107"/>
      <c r="DC486" s="93"/>
      <c r="DD486" s="68">
        <f t="shared" si="278"/>
        <v>0</v>
      </c>
      <c r="DE486" s="93"/>
      <c r="DF486" s="107"/>
      <c r="DG486" s="107"/>
      <c r="DH486" s="107"/>
      <c r="DI486" s="68">
        <f>SUM(Tableau1[[#This Row],[Entretien et réparation matériel de projection]:[Autres ou non précisé 14]])</f>
        <v>0</v>
      </c>
      <c r="DJ486" s="104"/>
      <c r="DK486" s="104"/>
      <c r="DL486" s="105"/>
      <c r="DM486" s="68">
        <f t="shared" si="298"/>
        <v>0</v>
      </c>
      <c r="DN486" s="104"/>
      <c r="DO486" s="104"/>
      <c r="DP486" s="68">
        <f t="shared" si="299"/>
        <v>0</v>
      </c>
      <c r="DQ486" s="107"/>
      <c r="DR486" s="107"/>
      <c r="DS486" s="68">
        <f t="shared" si="300"/>
        <v>0</v>
      </c>
      <c r="DT486" s="107"/>
      <c r="DU486" s="107"/>
      <c r="DV486" s="107"/>
      <c r="DW486" s="68">
        <f>SUM(Tableau1[[#This Row],[Comission et courtage sur achats]:[Autres ou honoraires
 non précisé ]])</f>
        <v>0</v>
      </c>
      <c r="DX486" s="57"/>
      <c r="DY486" s="57"/>
      <c r="DZ486" s="107"/>
      <c r="EA486" s="107"/>
      <c r="EB486" s="107"/>
      <c r="EC486" s="68">
        <f t="shared" si="301"/>
        <v>0</v>
      </c>
      <c r="ED486" s="105"/>
      <c r="EE486" s="105"/>
      <c r="EF486" s="105"/>
      <c r="EG486" s="105"/>
      <c r="EH486" s="105"/>
      <c r="EI486" s="84">
        <f>SUM(Tableau1[[#This Row],[Transports sur films]:[autres ]])</f>
        <v>0</v>
      </c>
      <c r="EJ486" s="134">
        <v>0</v>
      </c>
      <c r="EK486" s="134"/>
      <c r="EL486" s="68">
        <f t="shared" si="302"/>
        <v>0</v>
      </c>
      <c r="EM486" s="107"/>
      <c r="EN486" s="107">
        <v>0</v>
      </c>
      <c r="EO486" s="107"/>
      <c r="EP486" s="107"/>
      <c r="EQ486" s="107"/>
      <c r="ER486" s="107"/>
      <c r="ES486" s="107"/>
      <c r="ET486" s="68">
        <f t="shared" si="303"/>
        <v>0</v>
      </c>
      <c r="EU486" s="107"/>
      <c r="EV486" s="107"/>
      <c r="EW486" s="107"/>
      <c r="EX486" s="107"/>
      <c r="EY486" s="107"/>
      <c r="EZ486" s="68">
        <f t="shared" si="280"/>
        <v>0</v>
      </c>
      <c r="FA486" s="107"/>
      <c r="FB486" s="107"/>
      <c r="FC486" s="70">
        <f t="shared" si="279"/>
        <v>0</v>
      </c>
      <c r="FD486" s="107"/>
      <c r="FE486" s="71">
        <f t="shared" si="304"/>
        <v>0</v>
      </c>
      <c r="FF486" s="72">
        <f t="shared" si="305"/>
        <v>0</v>
      </c>
      <c r="FG486" s="107"/>
      <c r="FH486" s="107"/>
      <c r="FI486" s="107"/>
      <c r="FJ486" s="56">
        <f t="shared" si="306"/>
        <v>0</v>
      </c>
      <c r="FK486" s="107"/>
      <c r="FL486" s="107"/>
      <c r="FM486" s="107"/>
      <c r="FN486" s="107"/>
      <c r="FO486" s="67">
        <f t="shared" si="307"/>
        <v>0</v>
      </c>
      <c r="FP486" s="103"/>
      <c r="FQ486" s="109"/>
      <c r="FR486" s="109"/>
      <c r="FS486" s="71">
        <f t="shared" si="308"/>
        <v>0</v>
      </c>
      <c r="FT486" s="110"/>
      <c r="FU486" s="110"/>
      <c r="FV486" s="67">
        <f>SUM(Tableau1[[#This Row],[Droits d''auteurs SACEM + cotisations SACEM]:[Autres ou non préciés]])</f>
        <v>0</v>
      </c>
      <c r="FW486" s="75">
        <f t="shared" si="309"/>
        <v>0</v>
      </c>
      <c r="FX486" s="111">
        <v>0</v>
      </c>
      <c r="FY486" s="111"/>
      <c r="FZ486" s="111"/>
      <c r="GA486" s="111"/>
      <c r="GB486" s="71">
        <f t="shared" si="310"/>
        <v>0</v>
      </c>
      <c r="GC486" s="112"/>
      <c r="GD486" s="112"/>
      <c r="GE486" s="67">
        <f t="shared" si="311"/>
        <v>0</v>
      </c>
      <c r="GF486" s="113"/>
      <c r="GG486" s="113"/>
      <c r="GH486" s="113"/>
      <c r="GI486" s="113"/>
      <c r="GJ486" s="114"/>
    </row>
    <row r="487" spans="1:192" ht="18.600000000000001" customHeight="1" x14ac:dyDescent="0.25">
      <c r="A487" s="96"/>
      <c r="B487" s="97"/>
      <c r="C487" s="99"/>
      <c r="D487" s="140"/>
      <c r="E487" s="51"/>
      <c r="F487" s="139">
        <f t="shared" si="276"/>
        <v>1</v>
      </c>
      <c r="G487" s="98"/>
      <c r="H487" s="99"/>
      <c r="I487" s="122"/>
      <c r="J487" s="98"/>
      <c r="K487" s="99"/>
      <c r="L487" s="99"/>
      <c r="M487" s="100"/>
      <c r="N487" s="99"/>
      <c r="O487" s="99"/>
      <c r="P487" s="101"/>
      <c r="Q487" s="52">
        <f t="shared" si="281"/>
        <v>0</v>
      </c>
      <c r="R487" s="52">
        <f t="shared" si="282"/>
        <v>0</v>
      </c>
      <c r="S487" s="53">
        <f t="shared" si="283"/>
        <v>0</v>
      </c>
      <c r="T487" s="54">
        <f t="shared" si="284"/>
        <v>0</v>
      </c>
      <c r="U487" s="115">
        <f>SUM(Tableau1[[#This Row],[Vente confiserie]:[Vente boisson]])</f>
        <v>0</v>
      </c>
      <c r="V487" s="102"/>
      <c r="W487" s="102"/>
      <c r="X487" s="136">
        <f>SUM(Tableau1[[#This Row],[Vente lunette]:[Location lunette]])</f>
        <v>0</v>
      </c>
      <c r="Y487" s="102"/>
      <c r="Z487" s="102"/>
      <c r="AA487" s="102"/>
      <c r="AB487" s="102"/>
      <c r="AC487" s="56">
        <f t="shared" si="313"/>
        <v>0</v>
      </c>
      <c r="AD487" s="103"/>
      <c r="AE487" s="103"/>
      <c r="AF487" s="103"/>
      <c r="AG487" s="103"/>
      <c r="AH487" s="103"/>
      <c r="AI487" s="103"/>
      <c r="AJ487" s="118">
        <f>(Tableau1[[#This Row],[Recette guichet ]]*1.1275177)-Tableau1[[#This Row],[Recette guichet ]]</f>
        <v>0</v>
      </c>
      <c r="AK487" s="103"/>
      <c r="AL487" s="56">
        <f t="shared" si="314"/>
        <v>0</v>
      </c>
      <c r="AM487" s="104"/>
      <c r="AN487" s="58"/>
      <c r="AO487" s="104"/>
      <c r="AP487" s="115">
        <f t="shared" si="285"/>
        <v>0</v>
      </c>
      <c r="AQ487" s="105"/>
      <c r="AR487" s="105"/>
      <c r="AS487" s="105"/>
      <c r="AT487" s="105"/>
      <c r="AU487" s="59">
        <f t="shared" si="286"/>
        <v>0</v>
      </c>
      <c r="AV487" s="60">
        <f t="shared" si="287"/>
        <v>0</v>
      </c>
      <c r="AW487" s="104"/>
      <c r="AX487" s="104"/>
      <c r="AY487" s="104"/>
      <c r="AZ487" s="60">
        <f t="shared" si="277"/>
        <v>0</v>
      </c>
      <c r="BA487" s="104"/>
      <c r="BB487" s="104"/>
      <c r="BC487" s="104"/>
      <c r="BD487" s="60">
        <f>SUM(Tableau1[[#This Row],[ticket/carte/abonnement périmé]:[Autres ou non précisé 5]])</f>
        <v>0</v>
      </c>
      <c r="BE487" s="104"/>
      <c r="BF487" s="104"/>
      <c r="BG487" s="104"/>
      <c r="BH487" s="61">
        <f t="shared" si="288"/>
        <v>0</v>
      </c>
      <c r="BI487" s="137"/>
      <c r="BJ487" s="137"/>
      <c r="BK487" s="62">
        <f t="shared" si="289"/>
        <v>0</v>
      </c>
      <c r="BL487" s="137"/>
      <c r="BM487" s="137"/>
      <c r="BN487" s="137"/>
      <c r="BO487" s="137"/>
      <c r="BP487" s="137"/>
      <c r="BQ487" s="106"/>
      <c r="BR487" s="52">
        <f t="shared" si="290"/>
        <v>0</v>
      </c>
      <c r="BS487" s="52">
        <f t="shared" si="291"/>
        <v>0</v>
      </c>
      <c r="BT487" s="61">
        <f t="shared" si="292"/>
        <v>0</v>
      </c>
      <c r="BU487" s="64">
        <f t="shared" si="293"/>
        <v>0</v>
      </c>
      <c r="BV487" s="119">
        <f>SUM(Tableau1[[#This Row],[Achats confiserie]:[Achats boisson]])</f>
        <v>0</v>
      </c>
      <c r="BW487" s="104"/>
      <c r="BX487" s="105"/>
      <c r="BY487" s="104"/>
      <c r="BZ487" s="56">
        <f t="shared" si="294"/>
        <v>0</v>
      </c>
      <c r="CA487" s="108"/>
      <c r="CB487" s="108"/>
      <c r="CC487" s="56">
        <f t="shared" si="295"/>
        <v>0</v>
      </c>
      <c r="CD487" s="93"/>
      <c r="CE487" s="107"/>
      <c r="CF487" s="93"/>
      <c r="CG487" s="93"/>
      <c r="CH487" s="67">
        <f t="shared" si="296"/>
        <v>0</v>
      </c>
      <c r="CI487" s="68">
        <f t="shared" si="312"/>
        <v>0</v>
      </c>
      <c r="CJ487" s="93"/>
      <c r="CK487" s="93"/>
      <c r="CL487" s="93"/>
      <c r="CM487" s="93"/>
      <c r="CN487" s="93"/>
      <c r="CO487" s="68">
        <f t="shared" si="297"/>
        <v>0</v>
      </c>
      <c r="CP487" s="75">
        <f>SUM(Tableau1[[#This Row],[Fourniture eau]:[Energie (non précisé)]])</f>
        <v>0</v>
      </c>
      <c r="CQ487" s="93"/>
      <c r="CR487" s="93"/>
      <c r="CS487" s="93"/>
      <c r="CT487" s="93"/>
      <c r="CU487" s="93"/>
      <c r="CV487" s="93">
        <v>0</v>
      </c>
      <c r="CW487" s="93"/>
      <c r="CX487" s="68">
        <f>SUM(Tableau1[[#This Row],[Sous-traitance]:[Autres ou non précisé 12]])</f>
        <v>0</v>
      </c>
      <c r="CY487" s="107"/>
      <c r="CZ487" s="107"/>
      <c r="DA487" s="107"/>
      <c r="DB487" s="107"/>
      <c r="DC487" s="93"/>
      <c r="DD487" s="68">
        <f t="shared" si="278"/>
        <v>0</v>
      </c>
      <c r="DE487" s="93"/>
      <c r="DF487" s="107"/>
      <c r="DG487" s="107"/>
      <c r="DH487" s="107"/>
      <c r="DI487" s="68">
        <f>SUM(Tableau1[[#This Row],[Entretien et réparation matériel de projection]:[Autres ou non précisé 14]])</f>
        <v>0</v>
      </c>
      <c r="DJ487" s="104"/>
      <c r="DK487" s="104"/>
      <c r="DL487" s="105"/>
      <c r="DM487" s="68">
        <f t="shared" si="298"/>
        <v>0</v>
      </c>
      <c r="DN487" s="104"/>
      <c r="DO487" s="104"/>
      <c r="DP487" s="68">
        <f t="shared" si="299"/>
        <v>0</v>
      </c>
      <c r="DQ487" s="107"/>
      <c r="DR487" s="107"/>
      <c r="DS487" s="68">
        <f t="shared" si="300"/>
        <v>0</v>
      </c>
      <c r="DT487" s="107"/>
      <c r="DU487" s="107"/>
      <c r="DV487" s="107"/>
      <c r="DW487" s="68">
        <f>SUM(Tableau1[[#This Row],[Comission et courtage sur achats]:[Autres ou honoraires
 non précisé ]])</f>
        <v>0</v>
      </c>
      <c r="DX487" s="57"/>
      <c r="DY487" s="57"/>
      <c r="DZ487" s="107"/>
      <c r="EA487" s="107"/>
      <c r="EB487" s="107"/>
      <c r="EC487" s="68">
        <f t="shared" si="301"/>
        <v>0</v>
      </c>
      <c r="ED487" s="105"/>
      <c r="EE487" s="105"/>
      <c r="EF487" s="105"/>
      <c r="EG487" s="105"/>
      <c r="EH487" s="105"/>
      <c r="EI487" s="84">
        <f>SUM(Tableau1[[#This Row],[Transports sur films]:[autres ]])</f>
        <v>0</v>
      </c>
      <c r="EJ487" s="134">
        <v>0</v>
      </c>
      <c r="EK487" s="134"/>
      <c r="EL487" s="68">
        <f t="shared" si="302"/>
        <v>0</v>
      </c>
      <c r="EM487" s="107"/>
      <c r="EN487" s="107">
        <v>0</v>
      </c>
      <c r="EO487" s="107"/>
      <c r="EP487" s="107"/>
      <c r="EQ487" s="107"/>
      <c r="ER487" s="107"/>
      <c r="ES487" s="107"/>
      <c r="ET487" s="68">
        <f t="shared" si="303"/>
        <v>0</v>
      </c>
      <c r="EU487" s="107"/>
      <c r="EV487" s="107"/>
      <c r="EW487" s="107"/>
      <c r="EX487" s="107"/>
      <c r="EY487" s="107"/>
      <c r="EZ487" s="68">
        <f t="shared" si="280"/>
        <v>0</v>
      </c>
      <c r="FA487" s="107"/>
      <c r="FB487" s="107"/>
      <c r="FC487" s="70">
        <f t="shared" si="279"/>
        <v>0</v>
      </c>
      <c r="FD487" s="107"/>
      <c r="FE487" s="71">
        <f t="shared" si="304"/>
        <v>0</v>
      </c>
      <c r="FF487" s="72">
        <f t="shared" si="305"/>
        <v>0</v>
      </c>
      <c r="FG487" s="107"/>
      <c r="FH487" s="107"/>
      <c r="FI487" s="107"/>
      <c r="FJ487" s="56">
        <f t="shared" si="306"/>
        <v>0</v>
      </c>
      <c r="FK487" s="107"/>
      <c r="FL487" s="107"/>
      <c r="FM487" s="107"/>
      <c r="FN487" s="107"/>
      <c r="FO487" s="67">
        <f t="shared" si="307"/>
        <v>0</v>
      </c>
      <c r="FP487" s="103"/>
      <c r="FQ487" s="109"/>
      <c r="FR487" s="109"/>
      <c r="FS487" s="71">
        <f t="shared" si="308"/>
        <v>0</v>
      </c>
      <c r="FT487" s="110"/>
      <c r="FU487" s="110"/>
      <c r="FV487" s="67">
        <f>SUM(Tableau1[[#This Row],[Droits d''auteurs SACEM + cotisations SACEM]:[Autres ou non préciés]])</f>
        <v>0</v>
      </c>
      <c r="FW487" s="75">
        <f t="shared" si="309"/>
        <v>0</v>
      </c>
      <c r="FX487" s="111">
        <v>0</v>
      </c>
      <c r="FY487" s="111"/>
      <c r="FZ487" s="111"/>
      <c r="GA487" s="111"/>
      <c r="GB487" s="71">
        <f t="shared" si="310"/>
        <v>0</v>
      </c>
      <c r="GC487" s="112"/>
      <c r="GD487" s="112"/>
      <c r="GE487" s="67">
        <f t="shared" si="311"/>
        <v>0</v>
      </c>
      <c r="GF487" s="113"/>
      <c r="GG487" s="113"/>
      <c r="GH487" s="113"/>
      <c r="GI487" s="113"/>
      <c r="GJ487" s="114"/>
    </row>
    <row r="488" spans="1:192" ht="18.600000000000001" customHeight="1" x14ac:dyDescent="0.25">
      <c r="A488" s="96"/>
      <c r="B488" s="97"/>
      <c r="C488" s="99"/>
      <c r="D488" s="140"/>
      <c r="E488" s="51"/>
      <c r="F488" s="139">
        <f t="shared" si="276"/>
        <v>1</v>
      </c>
      <c r="G488" s="98"/>
      <c r="H488" s="99"/>
      <c r="I488" s="122"/>
      <c r="J488" s="98"/>
      <c r="K488" s="99"/>
      <c r="L488" s="99"/>
      <c r="M488" s="100"/>
      <c r="N488" s="99"/>
      <c r="O488" s="99"/>
      <c r="P488" s="101"/>
      <c r="Q488" s="52">
        <f t="shared" si="281"/>
        <v>0</v>
      </c>
      <c r="R488" s="52">
        <f t="shared" si="282"/>
        <v>0</v>
      </c>
      <c r="S488" s="53">
        <f t="shared" si="283"/>
        <v>0</v>
      </c>
      <c r="T488" s="54">
        <f t="shared" si="284"/>
        <v>0</v>
      </c>
      <c r="U488" s="115">
        <f>SUM(Tableau1[[#This Row],[Vente confiserie]:[Vente boisson]])</f>
        <v>0</v>
      </c>
      <c r="V488" s="102"/>
      <c r="W488" s="102"/>
      <c r="X488" s="136">
        <f>SUM(Tableau1[[#This Row],[Vente lunette]:[Location lunette]])</f>
        <v>0</v>
      </c>
      <c r="Y488" s="102"/>
      <c r="Z488" s="102"/>
      <c r="AA488" s="102"/>
      <c r="AB488" s="102"/>
      <c r="AC488" s="56">
        <f t="shared" si="313"/>
        <v>0</v>
      </c>
      <c r="AD488" s="103"/>
      <c r="AE488" s="103"/>
      <c r="AF488" s="103"/>
      <c r="AG488" s="103"/>
      <c r="AH488" s="103"/>
      <c r="AI488" s="103"/>
      <c r="AJ488" s="118">
        <f>(Tableau1[[#This Row],[Recette guichet ]]*1.1275177)-Tableau1[[#This Row],[Recette guichet ]]</f>
        <v>0</v>
      </c>
      <c r="AK488" s="103"/>
      <c r="AL488" s="56">
        <f t="shared" si="314"/>
        <v>0</v>
      </c>
      <c r="AM488" s="104"/>
      <c r="AN488" s="58"/>
      <c r="AO488" s="104"/>
      <c r="AP488" s="115">
        <f t="shared" si="285"/>
        <v>0</v>
      </c>
      <c r="AQ488" s="105"/>
      <c r="AR488" s="105"/>
      <c r="AS488" s="105"/>
      <c r="AT488" s="105"/>
      <c r="AU488" s="59">
        <f t="shared" si="286"/>
        <v>0</v>
      </c>
      <c r="AV488" s="60">
        <f t="shared" si="287"/>
        <v>0</v>
      </c>
      <c r="AW488" s="104"/>
      <c r="AX488" s="104"/>
      <c r="AY488" s="104"/>
      <c r="AZ488" s="60">
        <f t="shared" si="277"/>
        <v>0</v>
      </c>
      <c r="BA488" s="104"/>
      <c r="BB488" s="104"/>
      <c r="BC488" s="104"/>
      <c r="BD488" s="60">
        <f>SUM(Tableau1[[#This Row],[ticket/carte/abonnement périmé]:[Autres ou non précisé 5]])</f>
        <v>0</v>
      </c>
      <c r="BE488" s="104"/>
      <c r="BF488" s="104"/>
      <c r="BG488" s="104"/>
      <c r="BH488" s="61">
        <f t="shared" si="288"/>
        <v>0</v>
      </c>
      <c r="BI488" s="137"/>
      <c r="BJ488" s="137"/>
      <c r="BK488" s="62">
        <f t="shared" si="289"/>
        <v>0</v>
      </c>
      <c r="BL488" s="137"/>
      <c r="BM488" s="137"/>
      <c r="BN488" s="137"/>
      <c r="BO488" s="137"/>
      <c r="BP488" s="137"/>
      <c r="BQ488" s="106"/>
      <c r="BR488" s="52">
        <f t="shared" si="290"/>
        <v>0</v>
      </c>
      <c r="BS488" s="52">
        <f t="shared" si="291"/>
        <v>0</v>
      </c>
      <c r="BT488" s="61">
        <f t="shared" si="292"/>
        <v>0</v>
      </c>
      <c r="BU488" s="64">
        <f t="shared" si="293"/>
        <v>0</v>
      </c>
      <c r="BV488" s="119">
        <f>SUM(Tableau1[[#This Row],[Achats confiserie]:[Achats boisson]])</f>
        <v>0</v>
      </c>
      <c r="BW488" s="104"/>
      <c r="BX488" s="105"/>
      <c r="BY488" s="104"/>
      <c r="BZ488" s="56">
        <f t="shared" si="294"/>
        <v>0</v>
      </c>
      <c r="CA488" s="108"/>
      <c r="CB488" s="108"/>
      <c r="CC488" s="56">
        <f t="shared" si="295"/>
        <v>0</v>
      </c>
      <c r="CD488" s="93"/>
      <c r="CE488" s="107"/>
      <c r="CF488" s="93"/>
      <c r="CG488" s="93"/>
      <c r="CH488" s="67">
        <f t="shared" si="296"/>
        <v>0</v>
      </c>
      <c r="CI488" s="68">
        <f t="shared" si="312"/>
        <v>0</v>
      </c>
      <c r="CJ488" s="93"/>
      <c r="CK488" s="93"/>
      <c r="CL488" s="93"/>
      <c r="CM488" s="93"/>
      <c r="CN488" s="93"/>
      <c r="CO488" s="68">
        <f t="shared" si="297"/>
        <v>0</v>
      </c>
      <c r="CP488" s="75">
        <f>SUM(Tableau1[[#This Row],[Fourniture eau]:[Energie (non précisé)]])</f>
        <v>0</v>
      </c>
      <c r="CQ488" s="93"/>
      <c r="CR488" s="93"/>
      <c r="CS488" s="93"/>
      <c r="CT488" s="93"/>
      <c r="CU488" s="93"/>
      <c r="CV488" s="93">
        <v>0</v>
      </c>
      <c r="CW488" s="93"/>
      <c r="CX488" s="68">
        <f>SUM(Tableau1[[#This Row],[Sous-traitance]:[Autres ou non précisé 12]])</f>
        <v>0</v>
      </c>
      <c r="CY488" s="107"/>
      <c r="CZ488" s="107"/>
      <c r="DA488" s="107"/>
      <c r="DB488" s="107"/>
      <c r="DC488" s="93"/>
      <c r="DD488" s="68">
        <f t="shared" si="278"/>
        <v>0</v>
      </c>
      <c r="DE488" s="93"/>
      <c r="DF488" s="107"/>
      <c r="DG488" s="107"/>
      <c r="DH488" s="107"/>
      <c r="DI488" s="68">
        <f>SUM(Tableau1[[#This Row],[Entretien et réparation matériel de projection]:[Autres ou non précisé 14]])</f>
        <v>0</v>
      </c>
      <c r="DJ488" s="104"/>
      <c r="DK488" s="104"/>
      <c r="DL488" s="105"/>
      <c r="DM488" s="68">
        <f t="shared" si="298"/>
        <v>0</v>
      </c>
      <c r="DN488" s="104"/>
      <c r="DO488" s="104"/>
      <c r="DP488" s="68">
        <f t="shared" si="299"/>
        <v>0</v>
      </c>
      <c r="DQ488" s="107"/>
      <c r="DR488" s="107"/>
      <c r="DS488" s="68">
        <f t="shared" si="300"/>
        <v>0</v>
      </c>
      <c r="DT488" s="107"/>
      <c r="DU488" s="107"/>
      <c r="DV488" s="107"/>
      <c r="DW488" s="68">
        <f>SUM(Tableau1[[#This Row],[Comission et courtage sur achats]:[Autres ou honoraires
 non précisé ]])</f>
        <v>0</v>
      </c>
      <c r="DX488" s="57"/>
      <c r="DY488" s="57"/>
      <c r="DZ488" s="107"/>
      <c r="EA488" s="107"/>
      <c r="EB488" s="107"/>
      <c r="EC488" s="68">
        <f t="shared" si="301"/>
        <v>0</v>
      </c>
      <c r="ED488" s="105"/>
      <c r="EE488" s="105"/>
      <c r="EF488" s="105"/>
      <c r="EG488" s="105"/>
      <c r="EH488" s="105"/>
      <c r="EI488" s="84">
        <f>SUM(Tableau1[[#This Row],[Transports sur films]:[autres ]])</f>
        <v>0</v>
      </c>
      <c r="EJ488" s="134">
        <v>0</v>
      </c>
      <c r="EK488" s="134"/>
      <c r="EL488" s="68">
        <f t="shared" si="302"/>
        <v>0</v>
      </c>
      <c r="EM488" s="107"/>
      <c r="EN488" s="107">
        <v>0</v>
      </c>
      <c r="EO488" s="107"/>
      <c r="EP488" s="107"/>
      <c r="EQ488" s="107"/>
      <c r="ER488" s="107"/>
      <c r="ES488" s="107"/>
      <c r="ET488" s="68">
        <f t="shared" si="303"/>
        <v>0</v>
      </c>
      <c r="EU488" s="107"/>
      <c r="EV488" s="107"/>
      <c r="EW488" s="107"/>
      <c r="EX488" s="107"/>
      <c r="EY488" s="107"/>
      <c r="EZ488" s="68">
        <f t="shared" si="280"/>
        <v>0</v>
      </c>
      <c r="FA488" s="107"/>
      <c r="FB488" s="107"/>
      <c r="FC488" s="70">
        <f t="shared" si="279"/>
        <v>0</v>
      </c>
      <c r="FD488" s="107"/>
      <c r="FE488" s="71">
        <f t="shared" si="304"/>
        <v>0</v>
      </c>
      <c r="FF488" s="72">
        <f t="shared" si="305"/>
        <v>0</v>
      </c>
      <c r="FG488" s="107"/>
      <c r="FH488" s="107"/>
      <c r="FI488" s="107"/>
      <c r="FJ488" s="56">
        <f t="shared" si="306"/>
        <v>0</v>
      </c>
      <c r="FK488" s="107"/>
      <c r="FL488" s="107"/>
      <c r="FM488" s="107"/>
      <c r="FN488" s="107"/>
      <c r="FO488" s="67">
        <f t="shared" si="307"/>
        <v>0</v>
      </c>
      <c r="FP488" s="103"/>
      <c r="FQ488" s="109"/>
      <c r="FR488" s="109"/>
      <c r="FS488" s="71">
        <f t="shared" si="308"/>
        <v>0</v>
      </c>
      <c r="FT488" s="110"/>
      <c r="FU488" s="110"/>
      <c r="FV488" s="67">
        <f>SUM(Tableau1[[#This Row],[Droits d''auteurs SACEM + cotisations SACEM]:[Autres ou non préciés]])</f>
        <v>0</v>
      </c>
      <c r="FW488" s="75">
        <f t="shared" si="309"/>
        <v>0</v>
      </c>
      <c r="FX488" s="111">
        <v>0</v>
      </c>
      <c r="FY488" s="111"/>
      <c r="FZ488" s="111"/>
      <c r="GA488" s="111"/>
      <c r="GB488" s="71">
        <f t="shared" si="310"/>
        <v>0</v>
      </c>
      <c r="GC488" s="112"/>
      <c r="GD488" s="112"/>
      <c r="GE488" s="67">
        <f t="shared" si="311"/>
        <v>0</v>
      </c>
      <c r="GF488" s="113"/>
      <c r="GG488" s="113"/>
      <c r="GH488" s="113"/>
      <c r="GI488" s="113"/>
      <c r="GJ488" s="114"/>
    </row>
    <row r="489" spans="1:192" ht="18.600000000000001" customHeight="1" x14ac:dyDescent="0.25">
      <c r="A489" s="96"/>
      <c r="B489" s="97"/>
      <c r="C489" s="99"/>
      <c r="D489" s="140"/>
      <c r="E489" s="51"/>
      <c r="F489" s="139">
        <f t="shared" si="276"/>
        <v>1</v>
      </c>
      <c r="G489" s="98"/>
      <c r="H489" s="99"/>
      <c r="I489" s="122"/>
      <c r="J489" s="98"/>
      <c r="K489" s="99"/>
      <c r="L489" s="99"/>
      <c r="M489" s="100"/>
      <c r="N489" s="99"/>
      <c r="O489" s="99"/>
      <c r="P489" s="101"/>
      <c r="Q489" s="52">
        <f t="shared" si="281"/>
        <v>0</v>
      </c>
      <c r="R489" s="52">
        <f t="shared" si="282"/>
        <v>0</v>
      </c>
      <c r="S489" s="53">
        <f t="shared" si="283"/>
        <v>0</v>
      </c>
      <c r="T489" s="54">
        <f t="shared" si="284"/>
        <v>0</v>
      </c>
      <c r="U489" s="115">
        <f>SUM(Tableau1[[#This Row],[Vente confiserie]:[Vente boisson]])</f>
        <v>0</v>
      </c>
      <c r="V489" s="102"/>
      <c r="W489" s="102"/>
      <c r="X489" s="136">
        <f>SUM(Tableau1[[#This Row],[Vente lunette]:[Location lunette]])</f>
        <v>0</v>
      </c>
      <c r="Y489" s="102"/>
      <c r="Z489" s="102"/>
      <c r="AA489" s="102"/>
      <c r="AB489" s="102"/>
      <c r="AC489" s="56">
        <f t="shared" si="313"/>
        <v>0</v>
      </c>
      <c r="AD489" s="103"/>
      <c r="AE489" s="103"/>
      <c r="AF489" s="103"/>
      <c r="AG489" s="103"/>
      <c r="AH489" s="103"/>
      <c r="AI489" s="103"/>
      <c r="AJ489" s="118">
        <f>(Tableau1[[#This Row],[Recette guichet ]]*1.1275177)-Tableau1[[#This Row],[Recette guichet ]]</f>
        <v>0</v>
      </c>
      <c r="AK489" s="103"/>
      <c r="AL489" s="56">
        <f t="shared" si="314"/>
        <v>0</v>
      </c>
      <c r="AM489" s="104"/>
      <c r="AN489" s="58"/>
      <c r="AO489" s="104"/>
      <c r="AP489" s="115">
        <f t="shared" si="285"/>
        <v>0</v>
      </c>
      <c r="AQ489" s="105"/>
      <c r="AR489" s="105"/>
      <c r="AS489" s="105"/>
      <c r="AT489" s="105"/>
      <c r="AU489" s="59">
        <f t="shared" si="286"/>
        <v>0</v>
      </c>
      <c r="AV489" s="60">
        <f t="shared" si="287"/>
        <v>0</v>
      </c>
      <c r="AW489" s="104"/>
      <c r="AX489" s="104"/>
      <c r="AY489" s="104"/>
      <c r="AZ489" s="60">
        <f t="shared" si="277"/>
        <v>0</v>
      </c>
      <c r="BA489" s="104"/>
      <c r="BB489" s="104"/>
      <c r="BC489" s="104"/>
      <c r="BD489" s="60">
        <f>SUM(Tableau1[[#This Row],[ticket/carte/abonnement périmé]:[Autres ou non précisé 5]])</f>
        <v>0</v>
      </c>
      <c r="BE489" s="104"/>
      <c r="BF489" s="104"/>
      <c r="BG489" s="104"/>
      <c r="BH489" s="61">
        <f t="shared" si="288"/>
        <v>0</v>
      </c>
      <c r="BI489" s="137"/>
      <c r="BJ489" s="137"/>
      <c r="BK489" s="62">
        <f t="shared" si="289"/>
        <v>0</v>
      </c>
      <c r="BL489" s="137"/>
      <c r="BM489" s="137"/>
      <c r="BN489" s="137"/>
      <c r="BO489" s="137"/>
      <c r="BP489" s="137"/>
      <c r="BQ489" s="106"/>
      <c r="BR489" s="52">
        <f t="shared" si="290"/>
        <v>0</v>
      </c>
      <c r="BS489" s="52">
        <f t="shared" si="291"/>
        <v>0</v>
      </c>
      <c r="BT489" s="61">
        <f t="shared" si="292"/>
        <v>0</v>
      </c>
      <c r="BU489" s="64">
        <f t="shared" si="293"/>
        <v>0</v>
      </c>
      <c r="BV489" s="119">
        <f>SUM(Tableau1[[#This Row],[Achats confiserie]:[Achats boisson]])</f>
        <v>0</v>
      </c>
      <c r="BW489" s="104"/>
      <c r="BX489" s="105"/>
      <c r="BY489" s="104"/>
      <c r="BZ489" s="56">
        <f t="shared" si="294"/>
        <v>0</v>
      </c>
      <c r="CA489" s="108"/>
      <c r="CB489" s="108"/>
      <c r="CC489" s="56">
        <f t="shared" si="295"/>
        <v>0</v>
      </c>
      <c r="CD489" s="93"/>
      <c r="CE489" s="107"/>
      <c r="CF489" s="93"/>
      <c r="CG489" s="93"/>
      <c r="CH489" s="67">
        <f t="shared" si="296"/>
        <v>0</v>
      </c>
      <c r="CI489" s="68">
        <f t="shared" si="312"/>
        <v>0</v>
      </c>
      <c r="CJ489" s="93"/>
      <c r="CK489" s="93"/>
      <c r="CL489" s="93"/>
      <c r="CM489" s="93"/>
      <c r="CN489" s="93"/>
      <c r="CO489" s="68">
        <f t="shared" si="297"/>
        <v>0</v>
      </c>
      <c r="CP489" s="75">
        <f>SUM(Tableau1[[#This Row],[Fourniture eau]:[Energie (non précisé)]])</f>
        <v>0</v>
      </c>
      <c r="CQ489" s="93"/>
      <c r="CR489" s="93"/>
      <c r="CS489" s="93"/>
      <c r="CT489" s="93"/>
      <c r="CU489" s="93"/>
      <c r="CV489" s="93">
        <v>0</v>
      </c>
      <c r="CW489" s="93"/>
      <c r="CX489" s="68">
        <f>SUM(Tableau1[[#This Row],[Sous-traitance]:[Autres ou non précisé 12]])</f>
        <v>0</v>
      </c>
      <c r="CY489" s="107"/>
      <c r="CZ489" s="107"/>
      <c r="DA489" s="107"/>
      <c r="DB489" s="107"/>
      <c r="DC489" s="93"/>
      <c r="DD489" s="68">
        <f t="shared" si="278"/>
        <v>0</v>
      </c>
      <c r="DE489" s="93"/>
      <c r="DF489" s="107"/>
      <c r="DG489" s="107"/>
      <c r="DH489" s="107"/>
      <c r="DI489" s="68">
        <f>SUM(Tableau1[[#This Row],[Entretien et réparation matériel de projection]:[Autres ou non précisé 14]])</f>
        <v>0</v>
      </c>
      <c r="DJ489" s="104"/>
      <c r="DK489" s="104"/>
      <c r="DL489" s="105"/>
      <c r="DM489" s="68">
        <f t="shared" si="298"/>
        <v>0</v>
      </c>
      <c r="DN489" s="104"/>
      <c r="DO489" s="104"/>
      <c r="DP489" s="68">
        <f t="shared" si="299"/>
        <v>0</v>
      </c>
      <c r="DQ489" s="107"/>
      <c r="DR489" s="107"/>
      <c r="DS489" s="68">
        <f t="shared" si="300"/>
        <v>0</v>
      </c>
      <c r="DT489" s="107"/>
      <c r="DU489" s="107"/>
      <c r="DV489" s="107"/>
      <c r="DW489" s="68">
        <f>SUM(Tableau1[[#This Row],[Comission et courtage sur achats]:[Autres ou honoraires
 non précisé ]])</f>
        <v>0</v>
      </c>
      <c r="DX489" s="57"/>
      <c r="DY489" s="57"/>
      <c r="DZ489" s="107"/>
      <c r="EA489" s="107"/>
      <c r="EB489" s="107"/>
      <c r="EC489" s="68">
        <f t="shared" si="301"/>
        <v>0</v>
      </c>
      <c r="ED489" s="105"/>
      <c r="EE489" s="105"/>
      <c r="EF489" s="105"/>
      <c r="EG489" s="105"/>
      <c r="EH489" s="105"/>
      <c r="EI489" s="84">
        <f>SUM(Tableau1[[#This Row],[Transports sur films]:[autres ]])</f>
        <v>0</v>
      </c>
      <c r="EJ489" s="134">
        <v>0</v>
      </c>
      <c r="EK489" s="134"/>
      <c r="EL489" s="68">
        <f t="shared" si="302"/>
        <v>0</v>
      </c>
      <c r="EM489" s="107"/>
      <c r="EN489" s="107">
        <v>0</v>
      </c>
      <c r="EO489" s="107"/>
      <c r="EP489" s="107"/>
      <c r="EQ489" s="107"/>
      <c r="ER489" s="107"/>
      <c r="ES489" s="107"/>
      <c r="ET489" s="68">
        <f t="shared" si="303"/>
        <v>0</v>
      </c>
      <c r="EU489" s="107"/>
      <c r="EV489" s="107"/>
      <c r="EW489" s="107"/>
      <c r="EX489" s="107"/>
      <c r="EY489" s="107"/>
      <c r="EZ489" s="68">
        <f t="shared" si="280"/>
        <v>0</v>
      </c>
      <c r="FA489" s="107"/>
      <c r="FB489" s="107"/>
      <c r="FC489" s="70">
        <f t="shared" si="279"/>
        <v>0</v>
      </c>
      <c r="FD489" s="107"/>
      <c r="FE489" s="71">
        <f t="shared" si="304"/>
        <v>0</v>
      </c>
      <c r="FF489" s="72">
        <f t="shared" si="305"/>
        <v>0</v>
      </c>
      <c r="FG489" s="107"/>
      <c r="FH489" s="107"/>
      <c r="FI489" s="107"/>
      <c r="FJ489" s="56">
        <f t="shared" si="306"/>
        <v>0</v>
      </c>
      <c r="FK489" s="107"/>
      <c r="FL489" s="107"/>
      <c r="FM489" s="107"/>
      <c r="FN489" s="107"/>
      <c r="FO489" s="67">
        <f t="shared" si="307"/>
        <v>0</v>
      </c>
      <c r="FP489" s="103"/>
      <c r="FQ489" s="109"/>
      <c r="FR489" s="109"/>
      <c r="FS489" s="71">
        <f t="shared" si="308"/>
        <v>0</v>
      </c>
      <c r="FT489" s="110"/>
      <c r="FU489" s="110"/>
      <c r="FV489" s="67">
        <f>SUM(Tableau1[[#This Row],[Droits d''auteurs SACEM + cotisations SACEM]:[Autres ou non préciés]])</f>
        <v>0</v>
      </c>
      <c r="FW489" s="75">
        <f t="shared" si="309"/>
        <v>0</v>
      </c>
      <c r="FX489" s="111">
        <v>0</v>
      </c>
      <c r="FY489" s="111"/>
      <c r="FZ489" s="111"/>
      <c r="GA489" s="111"/>
      <c r="GB489" s="71">
        <f t="shared" si="310"/>
        <v>0</v>
      </c>
      <c r="GC489" s="112"/>
      <c r="GD489" s="112"/>
      <c r="GE489" s="67">
        <f t="shared" si="311"/>
        <v>0</v>
      </c>
      <c r="GF489" s="113"/>
      <c r="GG489" s="113"/>
      <c r="GH489" s="113"/>
      <c r="GI489" s="113"/>
      <c r="GJ489" s="114"/>
    </row>
    <row r="490" spans="1:192" ht="18.600000000000001" customHeight="1" x14ac:dyDescent="0.25">
      <c r="A490" s="96"/>
      <c r="B490" s="97"/>
      <c r="C490" s="99"/>
      <c r="D490" s="140"/>
      <c r="E490" s="51"/>
      <c r="F490" s="139">
        <f t="shared" ref="F490:F499" si="315">DATEDIF(D490,E490,"m")+1</f>
        <v>1</v>
      </c>
      <c r="G490" s="98"/>
      <c r="H490" s="99"/>
      <c r="I490" s="122"/>
      <c r="J490" s="98"/>
      <c r="K490" s="99"/>
      <c r="L490" s="99"/>
      <c r="M490" s="100"/>
      <c r="N490" s="99"/>
      <c r="O490" s="99"/>
      <c r="P490" s="101"/>
      <c r="Q490" s="52">
        <f t="shared" si="281"/>
        <v>0</v>
      </c>
      <c r="R490" s="52">
        <f t="shared" si="282"/>
        <v>0</v>
      </c>
      <c r="S490" s="53">
        <f t="shared" si="283"/>
        <v>0</v>
      </c>
      <c r="T490" s="54">
        <f t="shared" si="284"/>
        <v>0</v>
      </c>
      <c r="U490" s="115">
        <f>SUM(Tableau1[[#This Row],[Vente confiserie]:[Vente boisson]])</f>
        <v>0</v>
      </c>
      <c r="V490" s="102"/>
      <c r="W490" s="102"/>
      <c r="X490" s="136">
        <f>SUM(Tableau1[[#This Row],[Vente lunette]:[Location lunette]])</f>
        <v>0</v>
      </c>
      <c r="Y490" s="102"/>
      <c r="Z490" s="102"/>
      <c r="AA490" s="102"/>
      <c r="AB490" s="102"/>
      <c r="AC490" s="56">
        <f t="shared" si="313"/>
        <v>0</v>
      </c>
      <c r="AD490" s="103"/>
      <c r="AE490" s="103"/>
      <c r="AF490" s="103"/>
      <c r="AG490" s="103"/>
      <c r="AH490" s="103"/>
      <c r="AI490" s="103"/>
      <c r="AJ490" s="118">
        <f>(Tableau1[[#This Row],[Recette guichet ]]*1.1275177)-Tableau1[[#This Row],[Recette guichet ]]</f>
        <v>0</v>
      </c>
      <c r="AK490" s="103"/>
      <c r="AL490" s="56">
        <f t="shared" si="314"/>
        <v>0</v>
      </c>
      <c r="AM490" s="104"/>
      <c r="AN490" s="58"/>
      <c r="AO490" s="104"/>
      <c r="AP490" s="115">
        <f t="shared" si="285"/>
        <v>0</v>
      </c>
      <c r="AQ490" s="105"/>
      <c r="AR490" s="105"/>
      <c r="AS490" s="105"/>
      <c r="AT490" s="105"/>
      <c r="AU490" s="59">
        <f t="shared" si="286"/>
        <v>0</v>
      </c>
      <c r="AV490" s="60">
        <f t="shared" si="287"/>
        <v>0</v>
      </c>
      <c r="AW490" s="104"/>
      <c r="AX490" s="104"/>
      <c r="AY490" s="104"/>
      <c r="AZ490" s="60">
        <f t="shared" si="277"/>
        <v>0</v>
      </c>
      <c r="BA490" s="104"/>
      <c r="BB490" s="104"/>
      <c r="BC490" s="104"/>
      <c r="BD490" s="60">
        <f>SUM(Tableau1[[#This Row],[ticket/carte/abonnement périmé]:[Autres ou non précisé 5]])</f>
        <v>0</v>
      </c>
      <c r="BE490" s="104"/>
      <c r="BF490" s="104"/>
      <c r="BG490" s="104"/>
      <c r="BH490" s="61">
        <f t="shared" si="288"/>
        <v>0</v>
      </c>
      <c r="BI490" s="137"/>
      <c r="BJ490" s="137"/>
      <c r="BK490" s="62">
        <f t="shared" si="289"/>
        <v>0</v>
      </c>
      <c r="BL490" s="137"/>
      <c r="BM490" s="137"/>
      <c r="BN490" s="137"/>
      <c r="BO490" s="137"/>
      <c r="BP490" s="137"/>
      <c r="BQ490" s="106"/>
      <c r="BR490" s="52">
        <f t="shared" si="290"/>
        <v>0</v>
      </c>
      <c r="BS490" s="52">
        <f t="shared" si="291"/>
        <v>0</v>
      </c>
      <c r="BT490" s="61">
        <f t="shared" si="292"/>
        <v>0</v>
      </c>
      <c r="BU490" s="64">
        <f t="shared" si="293"/>
        <v>0</v>
      </c>
      <c r="BV490" s="119">
        <f>SUM(Tableau1[[#This Row],[Achats confiserie]:[Achats boisson]])</f>
        <v>0</v>
      </c>
      <c r="BW490" s="104"/>
      <c r="BX490" s="105"/>
      <c r="BY490" s="104"/>
      <c r="BZ490" s="56">
        <f t="shared" si="294"/>
        <v>0</v>
      </c>
      <c r="CA490" s="108"/>
      <c r="CB490" s="108"/>
      <c r="CC490" s="56">
        <f t="shared" si="295"/>
        <v>0</v>
      </c>
      <c r="CD490" s="93"/>
      <c r="CE490" s="107"/>
      <c r="CF490" s="93"/>
      <c r="CG490" s="93"/>
      <c r="CH490" s="67">
        <f t="shared" si="296"/>
        <v>0</v>
      </c>
      <c r="CI490" s="68">
        <f t="shared" si="312"/>
        <v>0</v>
      </c>
      <c r="CJ490" s="93"/>
      <c r="CK490" s="93"/>
      <c r="CL490" s="93"/>
      <c r="CM490" s="93"/>
      <c r="CN490" s="93"/>
      <c r="CO490" s="68">
        <f t="shared" si="297"/>
        <v>0</v>
      </c>
      <c r="CP490" s="75">
        <f>SUM(Tableau1[[#This Row],[Fourniture eau]:[Energie (non précisé)]])</f>
        <v>0</v>
      </c>
      <c r="CQ490" s="93"/>
      <c r="CR490" s="93"/>
      <c r="CS490" s="93"/>
      <c r="CT490" s="93"/>
      <c r="CU490" s="93"/>
      <c r="CV490" s="93">
        <v>0</v>
      </c>
      <c r="CW490" s="93"/>
      <c r="CX490" s="68">
        <f>SUM(Tableau1[[#This Row],[Sous-traitance]:[Autres ou non précisé 12]])</f>
        <v>0</v>
      </c>
      <c r="CY490" s="107"/>
      <c r="CZ490" s="107"/>
      <c r="DA490" s="107"/>
      <c r="DB490" s="107"/>
      <c r="DC490" s="93"/>
      <c r="DD490" s="68">
        <f t="shared" si="278"/>
        <v>0</v>
      </c>
      <c r="DE490" s="93"/>
      <c r="DF490" s="107"/>
      <c r="DG490" s="107"/>
      <c r="DH490" s="107"/>
      <c r="DI490" s="68">
        <f>SUM(Tableau1[[#This Row],[Entretien et réparation matériel de projection]:[Autres ou non précisé 14]])</f>
        <v>0</v>
      </c>
      <c r="DJ490" s="104"/>
      <c r="DK490" s="104"/>
      <c r="DL490" s="105"/>
      <c r="DM490" s="68">
        <f t="shared" si="298"/>
        <v>0</v>
      </c>
      <c r="DN490" s="104"/>
      <c r="DO490" s="104"/>
      <c r="DP490" s="68">
        <f t="shared" si="299"/>
        <v>0</v>
      </c>
      <c r="DQ490" s="107"/>
      <c r="DR490" s="107"/>
      <c r="DS490" s="68">
        <f t="shared" si="300"/>
        <v>0</v>
      </c>
      <c r="DT490" s="107"/>
      <c r="DU490" s="107"/>
      <c r="DV490" s="107"/>
      <c r="DW490" s="68">
        <f>SUM(Tableau1[[#This Row],[Comission et courtage sur achats]:[Autres ou honoraires
 non précisé ]])</f>
        <v>0</v>
      </c>
      <c r="DX490" s="57"/>
      <c r="DY490" s="57"/>
      <c r="DZ490" s="107"/>
      <c r="EA490" s="107"/>
      <c r="EB490" s="107"/>
      <c r="EC490" s="68">
        <f t="shared" si="301"/>
        <v>0</v>
      </c>
      <c r="ED490" s="105"/>
      <c r="EE490" s="105"/>
      <c r="EF490" s="105"/>
      <c r="EG490" s="105"/>
      <c r="EH490" s="105"/>
      <c r="EI490" s="84">
        <f>SUM(Tableau1[[#This Row],[Transports sur films]:[autres ]])</f>
        <v>0</v>
      </c>
      <c r="EJ490" s="134">
        <v>0</v>
      </c>
      <c r="EK490" s="134"/>
      <c r="EL490" s="68">
        <f t="shared" si="302"/>
        <v>0</v>
      </c>
      <c r="EM490" s="107"/>
      <c r="EN490" s="107">
        <v>0</v>
      </c>
      <c r="EO490" s="107"/>
      <c r="EP490" s="107"/>
      <c r="EQ490" s="107"/>
      <c r="ER490" s="107"/>
      <c r="ES490" s="107"/>
      <c r="ET490" s="68">
        <f t="shared" si="303"/>
        <v>0</v>
      </c>
      <c r="EU490" s="107"/>
      <c r="EV490" s="107"/>
      <c r="EW490" s="107"/>
      <c r="EX490" s="107"/>
      <c r="EY490" s="107"/>
      <c r="EZ490" s="68">
        <f t="shared" si="280"/>
        <v>0</v>
      </c>
      <c r="FA490" s="107"/>
      <c r="FB490" s="107"/>
      <c r="FC490" s="70">
        <f t="shared" si="279"/>
        <v>0</v>
      </c>
      <c r="FD490" s="107"/>
      <c r="FE490" s="71">
        <f t="shared" si="304"/>
        <v>0</v>
      </c>
      <c r="FF490" s="72">
        <f t="shared" si="305"/>
        <v>0</v>
      </c>
      <c r="FG490" s="107"/>
      <c r="FH490" s="107"/>
      <c r="FI490" s="107"/>
      <c r="FJ490" s="56">
        <f t="shared" si="306"/>
        <v>0</v>
      </c>
      <c r="FK490" s="107"/>
      <c r="FL490" s="107"/>
      <c r="FM490" s="107"/>
      <c r="FN490" s="107"/>
      <c r="FO490" s="67">
        <f t="shared" si="307"/>
        <v>0</v>
      </c>
      <c r="FP490" s="103"/>
      <c r="FQ490" s="109"/>
      <c r="FR490" s="109"/>
      <c r="FS490" s="71">
        <f t="shared" si="308"/>
        <v>0</v>
      </c>
      <c r="FT490" s="110"/>
      <c r="FU490" s="110"/>
      <c r="FV490" s="67">
        <f>SUM(Tableau1[[#This Row],[Droits d''auteurs SACEM + cotisations SACEM]:[Autres ou non préciés]])</f>
        <v>0</v>
      </c>
      <c r="FW490" s="75">
        <f t="shared" si="309"/>
        <v>0</v>
      </c>
      <c r="FX490" s="111">
        <v>0</v>
      </c>
      <c r="FY490" s="111"/>
      <c r="FZ490" s="111"/>
      <c r="GA490" s="111"/>
      <c r="GB490" s="71">
        <f t="shared" si="310"/>
        <v>0</v>
      </c>
      <c r="GC490" s="112"/>
      <c r="GD490" s="112"/>
      <c r="GE490" s="67">
        <f t="shared" si="311"/>
        <v>0</v>
      </c>
      <c r="GF490" s="113"/>
      <c r="GG490" s="113"/>
      <c r="GH490" s="113"/>
      <c r="GI490" s="113"/>
      <c r="GJ490" s="114"/>
    </row>
    <row r="491" spans="1:192" ht="18.600000000000001" customHeight="1" x14ac:dyDescent="0.25">
      <c r="A491" s="96"/>
      <c r="B491" s="97"/>
      <c r="C491" s="99"/>
      <c r="D491" s="140"/>
      <c r="E491" s="51"/>
      <c r="F491" s="139">
        <f t="shared" si="315"/>
        <v>1</v>
      </c>
      <c r="G491" s="98"/>
      <c r="H491" s="99"/>
      <c r="I491" s="122"/>
      <c r="J491" s="98"/>
      <c r="K491" s="99"/>
      <c r="L491" s="99"/>
      <c r="M491" s="100"/>
      <c r="N491" s="99"/>
      <c r="O491" s="99"/>
      <c r="P491" s="101"/>
      <c r="Q491" s="52">
        <f t="shared" si="281"/>
        <v>0</v>
      </c>
      <c r="R491" s="52">
        <f t="shared" si="282"/>
        <v>0</v>
      </c>
      <c r="S491" s="53">
        <f t="shared" si="283"/>
        <v>0</v>
      </c>
      <c r="T491" s="54">
        <f t="shared" si="284"/>
        <v>0</v>
      </c>
      <c r="U491" s="115">
        <f>SUM(Tableau1[[#This Row],[Vente confiserie]:[Vente boisson]])</f>
        <v>0</v>
      </c>
      <c r="V491" s="102"/>
      <c r="W491" s="102"/>
      <c r="X491" s="136">
        <f>SUM(Tableau1[[#This Row],[Vente lunette]:[Location lunette]])</f>
        <v>0</v>
      </c>
      <c r="Y491" s="102"/>
      <c r="Z491" s="102"/>
      <c r="AA491" s="102"/>
      <c r="AB491" s="102"/>
      <c r="AC491" s="56">
        <f t="shared" si="313"/>
        <v>0</v>
      </c>
      <c r="AD491" s="103"/>
      <c r="AE491" s="103"/>
      <c r="AF491" s="103"/>
      <c r="AG491" s="103"/>
      <c r="AH491" s="103"/>
      <c r="AI491" s="103"/>
      <c r="AJ491" s="118">
        <f>(Tableau1[[#This Row],[Recette guichet ]]*1.1275177)-Tableau1[[#This Row],[Recette guichet ]]</f>
        <v>0</v>
      </c>
      <c r="AK491" s="103"/>
      <c r="AL491" s="56">
        <f t="shared" si="314"/>
        <v>0</v>
      </c>
      <c r="AM491" s="104"/>
      <c r="AN491" s="58"/>
      <c r="AO491" s="104"/>
      <c r="AP491" s="115">
        <f t="shared" si="285"/>
        <v>0</v>
      </c>
      <c r="AQ491" s="105"/>
      <c r="AR491" s="105"/>
      <c r="AS491" s="105"/>
      <c r="AT491" s="105"/>
      <c r="AU491" s="59">
        <f t="shared" si="286"/>
        <v>0</v>
      </c>
      <c r="AV491" s="60">
        <f t="shared" si="287"/>
        <v>0</v>
      </c>
      <c r="AW491" s="104"/>
      <c r="AX491" s="104"/>
      <c r="AY491" s="104"/>
      <c r="AZ491" s="60">
        <f t="shared" si="277"/>
        <v>0</v>
      </c>
      <c r="BA491" s="104"/>
      <c r="BB491" s="104"/>
      <c r="BC491" s="104"/>
      <c r="BD491" s="60">
        <f>SUM(Tableau1[[#This Row],[ticket/carte/abonnement périmé]:[Autres ou non précisé 5]])</f>
        <v>0</v>
      </c>
      <c r="BE491" s="104"/>
      <c r="BF491" s="104"/>
      <c r="BG491" s="104"/>
      <c r="BH491" s="61">
        <f t="shared" si="288"/>
        <v>0</v>
      </c>
      <c r="BI491" s="137"/>
      <c r="BJ491" s="137"/>
      <c r="BK491" s="62">
        <f t="shared" si="289"/>
        <v>0</v>
      </c>
      <c r="BL491" s="137"/>
      <c r="BM491" s="137"/>
      <c r="BN491" s="137"/>
      <c r="BO491" s="137"/>
      <c r="BP491" s="137"/>
      <c r="BQ491" s="106"/>
      <c r="BR491" s="52">
        <f t="shared" si="290"/>
        <v>0</v>
      </c>
      <c r="BS491" s="52">
        <f t="shared" si="291"/>
        <v>0</v>
      </c>
      <c r="BT491" s="61">
        <f t="shared" si="292"/>
        <v>0</v>
      </c>
      <c r="BU491" s="64">
        <f t="shared" si="293"/>
        <v>0</v>
      </c>
      <c r="BV491" s="119">
        <f>SUM(Tableau1[[#This Row],[Achats confiserie]:[Achats boisson]])</f>
        <v>0</v>
      </c>
      <c r="BW491" s="104"/>
      <c r="BX491" s="105"/>
      <c r="BY491" s="104"/>
      <c r="BZ491" s="56">
        <f t="shared" si="294"/>
        <v>0</v>
      </c>
      <c r="CA491" s="108"/>
      <c r="CB491" s="108"/>
      <c r="CC491" s="56">
        <f t="shared" si="295"/>
        <v>0</v>
      </c>
      <c r="CD491" s="93"/>
      <c r="CE491" s="107"/>
      <c r="CF491" s="93"/>
      <c r="CG491" s="93"/>
      <c r="CH491" s="67">
        <f t="shared" si="296"/>
        <v>0</v>
      </c>
      <c r="CI491" s="68">
        <f t="shared" si="312"/>
        <v>0</v>
      </c>
      <c r="CJ491" s="93"/>
      <c r="CK491" s="93"/>
      <c r="CL491" s="93"/>
      <c r="CM491" s="93"/>
      <c r="CN491" s="93"/>
      <c r="CO491" s="68">
        <f t="shared" si="297"/>
        <v>0</v>
      </c>
      <c r="CP491" s="75">
        <f>SUM(Tableau1[[#This Row],[Fourniture eau]:[Energie (non précisé)]])</f>
        <v>0</v>
      </c>
      <c r="CQ491" s="93"/>
      <c r="CR491" s="93"/>
      <c r="CS491" s="93"/>
      <c r="CT491" s="93"/>
      <c r="CU491" s="93"/>
      <c r="CV491" s="93">
        <v>0</v>
      </c>
      <c r="CW491" s="93"/>
      <c r="CX491" s="68">
        <f>SUM(Tableau1[[#This Row],[Sous-traitance]:[Autres ou non précisé 12]])</f>
        <v>0</v>
      </c>
      <c r="CY491" s="107"/>
      <c r="CZ491" s="107"/>
      <c r="DA491" s="107"/>
      <c r="DB491" s="107"/>
      <c r="DC491" s="93"/>
      <c r="DD491" s="68">
        <f t="shared" si="278"/>
        <v>0</v>
      </c>
      <c r="DE491" s="93"/>
      <c r="DF491" s="107"/>
      <c r="DG491" s="107"/>
      <c r="DH491" s="107"/>
      <c r="DI491" s="68">
        <f>SUM(Tableau1[[#This Row],[Entretien et réparation matériel de projection]:[Autres ou non précisé 14]])</f>
        <v>0</v>
      </c>
      <c r="DJ491" s="104"/>
      <c r="DK491" s="104"/>
      <c r="DL491" s="105"/>
      <c r="DM491" s="68">
        <f t="shared" si="298"/>
        <v>0</v>
      </c>
      <c r="DN491" s="104"/>
      <c r="DO491" s="104"/>
      <c r="DP491" s="68">
        <f t="shared" si="299"/>
        <v>0</v>
      </c>
      <c r="DQ491" s="107"/>
      <c r="DR491" s="107"/>
      <c r="DS491" s="68">
        <f t="shared" si="300"/>
        <v>0</v>
      </c>
      <c r="DT491" s="107"/>
      <c r="DU491" s="107"/>
      <c r="DV491" s="107"/>
      <c r="DW491" s="68">
        <f>SUM(Tableau1[[#This Row],[Comission et courtage sur achats]:[Autres ou honoraires
 non précisé ]])</f>
        <v>0</v>
      </c>
      <c r="DX491" s="57"/>
      <c r="DY491" s="57"/>
      <c r="DZ491" s="107"/>
      <c r="EA491" s="107"/>
      <c r="EB491" s="107"/>
      <c r="EC491" s="68">
        <f t="shared" si="301"/>
        <v>0</v>
      </c>
      <c r="ED491" s="105"/>
      <c r="EE491" s="105"/>
      <c r="EF491" s="105"/>
      <c r="EG491" s="105"/>
      <c r="EH491" s="105"/>
      <c r="EI491" s="84">
        <f>SUM(Tableau1[[#This Row],[Transports sur films]:[autres ]])</f>
        <v>0</v>
      </c>
      <c r="EJ491" s="134">
        <v>0</v>
      </c>
      <c r="EK491" s="134"/>
      <c r="EL491" s="68">
        <f t="shared" si="302"/>
        <v>0</v>
      </c>
      <c r="EM491" s="107"/>
      <c r="EN491" s="107">
        <v>0</v>
      </c>
      <c r="EO491" s="107"/>
      <c r="EP491" s="107"/>
      <c r="EQ491" s="107"/>
      <c r="ER491" s="107"/>
      <c r="ES491" s="107"/>
      <c r="ET491" s="68">
        <f t="shared" si="303"/>
        <v>0</v>
      </c>
      <c r="EU491" s="107"/>
      <c r="EV491" s="107"/>
      <c r="EW491" s="107"/>
      <c r="EX491" s="107"/>
      <c r="EY491" s="107"/>
      <c r="EZ491" s="68">
        <f t="shared" si="280"/>
        <v>0</v>
      </c>
      <c r="FA491" s="107"/>
      <c r="FB491" s="107"/>
      <c r="FC491" s="70">
        <f t="shared" si="279"/>
        <v>0</v>
      </c>
      <c r="FD491" s="107"/>
      <c r="FE491" s="71">
        <f t="shared" si="304"/>
        <v>0</v>
      </c>
      <c r="FF491" s="72">
        <f t="shared" si="305"/>
        <v>0</v>
      </c>
      <c r="FG491" s="107"/>
      <c r="FH491" s="107"/>
      <c r="FI491" s="107"/>
      <c r="FJ491" s="56">
        <f t="shared" si="306"/>
        <v>0</v>
      </c>
      <c r="FK491" s="107"/>
      <c r="FL491" s="107"/>
      <c r="FM491" s="107"/>
      <c r="FN491" s="107"/>
      <c r="FO491" s="67">
        <f t="shared" si="307"/>
        <v>0</v>
      </c>
      <c r="FP491" s="103"/>
      <c r="FQ491" s="109"/>
      <c r="FR491" s="109"/>
      <c r="FS491" s="71">
        <f t="shared" si="308"/>
        <v>0</v>
      </c>
      <c r="FT491" s="110"/>
      <c r="FU491" s="110"/>
      <c r="FV491" s="67">
        <f>SUM(Tableau1[[#This Row],[Droits d''auteurs SACEM + cotisations SACEM]:[Autres ou non préciés]])</f>
        <v>0</v>
      </c>
      <c r="FW491" s="75">
        <f t="shared" si="309"/>
        <v>0</v>
      </c>
      <c r="FX491" s="111">
        <v>0</v>
      </c>
      <c r="FY491" s="111"/>
      <c r="FZ491" s="111"/>
      <c r="GA491" s="111"/>
      <c r="GB491" s="71">
        <f t="shared" si="310"/>
        <v>0</v>
      </c>
      <c r="GC491" s="112"/>
      <c r="GD491" s="112"/>
      <c r="GE491" s="67">
        <f t="shared" si="311"/>
        <v>0</v>
      </c>
      <c r="GF491" s="113"/>
      <c r="GG491" s="113"/>
      <c r="GH491" s="113"/>
      <c r="GI491" s="113"/>
      <c r="GJ491" s="114"/>
    </row>
    <row r="492" spans="1:192" ht="18.600000000000001" customHeight="1" x14ac:dyDescent="0.25">
      <c r="A492" s="96"/>
      <c r="B492" s="97"/>
      <c r="C492" s="99"/>
      <c r="D492" s="140"/>
      <c r="E492" s="51"/>
      <c r="F492" s="139">
        <f t="shared" si="315"/>
        <v>1</v>
      </c>
      <c r="G492" s="98"/>
      <c r="H492" s="99"/>
      <c r="I492" s="122"/>
      <c r="J492" s="98"/>
      <c r="K492" s="99"/>
      <c r="L492" s="99"/>
      <c r="M492" s="100"/>
      <c r="N492" s="99"/>
      <c r="O492" s="99"/>
      <c r="P492" s="101"/>
      <c r="Q492" s="52">
        <f t="shared" si="281"/>
        <v>0</v>
      </c>
      <c r="R492" s="52">
        <f t="shared" si="282"/>
        <v>0</v>
      </c>
      <c r="S492" s="53">
        <f t="shared" si="283"/>
        <v>0</v>
      </c>
      <c r="T492" s="54">
        <f t="shared" si="284"/>
        <v>0</v>
      </c>
      <c r="U492" s="115">
        <f>SUM(Tableau1[[#This Row],[Vente confiserie]:[Vente boisson]])</f>
        <v>0</v>
      </c>
      <c r="V492" s="102"/>
      <c r="W492" s="102"/>
      <c r="X492" s="136">
        <f>SUM(Tableau1[[#This Row],[Vente lunette]:[Location lunette]])</f>
        <v>0</v>
      </c>
      <c r="Y492" s="102"/>
      <c r="Z492" s="102"/>
      <c r="AA492" s="102"/>
      <c r="AB492" s="102"/>
      <c r="AC492" s="56">
        <f t="shared" si="313"/>
        <v>0</v>
      </c>
      <c r="AD492" s="103"/>
      <c r="AE492" s="103"/>
      <c r="AF492" s="103"/>
      <c r="AG492" s="103"/>
      <c r="AH492" s="103"/>
      <c r="AI492" s="103"/>
      <c r="AJ492" s="118">
        <f>(Tableau1[[#This Row],[Recette guichet ]]*1.1275177)-Tableau1[[#This Row],[Recette guichet ]]</f>
        <v>0</v>
      </c>
      <c r="AK492" s="103"/>
      <c r="AL492" s="56">
        <f t="shared" si="314"/>
        <v>0</v>
      </c>
      <c r="AM492" s="104"/>
      <c r="AN492" s="58"/>
      <c r="AO492" s="104"/>
      <c r="AP492" s="115">
        <f t="shared" si="285"/>
        <v>0</v>
      </c>
      <c r="AQ492" s="105"/>
      <c r="AR492" s="105"/>
      <c r="AS492" s="105"/>
      <c r="AT492" s="105"/>
      <c r="AU492" s="59">
        <f t="shared" si="286"/>
        <v>0</v>
      </c>
      <c r="AV492" s="60">
        <f t="shared" si="287"/>
        <v>0</v>
      </c>
      <c r="AW492" s="104"/>
      <c r="AX492" s="104"/>
      <c r="AY492" s="104"/>
      <c r="AZ492" s="60">
        <f t="shared" si="277"/>
        <v>0</v>
      </c>
      <c r="BA492" s="104"/>
      <c r="BB492" s="104"/>
      <c r="BC492" s="104"/>
      <c r="BD492" s="60">
        <f>SUM(Tableau1[[#This Row],[ticket/carte/abonnement périmé]:[Autres ou non précisé 5]])</f>
        <v>0</v>
      </c>
      <c r="BE492" s="104"/>
      <c r="BF492" s="104"/>
      <c r="BG492" s="104"/>
      <c r="BH492" s="61">
        <f t="shared" si="288"/>
        <v>0</v>
      </c>
      <c r="BI492" s="137"/>
      <c r="BJ492" s="137"/>
      <c r="BK492" s="62">
        <f t="shared" si="289"/>
        <v>0</v>
      </c>
      <c r="BL492" s="137"/>
      <c r="BM492" s="137"/>
      <c r="BN492" s="137"/>
      <c r="BO492" s="137"/>
      <c r="BP492" s="137"/>
      <c r="BQ492" s="106"/>
      <c r="BR492" s="52">
        <f t="shared" si="290"/>
        <v>0</v>
      </c>
      <c r="BS492" s="52">
        <f t="shared" si="291"/>
        <v>0</v>
      </c>
      <c r="BT492" s="61">
        <f t="shared" si="292"/>
        <v>0</v>
      </c>
      <c r="BU492" s="64">
        <f t="shared" si="293"/>
        <v>0</v>
      </c>
      <c r="BV492" s="119">
        <f>SUM(Tableau1[[#This Row],[Achats confiserie]:[Achats boisson]])</f>
        <v>0</v>
      </c>
      <c r="BW492" s="104"/>
      <c r="BX492" s="105"/>
      <c r="BY492" s="104"/>
      <c r="BZ492" s="56">
        <f t="shared" si="294"/>
        <v>0</v>
      </c>
      <c r="CA492" s="108"/>
      <c r="CB492" s="108"/>
      <c r="CC492" s="56">
        <f t="shared" si="295"/>
        <v>0</v>
      </c>
      <c r="CD492" s="93"/>
      <c r="CE492" s="107"/>
      <c r="CF492" s="93"/>
      <c r="CG492" s="93"/>
      <c r="CH492" s="67">
        <f t="shared" si="296"/>
        <v>0</v>
      </c>
      <c r="CI492" s="68">
        <f t="shared" si="312"/>
        <v>0</v>
      </c>
      <c r="CJ492" s="93"/>
      <c r="CK492" s="93"/>
      <c r="CL492" s="93"/>
      <c r="CM492" s="93"/>
      <c r="CN492" s="93"/>
      <c r="CO492" s="68">
        <f t="shared" si="297"/>
        <v>0</v>
      </c>
      <c r="CP492" s="75">
        <f>SUM(Tableau1[[#This Row],[Fourniture eau]:[Energie (non précisé)]])</f>
        <v>0</v>
      </c>
      <c r="CQ492" s="93"/>
      <c r="CR492" s="93"/>
      <c r="CS492" s="93"/>
      <c r="CT492" s="93"/>
      <c r="CU492" s="93"/>
      <c r="CV492" s="93">
        <v>0</v>
      </c>
      <c r="CW492" s="93"/>
      <c r="CX492" s="68">
        <f>SUM(Tableau1[[#This Row],[Sous-traitance]:[Autres ou non précisé 12]])</f>
        <v>0</v>
      </c>
      <c r="CY492" s="107"/>
      <c r="CZ492" s="107"/>
      <c r="DA492" s="107"/>
      <c r="DB492" s="107"/>
      <c r="DC492" s="93"/>
      <c r="DD492" s="68">
        <f t="shared" si="278"/>
        <v>0</v>
      </c>
      <c r="DE492" s="93"/>
      <c r="DF492" s="107"/>
      <c r="DG492" s="107"/>
      <c r="DH492" s="107"/>
      <c r="DI492" s="68">
        <f>SUM(Tableau1[[#This Row],[Entretien et réparation matériel de projection]:[Autres ou non précisé 14]])</f>
        <v>0</v>
      </c>
      <c r="DJ492" s="104"/>
      <c r="DK492" s="104"/>
      <c r="DL492" s="105"/>
      <c r="DM492" s="68">
        <f t="shared" si="298"/>
        <v>0</v>
      </c>
      <c r="DN492" s="104"/>
      <c r="DO492" s="104"/>
      <c r="DP492" s="68">
        <f t="shared" si="299"/>
        <v>0</v>
      </c>
      <c r="DQ492" s="107"/>
      <c r="DR492" s="107"/>
      <c r="DS492" s="68">
        <f t="shared" si="300"/>
        <v>0</v>
      </c>
      <c r="DT492" s="107"/>
      <c r="DU492" s="107"/>
      <c r="DV492" s="107"/>
      <c r="DW492" s="68">
        <f>SUM(Tableau1[[#This Row],[Comission et courtage sur achats]:[Autres ou honoraires
 non précisé ]])</f>
        <v>0</v>
      </c>
      <c r="DX492" s="57"/>
      <c r="DY492" s="57"/>
      <c r="DZ492" s="107"/>
      <c r="EA492" s="107"/>
      <c r="EB492" s="107"/>
      <c r="EC492" s="68">
        <f t="shared" si="301"/>
        <v>0</v>
      </c>
      <c r="ED492" s="105"/>
      <c r="EE492" s="105"/>
      <c r="EF492" s="105"/>
      <c r="EG492" s="105"/>
      <c r="EH492" s="105"/>
      <c r="EI492" s="84">
        <f>SUM(Tableau1[[#This Row],[Transports sur films]:[autres ]])</f>
        <v>0</v>
      </c>
      <c r="EJ492" s="134">
        <v>0</v>
      </c>
      <c r="EK492" s="134"/>
      <c r="EL492" s="68">
        <f t="shared" si="302"/>
        <v>0</v>
      </c>
      <c r="EM492" s="107"/>
      <c r="EN492" s="107">
        <v>0</v>
      </c>
      <c r="EO492" s="107"/>
      <c r="EP492" s="107"/>
      <c r="EQ492" s="107"/>
      <c r="ER492" s="107"/>
      <c r="ES492" s="107"/>
      <c r="ET492" s="68">
        <f t="shared" si="303"/>
        <v>0</v>
      </c>
      <c r="EU492" s="107"/>
      <c r="EV492" s="107"/>
      <c r="EW492" s="107"/>
      <c r="EX492" s="107"/>
      <c r="EY492" s="107"/>
      <c r="EZ492" s="68">
        <f t="shared" si="280"/>
        <v>0</v>
      </c>
      <c r="FA492" s="107"/>
      <c r="FB492" s="107"/>
      <c r="FC492" s="70">
        <f t="shared" si="279"/>
        <v>0</v>
      </c>
      <c r="FD492" s="107"/>
      <c r="FE492" s="71">
        <f t="shared" si="304"/>
        <v>0</v>
      </c>
      <c r="FF492" s="72">
        <f t="shared" si="305"/>
        <v>0</v>
      </c>
      <c r="FG492" s="107"/>
      <c r="FH492" s="107"/>
      <c r="FI492" s="107"/>
      <c r="FJ492" s="56">
        <f t="shared" si="306"/>
        <v>0</v>
      </c>
      <c r="FK492" s="107"/>
      <c r="FL492" s="107"/>
      <c r="FM492" s="107"/>
      <c r="FN492" s="107"/>
      <c r="FO492" s="67">
        <f t="shared" si="307"/>
        <v>0</v>
      </c>
      <c r="FP492" s="103"/>
      <c r="FQ492" s="109"/>
      <c r="FR492" s="109"/>
      <c r="FS492" s="71">
        <f t="shared" si="308"/>
        <v>0</v>
      </c>
      <c r="FT492" s="110"/>
      <c r="FU492" s="110"/>
      <c r="FV492" s="67">
        <f>SUM(Tableau1[[#This Row],[Droits d''auteurs SACEM + cotisations SACEM]:[Autres ou non préciés]])</f>
        <v>0</v>
      </c>
      <c r="FW492" s="75">
        <f t="shared" si="309"/>
        <v>0</v>
      </c>
      <c r="FX492" s="111">
        <v>0</v>
      </c>
      <c r="FY492" s="111"/>
      <c r="FZ492" s="111"/>
      <c r="GA492" s="111"/>
      <c r="GB492" s="71">
        <f t="shared" si="310"/>
        <v>0</v>
      </c>
      <c r="GC492" s="112"/>
      <c r="GD492" s="112"/>
      <c r="GE492" s="67">
        <f t="shared" si="311"/>
        <v>0</v>
      </c>
      <c r="GF492" s="113"/>
      <c r="GG492" s="113"/>
      <c r="GH492" s="113"/>
      <c r="GI492" s="113"/>
      <c r="GJ492" s="114"/>
    </row>
    <row r="493" spans="1:192" ht="18.600000000000001" customHeight="1" x14ac:dyDescent="0.25">
      <c r="A493" s="96"/>
      <c r="B493" s="97"/>
      <c r="C493" s="99"/>
      <c r="D493" s="140"/>
      <c r="E493" s="51"/>
      <c r="F493" s="139">
        <f t="shared" si="315"/>
        <v>1</v>
      </c>
      <c r="G493" s="98"/>
      <c r="H493" s="99"/>
      <c r="I493" s="122"/>
      <c r="J493" s="98"/>
      <c r="K493" s="99"/>
      <c r="L493" s="99"/>
      <c r="M493" s="100"/>
      <c r="N493" s="99"/>
      <c r="O493" s="99"/>
      <c r="P493" s="101"/>
      <c r="Q493" s="52">
        <f t="shared" si="281"/>
        <v>0</v>
      </c>
      <c r="R493" s="52">
        <f t="shared" si="282"/>
        <v>0</v>
      </c>
      <c r="S493" s="53">
        <f t="shared" si="283"/>
        <v>0</v>
      </c>
      <c r="T493" s="54">
        <f t="shared" si="284"/>
        <v>0</v>
      </c>
      <c r="U493" s="115">
        <f>SUM(Tableau1[[#This Row],[Vente confiserie]:[Vente boisson]])</f>
        <v>0</v>
      </c>
      <c r="V493" s="102"/>
      <c r="W493" s="102"/>
      <c r="X493" s="136">
        <f>SUM(Tableau1[[#This Row],[Vente lunette]:[Location lunette]])</f>
        <v>0</v>
      </c>
      <c r="Y493" s="102"/>
      <c r="Z493" s="102"/>
      <c r="AA493" s="102"/>
      <c r="AB493" s="102"/>
      <c r="AC493" s="56">
        <f t="shared" si="313"/>
        <v>0</v>
      </c>
      <c r="AD493" s="103"/>
      <c r="AE493" s="103"/>
      <c r="AF493" s="103"/>
      <c r="AG493" s="103"/>
      <c r="AH493" s="103"/>
      <c r="AI493" s="103"/>
      <c r="AJ493" s="118">
        <f>(Tableau1[[#This Row],[Recette guichet ]]*1.1275177)-Tableau1[[#This Row],[Recette guichet ]]</f>
        <v>0</v>
      </c>
      <c r="AK493" s="103"/>
      <c r="AL493" s="56">
        <f t="shared" si="314"/>
        <v>0</v>
      </c>
      <c r="AM493" s="104"/>
      <c r="AN493" s="58"/>
      <c r="AO493" s="104"/>
      <c r="AP493" s="115">
        <f t="shared" si="285"/>
        <v>0</v>
      </c>
      <c r="AQ493" s="105"/>
      <c r="AR493" s="105"/>
      <c r="AS493" s="105"/>
      <c r="AT493" s="105"/>
      <c r="AU493" s="59">
        <f t="shared" si="286"/>
        <v>0</v>
      </c>
      <c r="AV493" s="60">
        <f t="shared" si="287"/>
        <v>0</v>
      </c>
      <c r="AW493" s="104"/>
      <c r="AX493" s="104"/>
      <c r="AY493" s="104"/>
      <c r="AZ493" s="60">
        <f t="shared" si="277"/>
        <v>0</v>
      </c>
      <c r="BA493" s="104"/>
      <c r="BB493" s="104"/>
      <c r="BC493" s="104"/>
      <c r="BD493" s="60">
        <f>SUM(Tableau1[[#This Row],[ticket/carte/abonnement périmé]:[Autres ou non précisé 5]])</f>
        <v>0</v>
      </c>
      <c r="BE493" s="104"/>
      <c r="BF493" s="104"/>
      <c r="BG493" s="104"/>
      <c r="BH493" s="61">
        <f t="shared" si="288"/>
        <v>0</v>
      </c>
      <c r="BI493" s="137"/>
      <c r="BJ493" s="137"/>
      <c r="BK493" s="62">
        <f t="shared" si="289"/>
        <v>0</v>
      </c>
      <c r="BL493" s="137"/>
      <c r="BM493" s="137"/>
      <c r="BN493" s="137"/>
      <c r="BO493" s="137"/>
      <c r="BP493" s="137"/>
      <c r="BQ493" s="106"/>
      <c r="BR493" s="52">
        <f t="shared" si="290"/>
        <v>0</v>
      </c>
      <c r="BS493" s="52">
        <f t="shared" si="291"/>
        <v>0</v>
      </c>
      <c r="BT493" s="61">
        <f t="shared" si="292"/>
        <v>0</v>
      </c>
      <c r="BU493" s="64">
        <f t="shared" si="293"/>
        <v>0</v>
      </c>
      <c r="BV493" s="119">
        <f>SUM(Tableau1[[#This Row],[Achats confiserie]:[Achats boisson]])</f>
        <v>0</v>
      </c>
      <c r="BW493" s="104"/>
      <c r="BX493" s="105"/>
      <c r="BY493" s="104"/>
      <c r="BZ493" s="56">
        <f t="shared" si="294"/>
        <v>0</v>
      </c>
      <c r="CA493" s="108"/>
      <c r="CB493" s="108"/>
      <c r="CC493" s="56">
        <f t="shared" si="295"/>
        <v>0</v>
      </c>
      <c r="CD493" s="93"/>
      <c r="CE493" s="107"/>
      <c r="CF493" s="93"/>
      <c r="CG493" s="93"/>
      <c r="CH493" s="67">
        <f t="shared" si="296"/>
        <v>0</v>
      </c>
      <c r="CI493" s="68">
        <f t="shared" si="312"/>
        <v>0</v>
      </c>
      <c r="CJ493" s="93"/>
      <c r="CK493" s="93"/>
      <c r="CL493" s="93"/>
      <c r="CM493" s="93"/>
      <c r="CN493" s="93"/>
      <c r="CO493" s="68">
        <f t="shared" si="297"/>
        <v>0</v>
      </c>
      <c r="CP493" s="75">
        <f>SUM(Tableau1[[#This Row],[Fourniture eau]:[Energie (non précisé)]])</f>
        <v>0</v>
      </c>
      <c r="CQ493" s="93"/>
      <c r="CR493" s="93"/>
      <c r="CS493" s="93"/>
      <c r="CT493" s="93"/>
      <c r="CU493" s="93"/>
      <c r="CV493" s="93">
        <v>0</v>
      </c>
      <c r="CW493" s="93"/>
      <c r="CX493" s="68">
        <f>SUM(Tableau1[[#This Row],[Sous-traitance]:[Autres ou non précisé 12]])</f>
        <v>0</v>
      </c>
      <c r="CY493" s="107"/>
      <c r="CZ493" s="107"/>
      <c r="DA493" s="107"/>
      <c r="DB493" s="107"/>
      <c r="DC493" s="93"/>
      <c r="DD493" s="68">
        <f t="shared" si="278"/>
        <v>0</v>
      </c>
      <c r="DE493" s="93"/>
      <c r="DF493" s="107"/>
      <c r="DG493" s="107"/>
      <c r="DH493" s="107"/>
      <c r="DI493" s="68">
        <f>SUM(Tableau1[[#This Row],[Entretien et réparation matériel de projection]:[Autres ou non précisé 14]])</f>
        <v>0</v>
      </c>
      <c r="DJ493" s="104"/>
      <c r="DK493" s="104"/>
      <c r="DL493" s="105"/>
      <c r="DM493" s="68">
        <f t="shared" si="298"/>
        <v>0</v>
      </c>
      <c r="DN493" s="104"/>
      <c r="DO493" s="104"/>
      <c r="DP493" s="68">
        <f t="shared" si="299"/>
        <v>0</v>
      </c>
      <c r="DQ493" s="107"/>
      <c r="DR493" s="107"/>
      <c r="DS493" s="68">
        <f t="shared" si="300"/>
        <v>0</v>
      </c>
      <c r="DT493" s="107"/>
      <c r="DU493" s="107"/>
      <c r="DV493" s="107"/>
      <c r="DW493" s="68">
        <f>SUM(Tableau1[[#This Row],[Comission et courtage sur achats]:[Autres ou honoraires
 non précisé ]])</f>
        <v>0</v>
      </c>
      <c r="DX493" s="57"/>
      <c r="DY493" s="57"/>
      <c r="DZ493" s="107"/>
      <c r="EA493" s="107"/>
      <c r="EB493" s="107"/>
      <c r="EC493" s="68">
        <f t="shared" si="301"/>
        <v>0</v>
      </c>
      <c r="ED493" s="105"/>
      <c r="EE493" s="105"/>
      <c r="EF493" s="105"/>
      <c r="EG493" s="105"/>
      <c r="EH493" s="105"/>
      <c r="EI493" s="84">
        <f>SUM(Tableau1[[#This Row],[Transports sur films]:[autres ]])</f>
        <v>0</v>
      </c>
      <c r="EJ493" s="134">
        <v>0</v>
      </c>
      <c r="EK493" s="134"/>
      <c r="EL493" s="68">
        <f t="shared" si="302"/>
        <v>0</v>
      </c>
      <c r="EM493" s="107"/>
      <c r="EN493" s="107">
        <v>0</v>
      </c>
      <c r="EO493" s="107"/>
      <c r="EP493" s="107"/>
      <c r="EQ493" s="107"/>
      <c r="ER493" s="107"/>
      <c r="ES493" s="107"/>
      <c r="ET493" s="68">
        <f t="shared" si="303"/>
        <v>0</v>
      </c>
      <c r="EU493" s="107"/>
      <c r="EV493" s="107"/>
      <c r="EW493" s="107"/>
      <c r="EX493" s="107"/>
      <c r="EY493" s="107"/>
      <c r="EZ493" s="68">
        <f t="shared" si="280"/>
        <v>0</v>
      </c>
      <c r="FA493" s="107"/>
      <c r="FB493" s="107"/>
      <c r="FC493" s="70">
        <f t="shared" si="279"/>
        <v>0</v>
      </c>
      <c r="FD493" s="107"/>
      <c r="FE493" s="71">
        <f t="shared" si="304"/>
        <v>0</v>
      </c>
      <c r="FF493" s="72">
        <f t="shared" si="305"/>
        <v>0</v>
      </c>
      <c r="FG493" s="107"/>
      <c r="FH493" s="107"/>
      <c r="FI493" s="107"/>
      <c r="FJ493" s="56">
        <f t="shared" si="306"/>
        <v>0</v>
      </c>
      <c r="FK493" s="107"/>
      <c r="FL493" s="107"/>
      <c r="FM493" s="107"/>
      <c r="FN493" s="107"/>
      <c r="FO493" s="67">
        <f t="shared" si="307"/>
        <v>0</v>
      </c>
      <c r="FP493" s="103"/>
      <c r="FQ493" s="109"/>
      <c r="FR493" s="109"/>
      <c r="FS493" s="71">
        <f t="shared" si="308"/>
        <v>0</v>
      </c>
      <c r="FT493" s="110"/>
      <c r="FU493" s="110"/>
      <c r="FV493" s="67">
        <f>SUM(Tableau1[[#This Row],[Droits d''auteurs SACEM + cotisations SACEM]:[Autres ou non préciés]])</f>
        <v>0</v>
      </c>
      <c r="FW493" s="75">
        <f t="shared" si="309"/>
        <v>0</v>
      </c>
      <c r="FX493" s="111">
        <v>0</v>
      </c>
      <c r="FY493" s="111"/>
      <c r="FZ493" s="111"/>
      <c r="GA493" s="111"/>
      <c r="GB493" s="71">
        <f t="shared" si="310"/>
        <v>0</v>
      </c>
      <c r="GC493" s="112"/>
      <c r="GD493" s="112"/>
      <c r="GE493" s="67">
        <f t="shared" si="311"/>
        <v>0</v>
      </c>
      <c r="GF493" s="113"/>
      <c r="GG493" s="113"/>
      <c r="GH493" s="113"/>
      <c r="GI493" s="113"/>
      <c r="GJ493" s="114"/>
    </row>
    <row r="494" spans="1:192" ht="18.600000000000001" customHeight="1" x14ac:dyDescent="0.25">
      <c r="A494" s="96"/>
      <c r="B494" s="97"/>
      <c r="C494" s="99"/>
      <c r="D494" s="140"/>
      <c r="E494" s="51"/>
      <c r="F494" s="139">
        <f t="shared" si="315"/>
        <v>1</v>
      </c>
      <c r="G494" s="98"/>
      <c r="H494" s="99"/>
      <c r="I494" s="122"/>
      <c r="J494" s="98"/>
      <c r="K494" s="99"/>
      <c r="L494" s="99"/>
      <c r="M494" s="100"/>
      <c r="N494" s="99"/>
      <c r="O494" s="99"/>
      <c r="P494" s="101"/>
      <c r="Q494" s="52">
        <f t="shared" si="281"/>
        <v>0</v>
      </c>
      <c r="R494" s="52">
        <f t="shared" si="282"/>
        <v>0</v>
      </c>
      <c r="S494" s="53">
        <f t="shared" si="283"/>
        <v>0</v>
      </c>
      <c r="T494" s="54">
        <f t="shared" si="284"/>
        <v>0</v>
      </c>
      <c r="U494" s="115">
        <f>SUM(Tableau1[[#This Row],[Vente confiserie]:[Vente boisson]])</f>
        <v>0</v>
      </c>
      <c r="V494" s="102"/>
      <c r="W494" s="102"/>
      <c r="X494" s="136">
        <f>SUM(Tableau1[[#This Row],[Vente lunette]:[Location lunette]])</f>
        <v>0</v>
      </c>
      <c r="Y494" s="102"/>
      <c r="Z494" s="102"/>
      <c r="AA494" s="102"/>
      <c r="AB494" s="102"/>
      <c r="AC494" s="56">
        <f t="shared" si="313"/>
        <v>0</v>
      </c>
      <c r="AD494" s="103"/>
      <c r="AE494" s="103"/>
      <c r="AF494" s="103"/>
      <c r="AG494" s="103"/>
      <c r="AH494" s="103"/>
      <c r="AI494" s="103"/>
      <c r="AJ494" s="118">
        <f>(Tableau1[[#This Row],[Recette guichet ]]*1.1275177)-Tableau1[[#This Row],[Recette guichet ]]</f>
        <v>0</v>
      </c>
      <c r="AK494" s="103"/>
      <c r="AL494" s="56">
        <f t="shared" si="314"/>
        <v>0</v>
      </c>
      <c r="AM494" s="104"/>
      <c r="AN494" s="58"/>
      <c r="AO494" s="104"/>
      <c r="AP494" s="115">
        <f t="shared" si="285"/>
        <v>0</v>
      </c>
      <c r="AQ494" s="105"/>
      <c r="AR494" s="105"/>
      <c r="AS494" s="105"/>
      <c r="AT494" s="105"/>
      <c r="AU494" s="59">
        <f t="shared" si="286"/>
        <v>0</v>
      </c>
      <c r="AV494" s="60">
        <f t="shared" si="287"/>
        <v>0</v>
      </c>
      <c r="AW494" s="104"/>
      <c r="AX494" s="104"/>
      <c r="AY494" s="104"/>
      <c r="AZ494" s="60">
        <f t="shared" si="277"/>
        <v>0</v>
      </c>
      <c r="BA494" s="104"/>
      <c r="BB494" s="104"/>
      <c r="BC494" s="104"/>
      <c r="BD494" s="60">
        <f>SUM(Tableau1[[#This Row],[ticket/carte/abonnement périmé]:[Autres ou non précisé 5]])</f>
        <v>0</v>
      </c>
      <c r="BE494" s="104"/>
      <c r="BF494" s="104"/>
      <c r="BG494" s="104"/>
      <c r="BH494" s="61">
        <f t="shared" si="288"/>
        <v>0</v>
      </c>
      <c r="BI494" s="137"/>
      <c r="BJ494" s="137"/>
      <c r="BK494" s="62">
        <f t="shared" si="289"/>
        <v>0</v>
      </c>
      <c r="BL494" s="137"/>
      <c r="BM494" s="137"/>
      <c r="BN494" s="137"/>
      <c r="BO494" s="137"/>
      <c r="BP494" s="137"/>
      <c r="BQ494" s="106"/>
      <c r="BR494" s="52">
        <f t="shared" si="290"/>
        <v>0</v>
      </c>
      <c r="BS494" s="52">
        <f t="shared" si="291"/>
        <v>0</v>
      </c>
      <c r="BT494" s="61">
        <f t="shared" si="292"/>
        <v>0</v>
      </c>
      <c r="BU494" s="64">
        <f t="shared" si="293"/>
        <v>0</v>
      </c>
      <c r="BV494" s="119">
        <f>SUM(Tableau1[[#This Row],[Achats confiserie]:[Achats boisson]])</f>
        <v>0</v>
      </c>
      <c r="BW494" s="104"/>
      <c r="BX494" s="105"/>
      <c r="BY494" s="104"/>
      <c r="BZ494" s="56">
        <f t="shared" si="294"/>
        <v>0</v>
      </c>
      <c r="CA494" s="108"/>
      <c r="CB494" s="108"/>
      <c r="CC494" s="56">
        <f t="shared" si="295"/>
        <v>0</v>
      </c>
      <c r="CD494" s="93"/>
      <c r="CE494" s="107"/>
      <c r="CF494" s="93"/>
      <c r="CG494" s="93"/>
      <c r="CH494" s="67">
        <f t="shared" si="296"/>
        <v>0</v>
      </c>
      <c r="CI494" s="68">
        <f t="shared" si="312"/>
        <v>0</v>
      </c>
      <c r="CJ494" s="93"/>
      <c r="CK494" s="93"/>
      <c r="CL494" s="93"/>
      <c r="CM494" s="93"/>
      <c r="CN494" s="93"/>
      <c r="CO494" s="68">
        <f t="shared" si="297"/>
        <v>0</v>
      </c>
      <c r="CP494" s="75">
        <f>SUM(Tableau1[[#This Row],[Fourniture eau]:[Energie (non précisé)]])</f>
        <v>0</v>
      </c>
      <c r="CQ494" s="93"/>
      <c r="CR494" s="93"/>
      <c r="CS494" s="93"/>
      <c r="CT494" s="93"/>
      <c r="CU494" s="93"/>
      <c r="CV494" s="93">
        <v>0</v>
      </c>
      <c r="CW494" s="93"/>
      <c r="CX494" s="68">
        <f>SUM(Tableau1[[#This Row],[Sous-traitance]:[Autres ou non précisé 12]])</f>
        <v>0</v>
      </c>
      <c r="CY494" s="107"/>
      <c r="CZ494" s="107"/>
      <c r="DA494" s="107"/>
      <c r="DB494" s="107"/>
      <c r="DC494" s="93"/>
      <c r="DD494" s="68">
        <f t="shared" si="278"/>
        <v>0</v>
      </c>
      <c r="DE494" s="93"/>
      <c r="DF494" s="107"/>
      <c r="DG494" s="107"/>
      <c r="DH494" s="107"/>
      <c r="DI494" s="68">
        <f>SUM(Tableau1[[#This Row],[Entretien et réparation matériel de projection]:[Autres ou non précisé 14]])</f>
        <v>0</v>
      </c>
      <c r="DJ494" s="104"/>
      <c r="DK494" s="104"/>
      <c r="DL494" s="105"/>
      <c r="DM494" s="68">
        <f t="shared" si="298"/>
        <v>0</v>
      </c>
      <c r="DN494" s="104"/>
      <c r="DO494" s="104"/>
      <c r="DP494" s="68">
        <f t="shared" si="299"/>
        <v>0</v>
      </c>
      <c r="DQ494" s="107"/>
      <c r="DR494" s="107"/>
      <c r="DS494" s="68">
        <f t="shared" si="300"/>
        <v>0</v>
      </c>
      <c r="DT494" s="107"/>
      <c r="DU494" s="107"/>
      <c r="DV494" s="107"/>
      <c r="DW494" s="68">
        <f>SUM(Tableau1[[#This Row],[Comission et courtage sur achats]:[Autres ou honoraires
 non précisé ]])</f>
        <v>0</v>
      </c>
      <c r="DX494" s="57"/>
      <c r="DY494" s="57"/>
      <c r="DZ494" s="107"/>
      <c r="EA494" s="107"/>
      <c r="EB494" s="107"/>
      <c r="EC494" s="68">
        <f t="shared" si="301"/>
        <v>0</v>
      </c>
      <c r="ED494" s="105"/>
      <c r="EE494" s="105"/>
      <c r="EF494" s="105"/>
      <c r="EG494" s="105"/>
      <c r="EH494" s="105"/>
      <c r="EI494" s="84">
        <f>SUM(Tableau1[[#This Row],[Transports sur films]:[autres ]])</f>
        <v>0</v>
      </c>
      <c r="EJ494" s="134">
        <v>0</v>
      </c>
      <c r="EK494" s="134"/>
      <c r="EL494" s="68">
        <f t="shared" si="302"/>
        <v>0</v>
      </c>
      <c r="EM494" s="107"/>
      <c r="EN494" s="107">
        <v>0</v>
      </c>
      <c r="EO494" s="107"/>
      <c r="EP494" s="107"/>
      <c r="EQ494" s="107"/>
      <c r="ER494" s="107"/>
      <c r="ES494" s="107"/>
      <c r="ET494" s="68">
        <f t="shared" si="303"/>
        <v>0</v>
      </c>
      <c r="EU494" s="107"/>
      <c r="EV494" s="107"/>
      <c r="EW494" s="107"/>
      <c r="EX494" s="107"/>
      <c r="EY494" s="107"/>
      <c r="EZ494" s="68">
        <f t="shared" si="280"/>
        <v>0</v>
      </c>
      <c r="FA494" s="107"/>
      <c r="FB494" s="107"/>
      <c r="FC494" s="70">
        <f t="shared" si="279"/>
        <v>0</v>
      </c>
      <c r="FD494" s="107"/>
      <c r="FE494" s="71">
        <f t="shared" si="304"/>
        <v>0</v>
      </c>
      <c r="FF494" s="72">
        <f t="shared" si="305"/>
        <v>0</v>
      </c>
      <c r="FG494" s="107"/>
      <c r="FH494" s="107"/>
      <c r="FI494" s="107"/>
      <c r="FJ494" s="56">
        <f t="shared" si="306"/>
        <v>0</v>
      </c>
      <c r="FK494" s="107"/>
      <c r="FL494" s="107"/>
      <c r="FM494" s="107"/>
      <c r="FN494" s="107"/>
      <c r="FO494" s="67">
        <f t="shared" si="307"/>
        <v>0</v>
      </c>
      <c r="FP494" s="103"/>
      <c r="FQ494" s="109"/>
      <c r="FR494" s="109"/>
      <c r="FS494" s="71">
        <f t="shared" si="308"/>
        <v>0</v>
      </c>
      <c r="FT494" s="110"/>
      <c r="FU494" s="110"/>
      <c r="FV494" s="67">
        <f>SUM(Tableau1[[#This Row],[Droits d''auteurs SACEM + cotisations SACEM]:[Autres ou non préciés]])</f>
        <v>0</v>
      </c>
      <c r="FW494" s="75">
        <f t="shared" si="309"/>
        <v>0</v>
      </c>
      <c r="FX494" s="111">
        <v>0</v>
      </c>
      <c r="FY494" s="111"/>
      <c r="FZ494" s="111"/>
      <c r="GA494" s="111"/>
      <c r="GB494" s="71">
        <f t="shared" si="310"/>
        <v>0</v>
      </c>
      <c r="GC494" s="112"/>
      <c r="GD494" s="112"/>
      <c r="GE494" s="67">
        <f t="shared" si="311"/>
        <v>0</v>
      </c>
      <c r="GF494" s="113"/>
      <c r="GG494" s="113"/>
      <c r="GH494" s="113"/>
      <c r="GI494" s="113"/>
      <c r="GJ494" s="114"/>
    </row>
    <row r="495" spans="1:192" ht="18.600000000000001" customHeight="1" x14ac:dyDescent="0.25">
      <c r="A495" s="96"/>
      <c r="B495" s="97"/>
      <c r="C495" s="99"/>
      <c r="D495" s="140"/>
      <c r="E495" s="51"/>
      <c r="F495" s="139">
        <f t="shared" si="315"/>
        <v>1</v>
      </c>
      <c r="G495" s="98"/>
      <c r="H495" s="99"/>
      <c r="I495" s="122"/>
      <c r="J495" s="98"/>
      <c r="K495" s="99"/>
      <c r="L495" s="99"/>
      <c r="M495" s="100"/>
      <c r="N495" s="99"/>
      <c r="O495" s="99"/>
      <c r="P495" s="101"/>
      <c r="Q495" s="52">
        <f t="shared" si="281"/>
        <v>0</v>
      </c>
      <c r="R495" s="52">
        <f t="shared" si="282"/>
        <v>0</v>
      </c>
      <c r="S495" s="53">
        <f t="shared" si="283"/>
        <v>0</v>
      </c>
      <c r="T495" s="54">
        <f t="shared" si="284"/>
        <v>0</v>
      </c>
      <c r="U495" s="115">
        <f>SUM(Tableau1[[#This Row],[Vente confiserie]:[Vente boisson]])</f>
        <v>0</v>
      </c>
      <c r="V495" s="102"/>
      <c r="W495" s="102"/>
      <c r="X495" s="136">
        <f>SUM(Tableau1[[#This Row],[Vente lunette]:[Location lunette]])</f>
        <v>0</v>
      </c>
      <c r="Y495" s="102"/>
      <c r="Z495" s="102"/>
      <c r="AA495" s="102"/>
      <c r="AB495" s="102"/>
      <c r="AC495" s="56">
        <f t="shared" si="313"/>
        <v>0</v>
      </c>
      <c r="AD495" s="103"/>
      <c r="AE495" s="103"/>
      <c r="AF495" s="103"/>
      <c r="AG495" s="103"/>
      <c r="AH495" s="103"/>
      <c r="AI495" s="103"/>
      <c r="AJ495" s="118">
        <f>(Tableau1[[#This Row],[Recette guichet ]]*1.1275177)-Tableau1[[#This Row],[Recette guichet ]]</f>
        <v>0</v>
      </c>
      <c r="AK495" s="103"/>
      <c r="AL495" s="56">
        <f t="shared" si="314"/>
        <v>0</v>
      </c>
      <c r="AM495" s="104"/>
      <c r="AN495" s="58"/>
      <c r="AO495" s="104"/>
      <c r="AP495" s="115">
        <f t="shared" si="285"/>
        <v>0</v>
      </c>
      <c r="AQ495" s="105"/>
      <c r="AR495" s="105"/>
      <c r="AS495" s="105"/>
      <c r="AT495" s="105"/>
      <c r="AU495" s="59">
        <f t="shared" si="286"/>
        <v>0</v>
      </c>
      <c r="AV495" s="60">
        <f t="shared" si="287"/>
        <v>0</v>
      </c>
      <c r="AW495" s="104"/>
      <c r="AX495" s="104"/>
      <c r="AY495" s="104"/>
      <c r="AZ495" s="60">
        <f t="shared" si="277"/>
        <v>0</v>
      </c>
      <c r="BA495" s="104"/>
      <c r="BB495" s="104"/>
      <c r="BC495" s="104"/>
      <c r="BD495" s="60">
        <f>SUM(Tableau1[[#This Row],[ticket/carte/abonnement périmé]:[Autres ou non précisé 5]])</f>
        <v>0</v>
      </c>
      <c r="BE495" s="104"/>
      <c r="BF495" s="104"/>
      <c r="BG495" s="104"/>
      <c r="BH495" s="61">
        <f t="shared" si="288"/>
        <v>0</v>
      </c>
      <c r="BI495" s="137"/>
      <c r="BJ495" s="137"/>
      <c r="BK495" s="62">
        <f t="shared" si="289"/>
        <v>0</v>
      </c>
      <c r="BL495" s="137"/>
      <c r="BM495" s="137"/>
      <c r="BN495" s="137"/>
      <c r="BO495" s="137"/>
      <c r="BP495" s="137"/>
      <c r="BQ495" s="106"/>
      <c r="BR495" s="52">
        <f t="shared" si="290"/>
        <v>0</v>
      </c>
      <c r="BS495" s="52">
        <f t="shared" si="291"/>
        <v>0</v>
      </c>
      <c r="BT495" s="61">
        <f t="shared" si="292"/>
        <v>0</v>
      </c>
      <c r="BU495" s="64">
        <f t="shared" si="293"/>
        <v>0</v>
      </c>
      <c r="BV495" s="119">
        <f>SUM(Tableau1[[#This Row],[Achats confiserie]:[Achats boisson]])</f>
        <v>0</v>
      </c>
      <c r="BW495" s="104"/>
      <c r="BX495" s="105"/>
      <c r="BY495" s="104"/>
      <c r="BZ495" s="56">
        <f t="shared" si="294"/>
        <v>0</v>
      </c>
      <c r="CA495" s="108"/>
      <c r="CB495" s="108"/>
      <c r="CC495" s="56">
        <f t="shared" si="295"/>
        <v>0</v>
      </c>
      <c r="CD495" s="93"/>
      <c r="CE495" s="107"/>
      <c r="CF495" s="93"/>
      <c r="CG495" s="93"/>
      <c r="CH495" s="67">
        <f t="shared" si="296"/>
        <v>0</v>
      </c>
      <c r="CI495" s="68">
        <f t="shared" si="312"/>
        <v>0</v>
      </c>
      <c r="CJ495" s="93"/>
      <c r="CK495" s="93"/>
      <c r="CL495" s="93"/>
      <c r="CM495" s="93"/>
      <c r="CN495" s="93"/>
      <c r="CO495" s="68">
        <f t="shared" si="297"/>
        <v>0</v>
      </c>
      <c r="CP495" s="75">
        <f>SUM(Tableau1[[#This Row],[Fourniture eau]:[Energie (non précisé)]])</f>
        <v>0</v>
      </c>
      <c r="CQ495" s="93"/>
      <c r="CR495" s="93"/>
      <c r="CS495" s="93"/>
      <c r="CT495" s="93"/>
      <c r="CU495" s="93"/>
      <c r="CV495" s="93">
        <v>0</v>
      </c>
      <c r="CW495" s="93"/>
      <c r="CX495" s="68">
        <f>SUM(Tableau1[[#This Row],[Sous-traitance]:[Autres ou non précisé 12]])</f>
        <v>0</v>
      </c>
      <c r="CY495" s="107"/>
      <c r="CZ495" s="107"/>
      <c r="DA495" s="107"/>
      <c r="DB495" s="107"/>
      <c r="DC495" s="93"/>
      <c r="DD495" s="68">
        <f t="shared" si="278"/>
        <v>0</v>
      </c>
      <c r="DE495" s="93"/>
      <c r="DF495" s="107"/>
      <c r="DG495" s="107"/>
      <c r="DH495" s="107"/>
      <c r="DI495" s="68">
        <f>SUM(Tableau1[[#This Row],[Entretien et réparation matériel de projection]:[Autres ou non précisé 14]])</f>
        <v>0</v>
      </c>
      <c r="DJ495" s="104"/>
      <c r="DK495" s="104"/>
      <c r="DL495" s="105"/>
      <c r="DM495" s="68">
        <f t="shared" si="298"/>
        <v>0</v>
      </c>
      <c r="DN495" s="104"/>
      <c r="DO495" s="104"/>
      <c r="DP495" s="68">
        <f t="shared" si="299"/>
        <v>0</v>
      </c>
      <c r="DQ495" s="107"/>
      <c r="DR495" s="107"/>
      <c r="DS495" s="68">
        <f t="shared" si="300"/>
        <v>0</v>
      </c>
      <c r="DT495" s="107"/>
      <c r="DU495" s="107"/>
      <c r="DV495" s="107"/>
      <c r="DW495" s="68">
        <f>SUM(Tableau1[[#This Row],[Comission et courtage sur achats]:[Autres ou honoraires
 non précisé ]])</f>
        <v>0</v>
      </c>
      <c r="DX495" s="57"/>
      <c r="DY495" s="57"/>
      <c r="DZ495" s="107"/>
      <c r="EA495" s="107"/>
      <c r="EB495" s="107"/>
      <c r="EC495" s="68">
        <f t="shared" si="301"/>
        <v>0</v>
      </c>
      <c r="ED495" s="105"/>
      <c r="EE495" s="105"/>
      <c r="EF495" s="105"/>
      <c r="EG495" s="105"/>
      <c r="EH495" s="105"/>
      <c r="EI495" s="84">
        <f>SUM(Tableau1[[#This Row],[Transports sur films]:[autres ]])</f>
        <v>0</v>
      </c>
      <c r="EJ495" s="134">
        <v>0</v>
      </c>
      <c r="EK495" s="134"/>
      <c r="EL495" s="68">
        <f t="shared" si="302"/>
        <v>0</v>
      </c>
      <c r="EM495" s="107"/>
      <c r="EN495" s="107">
        <v>0</v>
      </c>
      <c r="EO495" s="107"/>
      <c r="EP495" s="107"/>
      <c r="EQ495" s="107"/>
      <c r="ER495" s="107"/>
      <c r="ES495" s="107"/>
      <c r="ET495" s="68">
        <f t="shared" si="303"/>
        <v>0</v>
      </c>
      <c r="EU495" s="107"/>
      <c r="EV495" s="107"/>
      <c r="EW495" s="107"/>
      <c r="EX495" s="107"/>
      <c r="EY495" s="107"/>
      <c r="EZ495" s="68">
        <f t="shared" si="280"/>
        <v>0</v>
      </c>
      <c r="FA495" s="107"/>
      <c r="FB495" s="107"/>
      <c r="FC495" s="70">
        <f t="shared" si="279"/>
        <v>0</v>
      </c>
      <c r="FD495" s="107"/>
      <c r="FE495" s="71">
        <f t="shared" si="304"/>
        <v>0</v>
      </c>
      <c r="FF495" s="72">
        <f t="shared" si="305"/>
        <v>0</v>
      </c>
      <c r="FG495" s="107"/>
      <c r="FH495" s="107"/>
      <c r="FI495" s="107"/>
      <c r="FJ495" s="56">
        <f t="shared" si="306"/>
        <v>0</v>
      </c>
      <c r="FK495" s="107"/>
      <c r="FL495" s="107"/>
      <c r="FM495" s="107"/>
      <c r="FN495" s="107"/>
      <c r="FO495" s="67">
        <f t="shared" si="307"/>
        <v>0</v>
      </c>
      <c r="FP495" s="103"/>
      <c r="FQ495" s="109"/>
      <c r="FR495" s="109"/>
      <c r="FS495" s="71">
        <f t="shared" si="308"/>
        <v>0</v>
      </c>
      <c r="FT495" s="110"/>
      <c r="FU495" s="110"/>
      <c r="FV495" s="67">
        <f>SUM(Tableau1[[#This Row],[Droits d''auteurs SACEM + cotisations SACEM]:[Autres ou non préciés]])</f>
        <v>0</v>
      </c>
      <c r="FW495" s="75">
        <f t="shared" si="309"/>
        <v>0</v>
      </c>
      <c r="FX495" s="111">
        <v>0</v>
      </c>
      <c r="FY495" s="111"/>
      <c r="FZ495" s="111"/>
      <c r="GA495" s="111"/>
      <c r="GB495" s="71">
        <f t="shared" si="310"/>
        <v>0</v>
      </c>
      <c r="GC495" s="112"/>
      <c r="GD495" s="112"/>
      <c r="GE495" s="67">
        <f t="shared" si="311"/>
        <v>0</v>
      </c>
      <c r="GF495" s="113"/>
      <c r="GG495" s="113"/>
      <c r="GH495" s="113"/>
      <c r="GI495" s="113"/>
      <c r="GJ495" s="114"/>
    </row>
    <row r="496" spans="1:192" ht="18.600000000000001" customHeight="1" x14ac:dyDescent="0.25">
      <c r="A496" s="96"/>
      <c r="B496" s="97"/>
      <c r="C496" s="99"/>
      <c r="D496" s="140"/>
      <c r="E496" s="51"/>
      <c r="F496" s="139">
        <f t="shared" si="315"/>
        <v>1</v>
      </c>
      <c r="G496" s="98"/>
      <c r="H496" s="99"/>
      <c r="I496" s="122"/>
      <c r="J496" s="98"/>
      <c r="K496" s="99"/>
      <c r="L496" s="99"/>
      <c r="M496" s="100"/>
      <c r="N496" s="99"/>
      <c r="O496" s="99"/>
      <c r="P496" s="101"/>
      <c r="Q496" s="52">
        <f t="shared" si="281"/>
        <v>0</v>
      </c>
      <c r="R496" s="52">
        <f t="shared" si="282"/>
        <v>0</v>
      </c>
      <c r="S496" s="53">
        <f t="shared" si="283"/>
        <v>0</v>
      </c>
      <c r="T496" s="54">
        <f t="shared" si="284"/>
        <v>0</v>
      </c>
      <c r="U496" s="115">
        <f>SUM(Tableau1[[#This Row],[Vente confiserie]:[Vente boisson]])</f>
        <v>0</v>
      </c>
      <c r="V496" s="102"/>
      <c r="W496" s="102"/>
      <c r="X496" s="136">
        <f>SUM(Tableau1[[#This Row],[Vente lunette]:[Location lunette]])</f>
        <v>0</v>
      </c>
      <c r="Y496" s="102"/>
      <c r="Z496" s="102"/>
      <c r="AA496" s="102"/>
      <c r="AB496" s="102"/>
      <c r="AC496" s="56">
        <f t="shared" si="313"/>
        <v>0</v>
      </c>
      <c r="AD496" s="103"/>
      <c r="AE496" s="103"/>
      <c r="AF496" s="103"/>
      <c r="AG496" s="103"/>
      <c r="AH496" s="103"/>
      <c r="AI496" s="103"/>
      <c r="AJ496" s="118">
        <f>(Tableau1[[#This Row],[Recette guichet ]]*1.1275177)-Tableau1[[#This Row],[Recette guichet ]]</f>
        <v>0</v>
      </c>
      <c r="AK496" s="103"/>
      <c r="AL496" s="56">
        <f t="shared" si="314"/>
        <v>0</v>
      </c>
      <c r="AM496" s="104"/>
      <c r="AN496" s="58"/>
      <c r="AO496" s="104"/>
      <c r="AP496" s="115">
        <f t="shared" si="285"/>
        <v>0</v>
      </c>
      <c r="AQ496" s="105"/>
      <c r="AR496" s="105"/>
      <c r="AS496" s="105"/>
      <c r="AT496" s="105"/>
      <c r="AU496" s="59">
        <f t="shared" si="286"/>
        <v>0</v>
      </c>
      <c r="AV496" s="60">
        <f t="shared" si="287"/>
        <v>0</v>
      </c>
      <c r="AW496" s="104"/>
      <c r="AX496" s="104"/>
      <c r="AY496" s="104"/>
      <c r="AZ496" s="60">
        <f t="shared" si="277"/>
        <v>0</v>
      </c>
      <c r="BA496" s="104"/>
      <c r="BB496" s="104"/>
      <c r="BC496" s="104"/>
      <c r="BD496" s="60">
        <f>SUM(Tableau1[[#This Row],[ticket/carte/abonnement périmé]:[Autres ou non précisé 5]])</f>
        <v>0</v>
      </c>
      <c r="BE496" s="104"/>
      <c r="BF496" s="104"/>
      <c r="BG496" s="104"/>
      <c r="BH496" s="61">
        <f t="shared" si="288"/>
        <v>0</v>
      </c>
      <c r="BI496" s="137"/>
      <c r="BJ496" s="137"/>
      <c r="BK496" s="62">
        <f t="shared" si="289"/>
        <v>0</v>
      </c>
      <c r="BL496" s="137"/>
      <c r="BM496" s="137"/>
      <c r="BN496" s="137"/>
      <c r="BO496" s="137"/>
      <c r="BP496" s="137"/>
      <c r="BQ496" s="106"/>
      <c r="BR496" s="52">
        <f t="shared" si="290"/>
        <v>0</v>
      </c>
      <c r="BS496" s="52">
        <f t="shared" si="291"/>
        <v>0</v>
      </c>
      <c r="BT496" s="61">
        <f t="shared" si="292"/>
        <v>0</v>
      </c>
      <c r="BU496" s="64">
        <f t="shared" si="293"/>
        <v>0</v>
      </c>
      <c r="BV496" s="119">
        <f>SUM(Tableau1[[#This Row],[Achats confiserie]:[Achats boisson]])</f>
        <v>0</v>
      </c>
      <c r="BW496" s="104"/>
      <c r="BX496" s="105"/>
      <c r="BY496" s="104"/>
      <c r="BZ496" s="56">
        <f t="shared" si="294"/>
        <v>0</v>
      </c>
      <c r="CA496" s="108"/>
      <c r="CB496" s="108"/>
      <c r="CC496" s="56">
        <f t="shared" si="295"/>
        <v>0</v>
      </c>
      <c r="CD496" s="93"/>
      <c r="CE496" s="107"/>
      <c r="CF496" s="93"/>
      <c r="CG496" s="93"/>
      <c r="CH496" s="67">
        <f t="shared" si="296"/>
        <v>0</v>
      </c>
      <c r="CI496" s="68">
        <f t="shared" si="312"/>
        <v>0</v>
      </c>
      <c r="CJ496" s="93"/>
      <c r="CK496" s="93"/>
      <c r="CL496" s="93"/>
      <c r="CM496" s="93"/>
      <c r="CN496" s="93"/>
      <c r="CO496" s="68">
        <f t="shared" si="297"/>
        <v>0</v>
      </c>
      <c r="CP496" s="75">
        <f>SUM(Tableau1[[#This Row],[Fourniture eau]:[Energie (non précisé)]])</f>
        <v>0</v>
      </c>
      <c r="CQ496" s="93"/>
      <c r="CR496" s="93"/>
      <c r="CS496" s="93"/>
      <c r="CT496" s="93"/>
      <c r="CU496" s="93"/>
      <c r="CV496" s="93">
        <v>0</v>
      </c>
      <c r="CW496" s="93"/>
      <c r="CX496" s="68">
        <f>SUM(Tableau1[[#This Row],[Sous-traitance]:[Autres ou non précisé 12]])</f>
        <v>0</v>
      </c>
      <c r="CY496" s="107"/>
      <c r="CZ496" s="107"/>
      <c r="DA496" s="107"/>
      <c r="DB496" s="107"/>
      <c r="DC496" s="93"/>
      <c r="DD496" s="68">
        <f t="shared" si="278"/>
        <v>0</v>
      </c>
      <c r="DE496" s="93"/>
      <c r="DF496" s="107"/>
      <c r="DG496" s="107"/>
      <c r="DH496" s="107"/>
      <c r="DI496" s="68">
        <f>SUM(Tableau1[[#This Row],[Entretien et réparation matériel de projection]:[Autres ou non précisé 14]])</f>
        <v>0</v>
      </c>
      <c r="DJ496" s="104"/>
      <c r="DK496" s="104"/>
      <c r="DL496" s="105"/>
      <c r="DM496" s="68">
        <f t="shared" si="298"/>
        <v>0</v>
      </c>
      <c r="DN496" s="104"/>
      <c r="DO496" s="104"/>
      <c r="DP496" s="68">
        <f t="shared" si="299"/>
        <v>0</v>
      </c>
      <c r="DQ496" s="107"/>
      <c r="DR496" s="107"/>
      <c r="DS496" s="68">
        <f t="shared" si="300"/>
        <v>0</v>
      </c>
      <c r="DT496" s="107"/>
      <c r="DU496" s="107"/>
      <c r="DV496" s="107"/>
      <c r="DW496" s="68">
        <f>SUM(Tableau1[[#This Row],[Comission et courtage sur achats]:[Autres ou honoraires
 non précisé ]])</f>
        <v>0</v>
      </c>
      <c r="DX496" s="57"/>
      <c r="DY496" s="57"/>
      <c r="DZ496" s="107"/>
      <c r="EA496" s="107"/>
      <c r="EB496" s="107"/>
      <c r="EC496" s="68">
        <f t="shared" si="301"/>
        <v>0</v>
      </c>
      <c r="ED496" s="105"/>
      <c r="EE496" s="105"/>
      <c r="EF496" s="105"/>
      <c r="EG496" s="105"/>
      <c r="EH496" s="105"/>
      <c r="EI496" s="84">
        <f>SUM(Tableau1[[#This Row],[Transports sur films]:[autres ]])</f>
        <v>0</v>
      </c>
      <c r="EJ496" s="134">
        <v>0</v>
      </c>
      <c r="EK496" s="134"/>
      <c r="EL496" s="68">
        <f t="shared" si="302"/>
        <v>0</v>
      </c>
      <c r="EM496" s="107"/>
      <c r="EN496" s="107">
        <v>0</v>
      </c>
      <c r="EO496" s="107"/>
      <c r="EP496" s="107"/>
      <c r="EQ496" s="107"/>
      <c r="ER496" s="107"/>
      <c r="ES496" s="107"/>
      <c r="ET496" s="68">
        <f t="shared" si="303"/>
        <v>0</v>
      </c>
      <c r="EU496" s="107"/>
      <c r="EV496" s="107"/>
      <c r="EW496" s="107"/>
      <c r="EX496" s="107"/>
      <c r="EY496" s="107"/>
      <c r="EZ496" s="68">
        <f t="shared" si="280"/>
        <v>0</v>
      </c>
      <c r="FA496" s="107"/>
      <c r="FB496" s="107"/>
      <c r="FC496" s="70">
        <f t="shared" si="279"/>
        <v>0</v>
      </c>
      <c r="FD496" s="107"/>
      <c r="FE496" s="71">
        <f t="shared" si="304"/>
        <v>0</v>
      </c>
      <c r="FF496" s="72">
        <f t="shared" si="305"/>
        <v>0</v>
      </c>
      <c r="FG496" s="107"/>
      <c r="FH496" s="107"/>
      <c r="FI496" s="107"/>
      <c r="FJ496" s="56">
        <f t="shared" si="306"/>
        <v>0</v>
      </c>
      <c r="FK496" s="107"/>
      <c r="FL496" s="107"/>
      <c r="FM496" s="107"/>
      <c r="FN496" s="107"/>
      <c r="FO496" s="67">
        <f t="shared" si="307"/>
        <v>0</v>
      </c>
      <c r="FP496" s="103"/>
      <c r="FQ496" s="109"/>
      <c r="FR496" s="109"/>
      <c r="FS496" s="71">
        <f t="shared" si="308"/>
        <v>0</v>
      </c>
      <c r="FT496" s="110"/>
      <c r="FU496" s="110"/>
      <c r="FV496" s="67">
        <f>SUM(Tableau1[[#This Row],[Droits d''auteurs SACEM + cotisations SACEM]:[Autres ou non préciés]])</f>
        <v>0</v>
      </c>
      <c r="FW496" s="75">
        <f t="shared" si="309"/>
        <v>0</v>
      </c>
      <c r="FX496" s="111">
        <v>0</v>
      </c>
      <c r="FY496" s="111"/>
      <c r="FZ496" s="111"/>
      <c r="GA496" s="111"/>
      <c r="GB496" s="71">
        <f t="shared" si="310"/>
        <v>0</v>
      </c>
      <c r="GC496" s="112"/>
      <c r="GD496" s="112"/>
      <c r="GE496" s="67">
        <f t="shared" si="311"/>
        <v>0</v>
      </c>
      <c r="GF496" s="113"/>
      <c r="GG496" s="113"/>
      <c r="GH496" s="113"/>
      <c r="GI496" s="113"/>
      <c r="GJ496" s="114"/>
    </row>
    <row r="497" spans="1:192" ht="18.600000000000001" customHeight="1" x14ac:dyDescent="0.25">
      <c r="A497" s="96"/>
      <c r="B497" s="97"/>
      <c r="C497" s="99"/>
      <c r="D497" s="140"/>
      <c r="E497" s="51"/>
      <c r="F497" s="139">
        <f t="shared" si="315"/>
        <v>1</v>
      </c>
      <c r="G497" s="98"/>
      <c r="H497" s="99"/>
      <c r="I497" s="122"/>
      <c r="J497" s="98"/>
      <c r="K497" s="99"/>
      <c r="L497" s="99"/>
      <c r="M497" s="100"/>
      <c r="N497" s="99"/>
      <c r="O497" s="99"/>
      <c r="P497" s="101"/>
      <c r="Q497" s="52">
        <f t="shared" si="281"/>
        <v>0</v>
      </c>
      <c r="R497" s="52">
        <f t="shared" si="282"/>
        <v>0</v>
      </c>
      <c r="S497" s="53">
        <f t="shared" si="283"/>
        <v>0</v>
      </c>
      <c r="T497" s="54">
        <f t="shared" si="284"/>
        <v>0</v>
      </c>
      <c r="U497" s="115">
        <f>SUM(Tableau1[[#This Row],[Vente confiserie]:[Vente boisson]])</f>
        <v>0</v>
      </c>
      <c r="V497" s="102"/>
      <c r="W497" s="102"/>
      <c r="X497" s="136">
        <f>SUM(Tableau1[[#This Row],[Vente lunette]:[Location lunette]])</f>
        <v>0</v>
      </c>
      <c r="Y497" s="102"/>
      <c r="Z497" s="102"/>
      <c r="AA497" s="102"/>
      <c r="AB497" s="102"/>
      <c r="AC497" s="56">
        <f t="shared" si="313"/>
        <v>0</v>
      </c>
      <c r="AD497" s="103"/>
      <c r="AE497" s="103"/>
      <c r="AF497" s="103"/>
      <c r="AG497" s="103"/>
      <c r="AH497" s="103"/>
      <c r="AI497" s="103"/>
      <c r="AJ497" s="118">
        <f>(Tableau1[[#This Row],[Recette guichet ]]*1.1275177)-Tableau1[[#This Row],[Recette guichet ]]</f>
        <v>0</v>
      </c>
      <c r="AK497" s="103"/>
      <c r="AL497" s="56">
        <f t="shared" si="314"/>
        <v>0</v>
      </c>
      <c r="AM497" s="104"/>
      <c r="AN497" s="58"/>
      <c r="AO497" s="104"/>
      <c r="AP497" s="115">
        <f t="shared" si="285"/>
        <v>0</v>
      </c>
      <c r="AQ497" s="105"/>
      <c r="AR497" s="105"/>
      <c r="AS497" s="105"/>
      <c r="AT497" s="105"/>
      <c r="AU497" s="59">
        <f t="shared" si="286"/>
        <v>0</v>
      </c>
      <c r="AV497" s="60">
        <f t="shared" si="287"/>
        <v>0</v>
      </c>
      <c r="AW497" s="104"/>
      <c r="AX497" s="104"/>
      <c r="AY497" s="104"/>
      <c r="AZ497" s="60">
        <f t="shared" si="277"/>
        <v>0</v>
      </c>
      <c r="BA497" s="104"/>
      <c r="BB497" s="104"/>
      <c r="BC497" s="104"/>
      <c r="BD497" s="60">
        <f>SUM(Tableau1[[#This Row],[ticket/carte/abonnement périmé]:[Autres ou non précisé 5]])</f>
        <v>0</v>
      </c>
      <c r="BE497" s="104"/>
      <c r="BF497" s="104"/>
      <c r="BG497" s="104"/>
      <c r="BH497" s="61">
        <f t="shared" si="288"/>
        <v>0</v>
      </c>
      <c r="BI497" s="137"/>
      <c r="BJ497" s="137"/>
      <c r="BK497" s="62">
        <f t="shared" si="289"/>
        <v>0</v>
      </c>
      <c r="BL497" s="137"/>
      <c r="BM497" s="137"/>
      <c r="BN497" s="137"/>
      <c r="BO497" s="137"/>
      <c r="BP497" s="137"/>
      <c r="BQ497" s="106"/>
      <c r="BR497" s="52">
        <f t="shared" si="290"/>
        <v>0</v>
      </c>
      <c r="BS497" s="52">
        <f t="shared" si="291"/>
        <v>0</v>
      </c>
      <c r="BT497" s="61">
        <f t="shared" si="292"/>
        <v>0</v>
      </c>
      <c r="BU497" s="64">
        <f t="shared" si="293"/>
        <v>0</v>
      </c>
      <c r="BV497" s="119">
        <f>SUM(Tableau1[[#This Row],[Achats confiserie]:[Achats boisson]])</f>
        <v>0</v>
      </c>
      <c r="BW497" s="104"/>
      <c r="BX497" s="105"/>
      <c r="BY497" s="104"/>
      <c r="BZ497" s="56">
        <f t="shared" si="294"/>
        <v>0</v>
      </c>
      <c r="CA497" s="108"/>
      <c r="CB497" s="108"/>
      <c r="CC497" s="56">
        <f t="shared" si="295"/>
        <v>0</v>
      </c>
      <c r="CD497" s="93"/>
      <c r="CE497" s="107"/>
      <c r="CF497" s="93"/>
      <c r="CG497" s="93"/>
      <c r="CH497" s="67">
        <f t="shared" si="296"/>
        <v>0</v>
      </c>
      <c r="CI497" s="68">
        <f t="shared" si="312"/>
        <v>0</v>
      </c>
      <c r="CJ497" s="93"/>
      <c r="CK497" s="93"/>
      <c r="CL497" s="93"/>
      <c r="CM497" s="93"/>
      <c r="CN497" s="93"/>
      <c r="CO497" s="68">
        <f t="shared" si="297"/>
        <v>0</v>
      </c>
      <c r="CP497" s="75">
        <f>SUM(Tableau1[[#This Row],[Fourniture eau]:[Energie (non précisé)]])</f>
        <v>0</v>
      </c>
      <c r="CQ497" s="93"/>
      <c r="CR497" s="93"/>
      <c r="CS497" s="93"/>
      <c r="CT497" s="93"/>
      <c r="CU497" s="93"/>
      <c r="CV497" s="93">
        <v>0</v>
      </c>
      <c r="CW497" s="93"/>
      <c r="CX497" s="68">
        <f>SUM(Tableau1[[#This Row],[Sous-traitance]:[Autres ou non précisé 12]])</f>
        <v>0</v>
      </c>
      <c r="CY497" s="107"/>
      <c r="CZ497" s="107"/>
      <c r="DA497" s="107"/>
      <c r="DB497" s="107"/>
      <c r="DC497" s="93"/>
      <c r="DD497" s="68">
        <f t="shared" si="278"/>
        <v>0</v>
      </c>
      <c r="DE497" s="93"/>
      <c r="DF497" s="107"/>
      <c r="DG497" s="107"/>
      <c r="DH497" s="107"/>
      <c r="DI497" s="68">
        <f>SUM(Tableau1[[#This Row],[Entretien et réparation matériel de projection]:[Autres ou non précisé 14]])</f>
        <v>0</v>
      </c>
      <c r="DJ497" s="104"/>
      <c r="DK497" s="104"/>
      <c r="DL497" s="105"/>
      <c r="DM497" s="68">
        <f t="shared" si="298"/>
        <v>0</v>
      </c>
      <c r="DN497" s="104"/>
      <c r="DO497" s="104"/>
      <c r="DP497" s="68">
        <f t="shared" si="299"/>
        <v>0</v>
      </c>
      <c r="DQ497" s="107"/>
      <c r="DR497" s="107"/>
      <c r="DS497" s="68">
        <f t="shared" si="300"/>
        <v>0</v>
      </c>
      <c r="DT497" s="107"/>
      <c r="DU497" s="107"/>
      <c r="DV497" s="107"/>
      <c r="DW497" s="68">
        <f>SUM(Tableau1[[#This Row],[Comission et courtage sur achats]:[Autres ou honoraires
 non précisé ]])</f>
        <v>0</v>
      </c>
      <c r="DX497" s="57"/>
      <c r="DY497" s="57"/>
      <c r="DZ497" s="107"/>
      <c r="EA497" s="107"/>
      <c r="EB497" s="107"/>
      <c r="EC497" s="68">
        <f t="shared" si="301"/>
        <v>0</v>
      </c>
      <c r="ED497" s="105"/>
      <c r="EE497" s="105"/>
      <c r="EF497" s="105"/>
      <c r="EG497" s="105"/>
      <c r="EH497" s="105"/>
      <c r="EI497" s="84">
        <f>SUM(Tableau1[[#This Row],[Transports sur films]:[autres ]])</f>
        <v>0</v>
      </c>
      <c r="EJ497" s="134">
        <v>0</v>
      </c>
      <c r="EK497" s="134"/>
      <c r="EL497" s="68">
        <f t="shared" si="302"/>
        <v>0</v>
      </c>
      <c r="EM497" s="107"/>
      <c r="EN497" s="107">
        <v>0</v>
      </c>
      <c r="EO497" s="107"/>
      <c r="EP497" s="107"/>
      <c r="EQ497" s="107"/>
      <c r="ER497" s="107"/>
      <c r="ES497" s="107"/>
      <c r="ET497" s="68">
        <f t="shared" si="303"/>
        <v>0</v>
      </c>
      <c r="EU497" s="107"/>
      <c r="EV497" s="107"/>
      <c r="EW497" s="107"/>
      <c r="EX497" s="107"/>
      <c r="EY497" s="107"/>
      <c r="EZ497" s="68">
        <f t="shared" si="280"/>
        <v>0</v>
      </c>
      <c r="FA497" s="107"/>
      <c r="FB497" s="107"/>
      <c r="FC497" s="70">
        <f t="shared" si="279"/>
        <v>0</v>
      </c>
      <c r="FD497" s="107"/>
      <c r="FE497" s="71">
        <f t="shared" si="304"/>
        <v>0</v>
      </c>
      <c r="FF497" s="72">
        <f t="shared" si="305"/>
        <v>0</v>
      </c>
      <c r="FG497" s="107"/>
      <c r="FH497" s="107"/>
      <c r="FI497" s="107"/>
      <c r="FJ497" s="56">
        <f t="shared" si="306"/>
        <v>0</v>
      </c>
      <c r="FK497" s="107"/>
      <c r="FL497" s="107"/>
      <c r="FM497" s="107"/>
      <c r="FN497" s="107"/>
      <c r="FO497" s="67">
        <f t="shared" si="307"/>
        <v>0</v>
      </c>
      <c r="FP497" s="103"/>
      <c r="FQ497" s="109"/>
      <c r="FR497" s="109"/>
      <c r="FS497" s="71">
        <f t="shared" si="308"/>
        <v>0</v>
      </c>
      <c r="FT497" s="110"/>
      <c r="FU497" s="110"/>
      <c r="FV497" s="67">
        <f>SUM(Tableau1[[#This Row],[Droits d''auteurs SACEM + cotisations SACEM]:[Autres ou non préciés]])</f>
        <v>0</v>
      </c>
      <c r="FW497" s="75">
        <f t="shared" si="309"/>
        <v>0</v>
      </c>
      <c r="FX497" s="111">
        <v>0</v>
      </c>
      <c r="FY497" s="111"/>
      <c r="FZ497" s="111"/>
      <c r="GA497" s="111"/>
      <c r="GB497" s="71">
        <f t="shared" si="310"/>
        <v>0</v>
      </c>
      <c r="GC497" s="112"/>
      <c r="GD497" s="112"/>
      <c r="GE497" s="67">
        <f t="shared" si="311"/>
        <v>0</v>
      </c>
      <c r="GF497" s="113"/>
      <c r="GG497" s="113"/>
      <c r="GH497" s="113"/>
      <c r="GI497" s="113"/>
      <c r="GJ497" s="114"/>
    </row>
    <row r="498" spans="1:192" ht="18.600000000000001" customHeight="1" x14ac:dyDescent="0.25">
      <c r="A498" s="96"/>
      <c r="B498" s="97"/>
      <c r="C498" s="99"/>
      <c r="D498" s="140"/>
      <c r="E498" s="51"/>
      <c r="F498" s="139">
        <f t="shared" si="315"/>
        <v>1</v>
      </c>
      <c r="G498" s="98"/>
      <c r="H498" s="99"/>
      <c r="I498" s="122"/>
      <c r="J498" s="98"/>
      <c r="K498" s="99"/>
      <c r="L498" s="99"/>
      <c r="M498" s="100"/>
      <c r="N498" s="99"/>
      <c r="O498" s="99"/>
      <c r="P498" s="101"/>
      <c r="Q498" s="52">
        <f t="shared" si="281"/>
        <v>0</v>
      </c>
      <c r="R498" s="52">
        <f t="shared" si="282"/>
        <v>0</v>
      </c>
      <c r="S498" s="53">
        <f t="shared" si="283"/>
        <v>0</v>
      </c>
      <c r="T498" s="54">
        <f t="shared" si="284"/>
        <v>0</v>
      </c>
      <c r="U498" s="115">
        <f>SUM(Tableau1[[#This Row],[Vente confiserie]:[Vente boisson]])</f>
        <v>0</v>
      </c>
      <c r="V498" s="102"/>
      <c r="W498" s="102"/>
      <c r="X498" s="136">
        <f>SUM(Tableau1[[#This Row],[Vente lunette]:[Location lunette]])</f>
        <v>0</v>
      </c>
      <c r="Y498" s="102"/>
      <c r="Z498" s="102"/>
      <c r="AA498" s="102"/>
      <c r="AB498" s="102"/>
      <c r="AC498" s="56">
        <f t="shared" si="313"/>
        <v>0</v>
      </c>
      <c r="AD498" s="103"/>
      <c r="AE498" s="103"/>
      <c r="AF498" s="103"/>
      <c r="AG498" s="103"/>
      <c r="AH498" s="103"/>
      <c r="AI498" s="103"/>
      <c r="AJ498" s="118">
        <f>(Tableau1[[#This Row],[Recette guichet ]]*1.1275177)-Tableau1[[#This Row],[Recette guichet ]]</f>
        <v>0</v>
      </c>
      <c r="AK498" s="103"/>
      <c r="AL498" s="56">
        <f t="shared" si="314"/>
        <v>0</v>
      </c>
      <c r="AM498" s="104"/>
      <c r="AN498" s="58"/>
      <c r="AO498" s="104"/>
      <c r="AP498" s="115">
        <f t="shared" si="285"/>
        <v>0</v>
      </c>
      <c r="AQ498" s="105"/>
      <c r="AR498" s="105"/>
      <c r="AS498" s="105"/>
      <c r="AT498" s="105"/>
      <c r="AU498" s="59">
        <f t="shared" si="286"/>
        <v>0</v>
      </c>
      <c r="AV498" s="60">
        <f t="shared" si="287"/>
        <v>0</v>
      </c>
      <c r="AW498" s="104"/>
      <c r="AX498" s="104"/>
      <c r="AY498" s="104"/>
      <c r="AZ498" s="60">
        <f t="shared" si="277"/>
        <v>0</v>
      </c>
      <c r="BA498" s="104"/>
      <c r="BB498" s="104"/>
      <c r="BC498" s="104"/>
      <c r="BD498" s="60">
        <f>SUM(Tableau1[[#This Row],[ticket/carte/abonnement périmé]:[Autres ou non précisé 5]])</f>
        <v>0</v>
      </c>
      <c r="BE498" s="104"/>
      <c r="BF498" s="104"/>
      <c r="BG498" s="104"/>
      <c r="BH498" s="61">
        <f t="shared" si="288"/>
        <v>0</v>
      </c>
      <c r="BI498" s="137"/>
      <c r="BJ498" s="137"/>
      <c r="BK498" s="62">
        <f t="shared" si="289"/>
        <v>0</v>
      </c>
      <c r="BL498" s="137"/>
      <c r="BM498" s="137"/>
      <c r="BN498" s="137"/>
      <c r="BO498" s="137"/>
      <c r="BP498" s="137"/>
      <c r="BQ498" s="106"/>
      <c r="BR498" s="52">
        <f t="shared" si="290"/>
        <v>0</v>
      </c>
      <c r="BS498" s="52">
        <f t="shared" si="291"/>
        <v>0</v>
      </c>
      <c r="BT498" s="61">
        <f t="shared" si="292"/>
        <v>0</v>
      </c>
      <c r="BU498" s="64">
        <f t="shared" si="293"/>
        <v>0</v>
      </c>
      <c r="BV498" s="119">
        <f>SUM(Tableau1[[#This Row],[Achats confiserie]:[Achats boisson]])</f>
        <v>0</v>
      </c>
      <c r="BW498" s="104"/>
      <c r="BX498" s="105"/>
      <c r="BY498" s="104"/>
      <c r="BZ498" s="56">
        <f t="shared" si="294"/>
        <v>0</v>
      </c>
      <c r="CA498" s="108"/>
      <c r="CB498" s="108"/>
      <c r="CC498" s="56">
        <f t="shared" si="295"/>
        <v>0</v>
      </c>
      <c r="CD498" s="93"/>
      <c r="CE498" s="107"/>
      <c r="CF498" s="93"/>
      <c r="CG498" s="93"/>
      <c r="CH498" s="67">
        <f t="shared" si="296"/>
        <v>0</v>
      </c>
      <c r="CI498" s="68">
        <f t="shared" si="312"/>
        <v>0</v>
      </c>
      <c r="CJ498" s="93"/>
      <c r="CK498" s="93"/>
      <c r="CL498" s="93"/>
      <c r="CM498" s="93"/>
      <c r="CN498" s="93"/>
      <c r="CO498" s="68">
        <f t="shared" si="297"/>
        <v>0</v>
      </c>
      <c r="CP498" s="75">
        <f>SUM(Tableau1[[#This Row],[Fourniture eau]:[Energie (non précisé)]])</f>
        <v>0</v>
      </c>
      <c r="CQ498" s="93"/>
      <c r="CR498" s="93"/>
      <c r="CS498" s="93"/>
      <c r="CT498" s="93"/>
      <c r="CU498" s="93"/>
      <c r="CV498" s="93">
        <v>0</v>
      </c>
      <c r="CW498" s="93"/>
      <c r="CX498" s="68">
        <f>SUM(Tableau1[[#This Row],[Sous-traitance]:[Autres ou non précisé 12]])</f>
        <v>0</v>
      </c>
      <c r="CY498" s="107"/>
      <c r="CZ498" s="107"/>
      <c r="DA498" s="107"/>
      <c r="DB498" s="107"/>
      <c r="DC498" s="93"/>
      <c r="DD498" s="68">
        <f t="shared" si="278"/>
        <v>0</v>
      </c>
      <c r="DE498" s="93"/>
      <c r="DF498" s="107"/>
      <c r="DG498" s="107"/>
      <c r="DH498" s="107"/>
      <c r="DI498" s="68">
        <f>SUM(Tableau1[[#This Row],[Entretien et réparation matériel de projection]:[Autres ou non précisé 14]])</f>
        <v>0</v>
      </c>
      <c r="DJ498" s="104"/>
      <c r="DK498" s="104"/>
      <c r="DL498" s="105"/>
      <c r="DM498" s="68">
        <f t="shared" si="298"/>
        <v>0</v>
      </c>
      <c r="DN498" s="104"/>
      <c r="DO498" s="104"/>
      <c r="DP498" s="68">
        <f t="shared" si="299"/>
        <v>0</v>
      </c>
      <c r="DQ498" s="107"/>
      <c r="DR498" s="107"/>
      <c r="DS498" s="68">
        <f t="shared" si="300"/>
        <v>0</v>
      </c>
      <c r="DT498" s="107"/>
      <c r="DU498" s="107"/>
      <c r="DV498" s="107"/>
      <c r="DW498" s="68">
        <f>SUM(Tableau1[[#This Row],[Comission et courtage sur achats]:[Autres ou honoraires
 non précisé ]])</f>
        <v>0</v>
      </c>
      <c r="DX498" s="57"/>
      <c r="DY498" s="57"/>
      <c r="DZ498" s="107"/>
      <c r="EA498" s="107"/>
      <c r="EB498" s="107"/>
      <c r="EC498" s="68">
        <f t="shared" si="301"/>
        <v>0</v>
      </c>
      <c r="ED498" s="105"/>
      <c r="EE498" s="105"/>
      <c r="EF498" s="105"/>
      <c r="EG498" s="105"/>
      <c r="EH498" s="105"/>
      <c r="EI498" s="84">
        <f>SUM(Tableau1[[#This Row],[Transports sur films]:[autres ]])</f>
        <v>0</v>
      </c>
      <c r="EJ498" s="134">
        <v>0</v>
      </c>
      <c r="EK498" s="134"/>
      <c r="EL498" s="68">
        <f t="shared" si="302"/>
        <v>0</v>
      </c>
      <c r="EM498" s="107"/>
      <c r="EN498" s="107">
        <v>0</v>
      </c>
      <c r="EO498" s="107"/>
      <c r="EP498" s="107"/>
      <c r="EQ498" s="107"/>
      <c r="ER498" s="107"/>
      <c r="ES498" s="107"/>
      <c r="ET498" s="68">
        <f t="shared" si="303"/>
        <v>0</v>
      </c>
      <c r="EU498" s="107"/>
      <c r="EV498" s="107"/>
      <c r="EW498" s="107"/>
      <c r="EX498" s="107"/>
      <c r="EY498" s="107"/>
      <c r="EZ498" s="68">
        <f t="shared" si="280"/>
        <v>0</v>
      </c>
      <c r="FA498" s="107"/>
      <c r="FB498" s="107"/>
      <c r="FC498" s="70">
        <f t="shared" si="279"/>
        <v>0</v>
      </c>
      <c r="FD498" s="107"/>
      <c r="FE498" s="71">
        <f t="shared" si="304"/>
        <v>0</v>
      </c>
      <c r="FF498" s="72">
        <f t="shared" si="305"/>
        <v>0</v>
      </c>
      <c r="FG498" s="107"/>
      <c r="FH498" s="107"/>
      <c r="FI498" s="107"/>
      <c r="FJ498" s="56">
        <f t="shared" si="306"/>
        <v>0</v>
      </c>
      <c r="FK498" s="107"/>
      <c r="FL498" s="107"/>
      <c r="FM498" s="107"/>
      <c r="FN498" s="107"/>
      <c r="FO498" s="67">
        <f t="shared" si="307"/>
        <v>0</v>
      </c>
      <c r="FP498" s="103"/>
      <c r="FQ498" s="109"/>
      <c r="FR498" s="109"/>
      <c r="FS498" s="71">
        <f t="shared" si="308"/>
        <v>0</v>
      </c>
      <c r="FT498" s="110"/>
      <c r="FU498" s="110"/>
      <c r="FV498" s="67">
        <f>SUM(Tableau1[[#This Row],[Droits d''auteurs SACEM + cotisations SACEM]:[Autres ou non préciés]])</f>
        <v>0</v>
      </c>
      <c r="FW498" s="75">
        <f t="shared" si="309"/>
        <v>0</v>
      </c>
      <c r="FX498" s="111">
        <v>0</v>
      </c>
      <c r="FY498" s="111"/>
      <c r="FZ498" s="111"/>
      <c r="GA498" s="111"/>
      <c r="GB498" s="71">
        <f t="shared" si="310"/>
        <v>0</v>
      </c>
      <c r="GC498" s="112"/>
      <c r="GD498" s="112"/>
      <c r="GE498" s="67">
        <f t="shared" si="311"/>
        <v>0</v>
      </c>
      <c r="GF498" s="113"/>
      <c r="GG498" s="113"/>
      <c r="GH498" s="113"/>
      <c r="GI498" s="113"/>
      <c r="GJ498" s="114"/>
    </row>
    <row r="499" spans="1:192" ht="18.600000000000001" customHeight="1" x14ac:dyDescent="0.25">
      <c r="A499" s="96"/>
      <c r="B499" s="97"/>
      <c r="C499" s="99"/>
      <c r="D499" s="140"/>
      <c r="E499" s="51"/>
      <c r="F499" s="139">
        <f t="shared" si="315"/>
        <v>1</v>
      </c>
      <c r="G499" s="98"/>
      <c r="H499" s="99"/>
      <c r="I499" s="122"/>
      <c r="J499" s="98"/>
      <c r="K499" s="99"/>
      <c r="L499" s="99"/>
      <c r="M499" s="100"/>
      <c r="N499" s="99"/>
      <c r="O499" s="99"/>
      <c r="P499" s="101"/>
      <c r="Q499" s="52">
        <f t="shared" si="281"/>
        <v>0</v>
      </c>
      <c r="R499" s="52">
        <f t="shared" si="282"/>
        <v>0</v>
      </c>
      <c r="S499" s="53">
        <f t="shared" si="283"/>
        <v>0</v>
      </c>
      <c r="T499" s="54">
        <f t="shared" si="284"/>
        <v>0</v>
      </c>
      <c r="U499" s="115">
        <f>SUM(Tableau1[[#This Row],[Vente confiserie]:[Vente boisson]])</f>
        <v>0</v>
      </c>
      <c r="V499" s="102"/>
      <c r="W499" s="102"/>
      <c r="X499" s="136">
        <f>SUM(Tableau1[[#This Row],[Vente lunette]:[Location lunette]])</f>
        <v>0</v>
      </c>
      <c r="Y499" s="102"/>
      <c r="Z499" s="102"/>
      <c r="AA499" s="102"/>
      <c r="AB499" s="102"/>
      <c r="AC499" s="56">
        <f t="shared" si="313"/>
        <v>0</v>
      </c>
      <c r="AD499" s="103"/>
      <c r="AE499" s="103"/>
      <c r="AF499" s="103"/>
      <c r="AG499" s="103"/>
      <c r="AH499" s="103"/>
      <c r="AI499" s="103"/>
      <c r="AJ499" s="118">
        <f>(Tableau1[[#This Row],[Recette guichet ]]*1.1275177)-Tableau1[[#This Row],[Recette guichet ]]</f>
        <v>0</v>
      </c>
      <c r="AK499" s="103"/>
      <c r="AL499" s="56">
        <f t="shared" si="314"/>
        <v>0</v>
      </c>
      <c r="AM499" s="104"/>
      <c r="AN499" s="58"/>
      <c r="AO499" s="104"/>
      <c r="AP499" s="115">
        <f t="shared" si="285"/>
        <v>0</v>
      </c>
      <c r="AQ499" s="105"/>
      <c r="AR499" s="105"/>
      <c r="AS499" s="105"/>
      <c r="AT499" s="105"/>
      <c r="AU499" s="59">
        <f t="shared" si="286"/>
        <v>0</v>
      </c>
      <c r="AV499" s="60">
        <f t="shared" si="287"/>
        <v>0</v>
      </c>
      <c r="AW499" s="104"/>
      <c r="AX499" s="104"/>
      <c r="AY499" s="104"/>
      <c r="AZ499" s="60">
        <f t="shared" si="277"/>
        <v>0</v>
      </c>
      <c r="BA499" s="104"/>
      <c r="BB499" s="104"/>
      <c r="BC499" s="104"/>
      <c r="BD499" s="60">
        <f>SUM(Tableau1[[#This Row],[ticket/carte/abonnement périmé]:[Autres ou non précisé 5]])</f>
        <v>0</v>
      </c>
      <c r="BE499" s="104"/>
      <c r="BF499" s="104"/>
      <c r="BG499" s="104"/>
      <c r="BH499" s="61">
        <f t="shared" si="288"/>
        <v>0</v>
      </c>
      <c r="BI499" s="137"/>
      <c r="BJ499" s="137"/>
      <c r="BK499" s="62">
        <f t="shared" si="289"/>
        <v>0</v>
      </c>
      <c r="BL499" s="137"/>
      <c r="BM499" s="137"/>
      <c r="BN499" s="137"/>
      <c r="BO499" s="137"/>
      <c r="BP499" s="137"/>
      <c r="BQ499" s="106"/>
      <c r="BR499" s="52">
        <f t="shared" si="290"/>
        <v>0</v>
      </c>
      <c r="BS499" s="52">
        <f t="shared" si="291"/>
        <v>0</v>
      </c>
      <c r="BT499" s="61">
        <f t="shared" si="292"/>
        <v>0</v>
      </c>
      <c r="BU499" s="64">
        <f t="shared" si="293"/>
        <v>0</v>
      </c>
      <c r="BV499" s="119">
        <f>SUM(Tableau1[[#This Row],[Achats confiserie]:[Achats boisson]])</f>
        <v>0</v>
      </c>
      <c r="BW499" s="104"/>
      <c r="BX499" s="105"/>
      <c r="BY499" s="104"/>
      <c r="BZ499" s="56">
        <f t="shared" si="294"/>
        <v>0</v>
      </c>
      <c r="CA499" s="108"/>
      <c r="CB499" s="108"/>
      <c r="CC499" s="56">
        <f t="shared" si="295"/>
        <v>0</v>
      </c>
      <c r="CD499" s="93"/>
      <c r="CE499" s="107"/>
      <c r="CF499" s="93"/>
      <c r="CG499" s="93"/>
      <c r="CH499" s="67">
        <f t="shared" si="296"/>
        <v>0</v>
      </c>
      <c r="CI499" s="68">
        <f t="shared" si="312"/>
        <v>0</v>
      </c>
      <c r="CJ499" s="93"/>
      <c r="CK499" s="93"/>
      <c r="CL499" s="93"/>
      <c r="CM499" s="93"/>
      <c r="CN499" s="93"/>
      <c r="CO499" s="68">
        <f t="shared" si="297"/>
        <v>0</v>
      </c>
      <c r="CP499" s="75">
        <f>SUM(Tableau1[[#This Row],[Fourniture eau]:[Energie (non précisé)]])</f>
        <v>0</v>
      </c>
      <c r="CQ499" s="93"/>
      <c r="CR499" s="93"/>
      <c r="CS499" s="93"/>
      <c r="CT499" s="93"/>
      <c r="CU499" s="93"/>
      <c r="CV499" s="93">
        <v>0</v>
      </c>
      <c r="CW499" s="93"/>
      <c r="CX499" s="68">
        <f>SUM(Tableau1[[#This Row],[Sous-traitance]:[Autres ou non précisé 12]])</f>
        <v>0</v>
      </c>
      <c r="CY499" s="107"/>
      <c r="CZ499" s="107"/>
      <c r="DA499" s="107"/>
      <c r="DB499" s="107"/>
      <c r="DC499" s="93"/>
      <c r="DD499" s="68">
        <f t="shared" si="278"/>
        <v>0</v>
      </c>
      <c r="DE499" s="93"/>
      <c r="DF499" s="107"/>
      <c r="DG499" s="107"/>
      <c r="DH499" s="107"/>
      <c r="DI499" s="68">
        <f>SUM(Tableau1[[#This Row],[Entretien et réparation matériel de projection]:[Autres ou non précisé 14]])</f>
        <v>0</v>
      </c>
      <c r="DJ499" s="104"/>
      <c r="DK499" s="104"/>
      <c r="DL499" s="105"/>
      <c r="DM499" s="68">
        <f t="shared" si="298"/>
        <v>0</v>
      </c>
      <c r="DN499" s="104"/>
      <c r="DO499" s="104"/>
      <c r="DP499" s="68">
        <f t="shared" si="299"/>
        <v>0</v>
      </c>
      <c r="DQ499" s="107"/>
      <c r="DR499" s="107"/>
      <c r="DS499" s="68">
        <f t="shared" si="300"/>
        <v>0</v>
      </c>
      <c r="DT499" s="107"/>
      <c r="DU499" s="107"/>
      <c r="DV499" s="107"/>
      <c r="DW499" s="68">
        <f>SUM(Tableau1[[#This Row],[Comission et courtage sur achats]:[Autres ou honoraires
 non précisé ]])</f>
        <v>0</v>
      </c>
      <c r="DX499" s="57"/>
      <c r="DY499" s="57"/>
      <c r="DZ499" s="107"/>
      <c r="EA499" s="107"/>
      <c r="EB499" s="107"/>
      <c r="EC499" s="68">
        <f t="shared" si="301"/>
        <v>0</v>
      </c>
      <c r="ED499" s="105"/>
      <c r="EE499" s="105"/>
      <c r="EF499" s="105"/>
      <c r="EG499" s="105"/>
      <c r="EH499" s="105"/>
      <c r="EI499" s="84">
        <f>SUM(Tableau1[[#This Row],[Transports sur films]:[autres ]])</f>
        <v>0</v>
      </c>
      <c r="EJ499" s="134">
        <v>0</v>
      </c>
      <c r="EK499" s="134"/>
      <c r="EL499" s="68">
        <f t="shared" si="302"/>
        <v>0</v>
      </c>
      <c r="EM499" s="107"/>
      <c r="EN499" s="107">
        <v>0</v>
      </c>
      <c r="EO499" s="107"/>
      <c r="EP499" s="107"/>
      <c r="EQ499" s="107"/>
      <c r="ER499" s="107"/>
      <c r="ES499" s="107"/>
      <c r="ET499" s="68">
        <f t="shared" si="303"/>
        <v>0</v>
      </c>
      <c r="EU499" s="107"/>
      <c r="EV499" s="107"/>
      <c r="EW499" s="107"/>
      <c r="EX499" s="107"/>
      <c r="EY499" s="107"/>
      <c r="EZ499" s="68">
        <f t="shared" si="280"/>
        <v>0</v>
      </c>
      <c r="FA499" s="107"/>
      <c r="FB499" s="107"/>
      <c r="FC499" s="70">
        <f t="shared" si="279"/>
        <v>0</v>
      </c>
      <c r="FD499" s="107"/>
      <c r="FE499" s="71">
        <f t="shared" si="304"/>
        <v>0</v>
      </c>
      <c r="FF499" s="72">
        <f t="shared" si="305"/>
        <v>0</v>
      </c>
      <c r="FG499" s="107"/>
      <c r="FH499" s="107"/>
      <c r="FI499" s="107"/>
      <c r="FJ499" s="56">
        <f t="shared" si="306"/>
        <v>0</v>
      </c>
      <c r="FK499" s="107"/>
      <c r="FL499" s="107"/>
      <c r="FM499" s="107"/>
      <c r="FN499" s="107"/>
      <c r="FO499" s="67">
        <f t="shared" si="307"/>
        <v>0</v>
      </c>
      <c r="FP499" s="103"/>
      <c r="FQ499" s="109"/>
      <c r="FR499" s="109"/>
      <c r="FS499" s="71">
        <f t="shared" si="308"/>
        <v>0</v>
      </c>
      <c r="FT499" s="110"/>
      <c r="FU499" s="110"/>
      <c r="FV499" s="67">
        <f>SUM(Tableau1[[#This Row],[Droits d''auteurs SACEM + cotisations SACEM]:[Autres ou non préciés]])</f>
        <v>0</v>
      </c>
      <c r="FW499" s="75">
        <f t="shared" si="309"/>
        <v>0</v>
      </c>
      <c r="FX499" s="111">
        <v>0</v>
      </c>
      <c r="FY499" s="111"/>
      <c r="FZ499" s="111"/>
      <c r="GA499" s="111"/>
      <c r="GB499" s="71">
        <f t="shared" si="310"/>
        <v>0</v>
      </c>
      <c r="GC499" s="112"/>
      <c r="GD499" s="112"/>
      <c r="GE499" s="67">
        <f t="shared" si="311"/>
        <v>0</v>
      </c>
      <c r="GF499" s="113"/>
      <c r="GG499" s="113"/>
      <c r="GH499" s="113"/>
      <c r="GI499" s="113"/>
      <c r="GJ499" s="114"/>
    </row>
  </sheetData>
  <mergeCells count="62">
    <mergeCell ref="M2:N2"/>
    <mergeCell ref="M1:N1"/>
    <mergeCell ref="D1:G1"/>
    <mergeCell ref="D2:G2"/>
    <mergeCell ref="K3:L3"/>
    <mergeCell ref="C3:F3"/>
    <mergeCell ref="K2:L2"/>
    <mergeCell ref="K1:L1"/>
    <mergeCell ref="H2:J2"/>
    <mergeCell ref="H1:J1"/>
    <mergeCell ref="CC3:CG3"/>
    <mergeCell ref="BZ3:CB3"/>
    <mergeCell ref="CO3:CW3"/>
    <mergeCell ref="CI3:CN3"/>
    <mergeCell ref="FT3:FU3"/>
    <mergeCell ref="DW3:EB3"/>
    <mergeCell ref="EC3:EH3"/>
    <mergeCell ref="DS3:DV3"/>
    <mergeCell ref="BR3:BS3"/>
    <mergeCell ref="AC3:AK3"/>
    <mergeCell ref="BU3:BY3"/>
    <mergeCell ref="M3:P3"/>
    <mergeCell ref="AV3:AY3"/>
    <mergeCell ref="BD3:BG3"/>
    <mergeCell ref="AZ3:BC3"/>
    <mergeCell ref="BI3:BJ3"/>
    <mergeCell ref="AL3:AO3"/>
    <mergeCell ref="AP3:AT3"/>
    <mergeCell ref="GC3:GD3"/>
    <mergeCell ref="FW3:GA3"/>
    <mergeCell ref="CX3:DC3"/>
    <mergeCell ref="G3:J3"/>
    <mergeCell ref="DD3:DH3"/>
    <mergeCell ref="DI3:DL3"/>
    <mergeCell ref="DM3:DO3"/>
    <mergeCell ref="DP3:DR3"/>
    <mergeCell ref="EZ3:FB3"/>
    <mergeCell ref="ET3:EY3"/>
    <mergeCell ref="EI3:EK3"/>
    <mergeCell ref="FC3:FD3"/>
    <mergeCell ref="FF3:FI3"/>
    <mergeCell ref="FJ3:FN3"/>
    <mergeCell ref="EL3:ES3"/>
    <mergeCell ref="T3:AB3"/>
    <mergeCell ref="FO1:FR2"/>
    <mergeCell ref="FS1:FU2"/>
    <mergeCell ref="FV1:GA2"/>
    <mergeCell ref="GB1:GD2"/>
    <mergeCell ref="GE1:GI2"/>
    <mergeCell ref="DI1:DR2"/>
    <mergeCell ref="CX1:DH2"/>
    <mergeCell ref="DS1:EH2"/>
    <mergeCell ref="EI1:FD2"/>
    <mergeCell ref="FE1:FN2"/>
    <mergeCell ref="Q1:R2"/>
    <mergeCell ref="BK1:BQ2"/>
    <mergeCell ref="BR1:BS2"/>
    <mergeCell ref="BT1:CG2"/>
    <mergeCell ref="CH1:CW2"/>
    <mergeCell ref="S1:AT2"/>
    <mergeCell ref="AU1:BG2"/>
    <mergeCell ref="BH1:BJ2"/>
  </mergeCells>
  <conditionalFormatting sqref="A2">
    <cfRule type="expression" dxfId="231" priority="76">
      <formula>IF(#REF!=2014,TRUE(),FALSE())</formula>
    </cfRule>
  </conditionalFormatting>
  <conditionalFormatting sqref="FO1 FS1 GB1 A2:B2 GE1 FE1 FV1 S1 AU1 BH1 BK1 CH1 BT1 CX1 DS1 EI1 DI1 A4:GJ4">
    <cfRule type="expression" dxfId="230" priority="34">
      <formula>IF(#REF!=2015,TRUE(),FALSE())</formula>
    </cfRule>
    <cfRule type="expression" dxfId="229" priority="37">
      <formula>IF(#REF!=2016,TRUE(),FALSE())</formula>
    </cfRule>
  </conditionalFormatting>
  <conditionalFormatting sqref="A47:U48 FB47:XFD48 W47:BO48 BQ47:CN48 FA6:FO6 FR6:XFD6 A6:CN46 A49:BD49 BF49:CN49 DK49:FK49 FM49:XFD49 AU50:CN50 A50:AS50 A51:CN51 GJ51:XFD51 FM51:GH51 A52:U53 W52:AC53 AE53:CI53 AE52:CN52 CK53:CP53 CR52:CR53 CT52:DT53 DV52:XFD52 DV53:EZ53 FB53:XFD53 CP52 CP51:FK51 CP50:XFD50 CP49:DI49 CO6:CO52 CP6:EZ27 CP29:EZ48 CP28:DI28 FA7:XFD27 FA29:XFD46 DK28:FC28 FE28:XFD28 DF54:XFD54 A55:CZ55 DB55:XFD55 A54:AZ54 BB54:DD54 A56:XFD57 A58:DE58 GB58:XFD58 DG58:FX58 FZ58 A59:XFD499">
    <cfRule type="expression" dxfId="228" priority="6">
      <formula>IF($C6=2016,TRUE(),FALSE())</formula>
    </cfRule>
    <cfRule type="expression" dxfId="227" priority="7">
      <formula>IF($C6=2015,TRUE(),FALSE())</formula>
    </cfRule>
  </conditionalFormatting>
  <conditionalFormatting sqref="GI48 V53">
    <cfRule type="expression" dxfId="226" priority="79">
      <formula>IF($C47=2016,TRUE(),FALSE())</formula>
    </cfRule>
    <cfRule type="expression" dxfId="225" priority="80">
      <formula>IF($C47=2015,TRUE(),FALSE())</formula>
    </cfRule>
  </conditionalFormatting>
  <conditionalFormatting sqref="CS52">
    <cfRule type="expression" dxfId="224" priority="83">
      <formula>IF($C53=2016,TRUE(),FALSE())</formula>
    </cfRule>
    <cfRule type="expression" dxfId="223" priority="84">
      <formula>IF($C53=2015,TRUE(),FALSE())</formula>
    </cfRule>
  </conditionalFormatting>
  <conditionalFormatting sqref="AD53">
    <cfRule type="expression" dxfId="222" priority="85">
      <formula>IF($C52=2016,TRUE(),FALSE())</formula>
    </cfRule>
    <cfRule type="expression" dxfId="221" priority="86">
      <formula>IF($C52=2015,TRUE(),FALSE())</formula>
    </cfRule>
  </conditionalFormatting>
  <conditionalFormatting sqref="M6:P499">
    <cfRule type="cellIs" dxfId="220" priority="1" operator="equal">
      <formula>""</formula>
    </cfRule>
  </conditionalFormatting>
  <conditionalFormatting sqref="FD54">
    <cfRule type="expression" dxfId="219" priority="89">
      <formula>IF($C28=2016,TRUE(),FALSE())</formula>
    </cfRule>
    <cfRule type="expression" dxfId="218" priority="90">
      <formula>IF($C28=2015,TRUE(),FALSE())</formula>
    </cfRule>
  </conditionalFormatting>
  <dataValidations count="5">
    <dataValidation type="whole" operator="greaterThan" allowBlank="1" showInputMessage="1" showErrorMessage="1" sqref="O21:P21 L21:M21 M12:P12 L6:P10 L13:P20 L11:L12 L22:P499">
      <formula1>0</formula1>
    </dataValidation>
    <dataValidation type="whole" allowBlank="1" showInputMessage="1" showErrorMessage="1" sqref="I6:I499">
      <formula1>1000</formula1>
      <formula2>99999</formula2>
    </dataValidation>
    <dataValidation type="list" allowBlank="1" showInputMessage="1" showErrorMessage="1" sqref="D2">
      <formula1>poste</formula1>
    </dataValidation>
    <dataValidation type="list" allowBlank="1" showInputMessage="1" showErrorMessage="1" sqref="C6:C499">
      <formula1>tableau_date</formula1>
    </dataValidation>
    <dataValidation type="list" allowBlank="1" showInputMessage="1" showErrorMessage="1" sqref="E6">
      <formula1>"tableau_date"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24" r:id="rId4" name="Button 300">
              <controlPr defaultSize="0" print="0" autoFill="0" autoPict="0" macro="[0]!Total_pdts">
                <anchor moveWithCells="1" sizeWithCells="1">
                  <from>
                    <xdr:col>0</xdr:col>
                    <xdr:colOff>0</xdr:colOff>
                    <xdr:row>1</xdr:row>
                    <xdr:rowOff>9525</xdr:rowOff>
                  </from>
                  <to>
                    <xdr:col>0</xdr:col>
                    <xdr:colOff>314325</xdr:colOff>
                    <xdr:row>1</xdr:row>
                    <xdr:rowOff>590550</xdr:rowOff>
                  </to>
                </anchor>
              </controlPr>
            </control>
          </mc:Choice>
        </mc:AlternateContent>
        <mc:AlternateContent xmlns:mc="http://schemas.openxmlformats.org/markup-compatibility/2006">
          <mc:Choice Requires="x14">
            <control shapeId="1325" r:id="rId5" name="Button 301">
              <controlPr defaultSize="0" print="0" autoFill="0" autoPict="0" macro="[0]!CA_706">
                <anchor moveWithCells="1" sizeWithCells="1">
                  <from>
                    <xdr:col>0</xdr:col>
                    <xdr:colOff>323850</xdr:colOff>
                    <xdr:row>1</xdr:row>
                    <xdr:rowOff>9525</xdr:rowOff>
                  </from>
                  <to>
                    <xdr:col>0</xdr:col>
                    <xdr:colOff>742950</xdr:colOff>
                    <xdr:row>1</xdr:row>
                    <xdr:rowOff>180975</xdr:rowOff>
                  </to>
                </anchor>
              </controlPr>
            </control>
          </mc:Choice>
        </mc:AlternateContent>
        <mc:AlternateContent xmlns:mc="http://schemas.openxmlformats.org/markup-compatibility/2006">
          <mc:Choice Requires="x14">
            <control shapeId="1326" r:id="rId6" name="Button 302">
              <controlPr defaultSize="0" print="0" autoFill="0" autoPict="0" macro="[0]!APE_74_79">
                <anchor moveWithCells="1" sizeWithCells="1">
                  <from>
                    <xdr:col>0</xdr:col>
                    <xdr:colOff>752475</xdr:colOff>
                    <xdr:row>1</xdr:row>
                    <xdr:rowOff>9525</xdr:rowOff>
                  </from>
                  <to>
                    <xdr:col>0</xdr:col>
                    <xdr:colOff>1181100</xdr:colOff>
                    <xdr:row>1</xdr:row>
                    <xdr:rowOff>190500</xdr:rowOff>
                  </to>
                </anchor>
              </controlPr>
            </control>
          </mc:Choice>
        </mc:AlternateContent>
        <mc:AlternateContent xmlns:mc="http://schemas.openxmlformats.org/markup-compatibility/2006">
          <mc:Choice Requires="x14">
            <control shapeId="1327" r:id="rId7" name="Button 303">
              <controlPr defaultSize="0" print="0" autoFill="0" autoPict="0" macro="[0]!Pdts_F_76">
                <anchor moveWithCells="1" sizeWithCells="1">
                  <from>
                    <xdr:col>0</xdr:col>
                    <xdr:colOff>752475</xdr:colOff>
                    <xdr:row>1</xdr:row>
                    <xdr:rowOff>190500</xdr:rowOff>
                  </from>
                  <to>
                    <xdr:col>0</xdr:col>
                    <xdr:colOff>1181100</xdr:colOff>
                    <xdr:row>1</xdr:row>
                    <xdr:rowOff>371475</xdr:rowOff>
                  </to>
                </anchor>
              </controlPr>
            </control>
          </mc:Choice>
        </mc:AlternateContent>
        <mc:AlternateContent xmlns:mc="http://schemas.openxmlformats.org/markup-compatibility/2006">
          <mc:Choice Requires="x14">
            <control shapeId="1328" r:id="rId8" name="Button 304">
              <controlPr defaultSize="0" print="0" autoFill="0" autoPict="0" macro="[0]!pdts_E_77">
                <anchor moveWithCells="1" sizeWithCells="1">
                  <from>
                    <xdr:col>0</xdr:col>
                    <xdr:colOff>752475</xdr:colOff>
                    <xdr:row>1</xdr:row>
                    <xdr:rowOff>381000</xdr:rowOff>
                  </from>
                  <to>
                    <xdr:col>0</xdr:col>
                    <xdr:colOff>1181100</xdr:colOff>
                    <xdr:row>1</xdr:row>
                    <xdr:rowOff>590550</xdr:rowOff>
                  </to>
                </anchor>
              </controlPr>
            </control>
          </mc:Choice>
        </mc:AlternateContent>
        <mc:AlternateContent xmlns:mc="http://schemas.openxmlformats.org/markup-compatibility/2006">
          <mc:Choice Requires="x14">
            <control shapeId="1329" r:id="rId9" name="Button 305">
              <controlPr defaultSize="0" print="0" autoFill="0" autoPict="0" macro="[0]!total_charge_6">
                <anchor moveWithCells="1" sizeWithCells="1">
                  <from>
                    <xdr:col>0</xdr:col>
                    <xdr:colOff>1190625</xdr:colOff>
                    <xdr:row>1</xdr:row>
                    <xdr:rowOff>9525</xdr:rowOff>
                  </from>
                  <to>
                    <xdr:col>0</xdr:col>
                    <xdr:colOff>1485900</xdr:colOff>
                    <xdr:row>2</xdr:row>
                    <xdr:rowOff>0</xdr:rowOff>
                  </to>
                </anchor>
              </controlPr>
            </control>
          </mc:Choice>
        </mc:AlternateContent>
        <mc:AlternateContent xmlns:mc="http://schemas.openxmlformats.org/markup-compatibility/2006">
          <mc:Choice Requires="x14">
            <control shapeId="1330" r:id="rId10" name="Button 306">
              <controlPr defaultSize="0" print="0" autoFill="0" autoPict="0" macro="[0]!Achat_600608">
                <anchor moveWithCells="1" sizeWithCells="1">
                  <from>
                    <xdr:col>0</xdr:col>
                    <xdr:colOff>1495425</xdr:colOff>
                    <xdr:row>1</xdr:row>
                    <xdr:rowOff>9525</xdr:rowOff>
                  </from>
                  <to>
                    <xdr:col>1</xdr:col>
                    <xdr:colOff>485775</xdr:colOff>
                    <xdr:row>1</xdr:row>
                    <xdr:rowOff>190500</xdr:rowOff>
                  </to>
                </anchor>
              </controlPr>
            </control>
          </mc:Choice>
        </mc:AlternateContent>
        <mc:AlternateContent xmlns:mc="http://schemas.openxmlformats.org/markup-compatibility/2006">
          <mc:Choice Requires="x14">
            <control shapeId="1331" r:id="rId11" name="Button 307">
              <controlPr defaultSize="0" print="0" autoFill="0" autoPict="0" macro="[0]!ACE_604_605">
                <anchor moveWithCells="1" sizeWithCells="1">
                  <from>
                    <xdr:col>0</xdr:col>
                    <xdr:colOff>1485900</xdr:colOff>
                    <xdr:row>1</xdr:row>
                    <xdr:rowOff>209550</xdr:rowOff>
                  </from>
                  <to>
                    <xdr:col>1</xdr:col>
                    <xdr:colOff>485775</xdr:colOff>
                    <xdr:row>1</xdr:row>
                    <xdr:rowOff>381000</xdr:rowOff>
                  </to>
                </anchor>
              </controlPr>
            </control>
          </mc:Choice>
        </mc:AlternateContent>
        <mc:AlternateContent xmlns:mc="http://schemas.openxmlformats.org/markup-compatibility/2006">
          <mc:Choice Requires="x14">
            <control shapeId="1334" r:id="rId12" name="Button 310">
              <controlPr defaultSize="0" print="0" autoFill="0" autoPict="0" macro="[0]!ACE_611_614">
                <anchor moveWithCells="1" sizeWithCells="1">
                  <from>
                    <xdr:col>1</xdr:col>
                    <xdr:colOff>485775</xdr:colOff>
                    <xdr:row>1</xdr:row>
                    <xdr:rowOff>19050</xdr:rowOff>
                  </from>
                  <to>
                    <xdr:col>1</xdr:col>
                    <xdr:colOff>990600</xdr:colOff>
                    <xdr:row>1</xdr:row>
                    <xdr:rowOff>209550</xdr:rowOff>
                  </to>
                </anchor>
              </controlPr>
            </control>
          </mc:Choice>
        </mc:AlternateContent>
        <mc:AlternateContent xmlns:mc="http://schemas.openxmlformats.org/markup-compatibility/2006">
          <mc:Choice Requires="x14">
            <control shapeId="1335" r:id="rId13" name="Button 311">
              <controlPr defaultSize="0" print="0" autoFill="0" autoPict="0" macro="[0]!ACE_621_622">
                <anchor moveWithCells="1" sizeWithCells="1">
                  <from>
                    <xdr:col>1</xdr:col>
                    <xdr:colOff>485775</xdr:colOff>
                    <xdr:row>1</xdr:row>
                    <xdr:rowOff>409575</xdr:rowOff>
                  </from>
                  <to>
                    <xdr:col>1</xdr:col>
                    <xdr:colOff>990600</xdr:colOff>
                    <xdr:row>2</xdr:row>
                    <xdr:rowOff>0</xdr:rowOff>
                  </to>
                </anchor>
              </controlPr>
            </control>
          </mc:Choice>
        </mc:AlternateContent>
        <mc:AlternateContent xmlns:mc="http://schemas.openxmlformats.org/markup-compatibility/2006">
          <mc:Choice Requires="x14">
            <control shapeId="1345" r:id="rId14" name="Button 321">
              <controlPr defaultSize="0" print="0" autoFill="0" autoPict="0" macro="[0]!ID">
                <anchor moveWithCells="1" sizeWithCells="1">
                  <from>
                    <xdr:col>1</xdr:col>
                    <xdr:colOff>28575</xdr:colOff>
                    <xdr:row>2</xdr:row>
                    <xdr:rowOff>28575</xdr:rowOff>
                  </from>
                  <to>
                    <xdr:col>1</xdr:col>
                    <xdr:colOff>2371725</xdr:colOff>
                    <xdr:row>2</xdr:row>
                    <xdr:rowOff>342900</xdr:rowOff>
                  </to>
                </anchor>
              </controlPr>
            </control>
          </mc:Choice>
        </mc:AlternateContent>
        <mc:AlternateContent xmlns:mc="http://schemas.openxmlformats.org/markup-compatibility/2006">
          <mc:Choice Requires="x14">
            <control shapeId="1506" r:id="rId15" name="Button 482">
              <controlPr defaultSize="0" print="0" autoFill="0" autoPict="0" macro="[0]!CA_707">
                <anchor moveWithCells="1" sizeWithCells="1">
                  <from>
                    <xdr:col>0</xdr:col>
                    <xdr:colOff>314325</xdr:colOff>
                    <xdr:row>1</xdr:row>
                    <xdr:rowOff>180975</xdr:rowOff>
                  </from>
                  <to>
                    <xdr:col>0</xdr:col>
                    <xdr:colOff>742950</xdr:colOff>
                    <xdr:row>1</xdr:row>
                    <xdr:rowOff>381000</xdr:rowOff>
                  </to>
                </anchor>
              </controlPr>
            </control>
          </mc:Choice>
        </mc:AlternateContent>
        <mc:AlternateContent xmlns:mc="http://schemas.openxmlformats.org/markup-compatibility/2006">
          <mc:Choice Requires="x14">
            <control shapeId="1507" r:id="rId16" name="Button 483">
              <controlPr defaultSize="0" print="0" autoFill="0" autoPict="0" macro="[0]!CA_708">
                <anchor moveWithCells="1" sizeWithCells="1">
                  <from>
                    <xdr:col>0</xdr:col>
                    <xdr:colOff>314325</xdr:colOff>
                    <xdr:row>1</xdr:row>
                    <xdr:rowOff>381000</xdr:rowOff>
                  </from>
                  <to>
                    <xdr:col>0</xdr:col>
                    <xdr:colOff>742950</xdr:colOff>
                    <xdr:row>1</xdr:row>
                    <xdr:rowOff>590550</xdr:rowOff>
                  </to>
                </anchor>
              </controlPr>
            </control>
          </mc:Choice>
        </mc:AlternateContent>
        <mc:AlternateContent xmlns:mc="http://schemas.openxmlformats.org/markup-compatibility/2006">
          <mc:Choice Requires="x14">
            <control shapeId="1509" r:id="rId17" name="Button 485">
              <controlPr defaultSize="0" print="0" autoFill="0" autoPict="0" macro="[0]!ACE_606">
                <anchor moveWithCells="1" sizeWithCells="1">
                  <from>
                    <xdr:col>0</xdr:col>
                    <xdr:colOff>1495425</xdr:colOff>
                    <xdr:row>1</xdr:row>
                    <xdr:rowOff>400050</xdr:rowOff>
                  </from>
                  <to>
                    <xdr:col>1</xdr:col>
                    <xdr:colOff>485775</xdr:colOff>
                    <xdr:row>1</xdr:row>
                    <xdr:rowOff>590550</xdr:rowOff>
                  </to>
                </anchor>
              </controlPr>
            </control>
          </mc:Choice>
        </mc:AlternateContent>
        <mc:AlternateContent xmlns:mc="http://schemas.openxmlformats.org/markup-compatibility/2006">
          <mc:Choice Requires="x14">
            <control shapeId="1510" r:id="rId18" name="Button 486">
              <controlPr defaultSize="0" print="0" autoFill="0" autoPict="0" macro="[0]!ACE_615">
                <anchor moveWithCells="1" sizeWithCells="1">
                  <from>
                    <xdr:col>1</xdr:col>
                    <xdr:colOff>485775</xdr:colOff>
                    <xdr:row>1</xdr:row>
                    <xdr:rowOff>219075</xdr:rowOff>
                  </from>
                  <to>
                    <xdr:col>1</xdr:col>
                    <xdr:colOff>990600</xdr:colOff>
                    <xdr:row>1</xdr:row>
                    <xdr:rowOff>381000</xdr:rowOff>
                  </to>
                </anchor>
              </controlPr>
            </control>
          </mc:Choice>
        </mc:AlternateContent>
        <mc:AlternateContent xmlns:mc="http://schemas.openxmlformats.org/markup-compatibility/2006">
          <mc:Choice Requires="x14">
            <control shapeId="1512" r:id="rId19" name="Button 488">
              <controlPr defaultSize="0" print="0" autoFill="0" autoPict="0" macro="[0]!ACE_623_624">
                <anchor moveWithCells="1" sizeWithCells="1">
                  <from>
                    <xdr:col>1</xdr:col>
                    <xdr:colOff>1009650</xdr:colOff>
                    <xdr:row>1</xdr:row>
                    <xdr:rowOff>9525</xdr:rowOff>
                  </from>
                  <to>
                    <xdr:col>1</xdr:col>
                    <xdr:colOff>1495425</xdr:colOff>
                    <xdr:row>1</xdr:row>
                    <xdr:rowOff>200025</xdr:rowOff>
                  </to>
                </anchor>
              </controlPr>
            </control>
          </mc:Choice>
        </mc:AlternateContent>
        <mc:AlternateContent xmlns:mc="http://schemas.openxmlformats.org/markup-compatibility/2006">
          <mc:Choice Requires="x14">
            <control shapeId="1514" r:id="rId20" name="Button 490">
              <controlPr defaultSize="0" print="0" autoFill="0" autoPict="0" macro="[0]!ACE_625_626">
                <anchor moveWithCells="1" sizeWithCells="1">
                  <from>
                    <xdr:col>1</xdr:col>
                    <xdr:colOff>1009650</xdr:colOff>
                    <xdr:row>1</xdr:row>
                    <xdr:rowOff>209550</xdr:rowOff>
                  </from>
                  <to>
                    <xdr:col>1</xdr:col>
                    <xdr:colOff>1485900</xdr:colOff>
                    <xdr:row>1</xdr:row>
                    <xdr:rowOff>390525</xdr:rowOff>
                  </to>
                </anchor>
              </controlPr>
            </control>
          </mc:Choice>
        </mc:AlternateContent>
        <mc:AlternateContent xmlns:mc="http://schemas.openxmlformats.org/markup-compatibility/2006">
          <mc:Choice Requires="x14">
            <control shapeId="1516" r:id="rId21" name="Button 492">
              <controlPr defaultSize="0" print="0" autoFill="0" autoPict="0" macro="[0]!ACE_627_628">
                <anchor moveWithCells="1" sizeWithCells="1">
                  <from>
                    <xdr:col>1</xdr:col>
                    <xdr:colOff>1000125</xdr:colOff>
                    <xdr:row>1</xdr:row>
                    <xdr:rowOff>400050</xdr:rowOff>
                  </from>
                  <to>
                    <xdr:col>1</xdr:col>
                    <xdr:colOff>1485900</xdr:colOff>
                    <xdr:row>2</xdr:row>
                    <xdr:rowOff>0</xdr:rowOff>
                  </to>
                </anchor>
              </controlPr>
            </control>
          </mc:Choice>
        </mc:AlternateContent>
        <mc:AlternateContent xmlns:mc="http://schemas.openxmlformats.org/markup-compatibility/2006">
          <mc:Choice Requires="x14">
            <control shapeId="1520" r:id="rId22" name="Button 496">
              <controlPr defaultSize="0" print="0" autoFill="0" autoPict="0" macro="[0]!impot_631_637">
                <anchor moveWithCells="1" sizeWithCells="1">
                  <from>
                    <xdr:col>1</xdr:col>
                    <xdr:colOff>1504950</xdr:colOff>
                    <xdr:row>1</xdr:row>
                    <xdr:rowOff>9525</xdr:rowOff>
                  </from>
                  <to>
                    <xdr:col>1</xdr:col>
                    <xdr:colOff>2028825</xdr:colOff>
                    <xdr:row>1</xdr:row>
                    <xdr:rowOff>209550</xdr:rowOff>
                  </to>
                </anchor>
              </controlPr>
            </control>
          </mc:Choice>
        </mc:AlternateContent>
        <mc:AlternateContent xmlns:mc="http://schemas.openxmlformats.org/markup-compatibility/2006">
          <mc:Choice Requires="x14">
            <control shapeId="1522" r:id="rId23" name="Button 498">
              <controlPr defaultSize="0" print="0" autoFill="0" autoPict="0" macro="[0]!charge_pers_dot_64_68">
                <anchor moveWithCells="1" sizeWithCells="1">
                  <from>
                    <xdr:col>1</xdr:col>
                    <xdr:colOff>1504950</xdr:colOff>
                    <xdr:row>1</xdr:row>
                    <xdr:rowOff>219075</xdr:rowOff>
                  </from>
                  <to>
                    <xdr:col>1</xdr:col>
                    <xdr:colOff>2028825</xdr:colOff>
                    <xdr:row>1</xdr:row>
                    <xdr:rowOff>400050</xdr:rowOff>
                  </to>
                </anchor>
              </controlPr>
            </control>
          </mc:Choice>
        </mc:AlternateContent>
        <mc:AlternateContent xmlns:mc="http://schemas.openxmlformats.org/markup-compatibility/2006">
          <mc:Choice Requires="x14">
            <control shapeId="1523" r:id="rId24" name="Button 499">
              <controlPr defaultSize="0" print="0" autoFill="0" autoPict="0" macro="[0]!Charge_65_66">
                <anchor moveWithCells="1" sizeWithCells="1">
                  <from>
                    <xdr:col>1</xdr:col>
                    <xdr:colOff>1514475</xdr:colOff>
                    <xdr:row>1</xdr:row>
                    <xdr:rowOff>409575</xdr:rowOff>
                  </from>
                  <to>
                    <xdr:col>1</xdr:col>
                    <xdr:colOff>2028825</xdr:colOff>
                    <xdr:row>2</xdr:row>
                    <xdr:rowOff>0</xdr:rowOff>
                  </to>
                </anchor>
              </controlPr>
            </control>
          </mc:Choice>
        </mc:AlternateContent>
        <mc:AlternateContent xmlns:mc="http://schemas.openxmlformats.org/markup-compatibility/2006">
          <mc:Choice Requires="x14">
            <control shapeId="1525" r:id="rId25" name="Button 501">
              <controlPr defaultSize="0" print="0" autoFill="0" autoPict="0" macro="[0]!charge_exep_67">
                <anchor moveWithCells="1" sizeWithCells="1">
                  <from>
                    <xdr:col>1</xdr:col>
                    <xdr:colOff>2038350</xdr:colOff>
                    <xdr:row>1</xdr:row>
                    <xdr:rowOff>9525</xdr:rowOff>
                  </from>
                  <to>
                    <xdr:col>1</xdr:col>
                    <xdr:colOff>2324100</xdr:colOff>
                    <xdr:row>1</xdr:row>
                    <xdr:rowOff>600075</xdr:rowOff>
                  </to>
                </anchor>
              </controlPr>
            </control>
          </mc:Choice>
        </mc:AlternateContent>
        <mc:AlternateContent xmlns:mc="http://schemas.openxmlformats.org/markup-compatibility/2006">
          <mc:Choice Requires="x14">
            <control shapeId="1537" r:id="rId26" name="Button 513">
              <controlPr defaultSize="0" print="0" autoFill="0" autoPict="0" macro="[0]!rech_cmpt">
                <anchor moveWithCells="1" sizeWithCells="1">
                  <from>
                    <xdr:col>7</xdr:col>
                    <xdr:colOff>9525</xdr:colOff>
                    <xdr:row>1</xdr:row>
                    <xdr:rowOff>400050</xdr:rowOff>
                  </from>
                  <to>
                    <xdr:col>10</xdr:col>
                    <xdr:colOff>0</xdr:colOff>
                    <xdr:row>1</xdr:row>
                    <xdr:rowOff>590550</xdr:rowOff>
                  </to>
                </anchor>
              </controlPr>
            </control>
          </mc:Choice>
        </mc:AlternateContent>
        <mc:AlternateContent xmlns:mc="http://schemas.openxmlformats.org/markup-compatibility/2006">
          <mc:Choice Requires="x14">
            <control shapeId="1589" r:id="rId27" name="Button 565">
              <controlPr defaultSize="0" print="0" autoFill="0" autoPict="0" macro="[0]!feuille_masquer">
                <anchor moveWithCells="1" sizeWithCells="1">
                  <from>
                    <xdr:col>10</xdr:col>
                    <xdr:colOff>19050</xdr:colOff>
                    <xdr:row>1</xdr:row>
                    <xdr:rowOff>180975</xdr:rowOff>
                  </from>
                  <to>
                    <xdr:col>11</xdr:col>
                    <xdr:colOff>771525</xdr:colOff>
                    <xdr:row>1</xdr:row>
                    <xdr:rowOff>371475</xdr:rowOff>
                  </to>
                </anchor>
              </controlPr>
            </control>
          </mc:Choice>
        </mc:AlternateContent>
        <mc:AlternateContent xmlns:mc="http://schemas.openxmlformats.org/markup-compatibility/2006">
          <mc:Choice Requires="x14">
            <control shapeId="1602" r:id="rId28" name="Button 578">
              <controlPr defaultSize="0" print="0" autoFill="0" autoPict="0" macro="[0]!feuille_afficher">
                <anchor moveWithCells="1" sizeWithCells="1">
                  <from>
                    <xdr:col>10</xdr:col>
                    <xdr:colOff>9525</xdr:colOff>
                    <xdr:row>1</xdr:row>
                    <xdr:rowOff>9525</xdr:rowOff>
                  </from>
                  <to>
                    <xdr:col>11</xdr:col>
                    <xdr:colOff>771525</xdr:colOff>
                    <xdr:row>1</xdr:row>
                    <xdr:rowOff>180975</xdr:rowOff>
                  </to>
                </anchor>
              </controlPr>
            </control>
          </mc:Choice>
        </mc:AlternateContent>
      </controls>
    </mc:Choice>
  </mc:AlternateContent>
  <tableParts count="1">
    <tablePart r:id="rId29"/>
  </tableParts>
  <extLst>
    <ext xmlns:x14="http://schemas.microsoft.com/office/spreadsheetml/2009/9/main" uri="{CCE6A557-97BC-4b89-ADB6-D9C93CAAB3DF}">
      <x14:dataValidations xmlns:xm="http://schemas.microsoft.com/office/excel/2006/main" count="3">
        <x14:dataValidation type="list" operator="greaterThan" allowBlank="1" showInputMessage="1" showErrorMessage="1">
          <x14:formula1>
            <xm:f>liste_forme!$M$2:$M$24</xm:f>
          </x14:formula1>
          <xm:sqref>K6:K499</xm:sqref>
        </x14:dataValidation>
        <x14:dataValidation type="list" allowBlank="1" showInputMessage="1" showErrorMessage="1">
          <x14:formula1>
            <xm:f>liste_forme!$B$4:$B$11</xm:f>
          </x14:formula1>
          <xm:sqref>K2:L2</xm:sqref>
        </x14:dataValidation>
        <x14:dataValidation type="list" allowBlank="1" showInputMessage="1" showErrorMessage="1">
          <x14:formula1>
            <xm:f>liste_forme!$R$2:$R$151</xm:f>
          </x14:formula1>
          <xm:sqref>M2:O2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2:B12"/>
  <sheetViews>
    <sheetView tabSelected="1" zoomScale="85" zoomScaleNormal="85" workbookViewId="0">
      <selection activeCell="B11" sqref="B11"/>
    </sheetView>
  </sheetViews>
  <sheetFormatPr baseColWidth="10" defaultRowHeight="15" x14ac:dyDescent="0.25"/>
  <cols>
    <col min="1" max="1" width="16.42578125" customWidth="1"/>
    <col min="2" max="2" width="54.5703125" bestFit="1" customWidth="1"/>
  </cols>
  <sheetData>
    <row r="2" spans="1:2" ht="15.75" x14ac:dyDescent="0.25">
      <c r="A2" s="341" t="s">
        <v>592</v>
      </c>
      <c r="B2" s="344" t="s">
        <v>599</v>
      </c>
    </row>
    <row r="3" spans="1:2" s="213" customFormat="1" x14ac:dyDescent="0.25">
      <c r="A3" s="342" t="s">
        <v>423</v>
      </c>
      <c r="B3" s="345" t="s">
        <v>216</v>
      </c>
    </row>
    <row r="4" spans="1:2" x14ac:dyDescent="0.25">
      <c r="A4" s="339"/>
      <c r="B4" s="340"/>
    </row>
    <row r="5" spans="1:2" x14ac:dyDescent="0.25">
      <c r="A5" s="342" t="s">
        <v>591</v>
      </c>
      <c r="B5" s="345" t="s">
        <v>82</v>
      </c>
    </row>
    <row r="6" spans="1:2" x14ac:dyDescent="0.25">
      <c r="A6" s="339" t="s">
        <v>595</v>
      </c>
      <c r="B6" s="340">
        <v>0.89108303158086233</v>
      </c>
    </row>
    <row r="7" spans="1:2" x14ac:dyDescent="0.25">
      <c r="A7" s="342" t="s">
        <v>589</v>
      </c>
      <c r="B7" s="345" t="s">
        <v>81</v>
      </c>
    </row>
    <row r="8" spans="1:2" x14ac:dyDescent="0.25">
      <c r="A8" s="339" t="s">
        <v>596</v>
      </c>
      <c r="B8" s="340">
        <v>0.96293386125176861</v>
      </c>
    </row>
    <row r="9" spans="1:2" x14ac:dyDescent="0.25">
      <c r="A9" s="342" t="s">
        <v>590</v>
      </c>
      <c r="B9" s="345" t="s">
        <v>221</v>
      </c>
    </row>
    <row r="10" spans="1:2" x14ac:dyDescent="0.25">
      <c r="A10" s="339" t="s">
        <v>597</v>
      </c>
      <c r="B10" s="346">
        <v>0.88995775211577388</v>
      </c>
    </row>
    <row r="11" spans="1:2" x14ac:dyDescent="0.25">
      <c r="A11" s="342" t="s">
        <v>594</v>
      </c>
      <c r="B11" s="343" t="s">
        <v>38</v>
      </c>
    </row>
    <row r="12" spans="1:2" x14ac:dyDescent="0.25">
      <c r="A12" s="339" t="s">
        <v>598</v>
      </c>
      <c r="B12" s="346">
        <v>0.30856768884294</v>
      </c>
    </row>
  </sheetData>
  <conditionalFormatting sqref="B6 B4 B8 B12">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52" r:id="rId4" name="Button 8">
              <controlPr defaultSize="0" print="0" autoFill="0" autoPict="0" macro="[0]!coefcorrelation">
                <anchor moveWithCells="1" sizeWithCells="1">
                  <from>
                    <xdr:col>0</xdr:col>
                    <xdr:colOff>9525</xdr:colOff>
                    <xdr:row>12</xdr:row>
                    <xdr:rowOff>28575</xdr:rowOff>
                  </from>
                  <to>
                    <xdr:col>0</xdr:col>
                    <xdr:colOff>1123950</xdr:colOff>
                    <xdr:row>13</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liste_forme!$R$2:$R$151</xm:f>
          </x14:formula1>
          <xm:sqref>B3 B5 B7 B9 B11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FF00"/>
  </sheetPr>
  <dimension ref="A1:R497"/>
  <sheetViews>
    <sheetView zoomScale="55" zoomScaleNormal="55" workbookViewId="0">
      <pane xSplit="2" ySplit="3" topLeftCell="C479" activePane="bottomRight" state="frozen"/>
      <selection pane="topRight" activeCell="C1" sqref="C1"/>
      <selection pane="bottomLeft" activeCell="A3" sqref="A3"/>
      <selection pane="bottomRight" activeCell="C509" sqref="C509"/>
    </sheetView>
  </sheetViews>
  <sheetFormatPr baseColWidth="10" defaultRowHeight="15" x14ac:dyDescent="0.25"/>
  <cols>
    <col min="1" max="1" width="22.28515625" style="213" customWidth="1"/>
    <col min="2" max="2" width="18" style="213" customWidth="1"/>
    <col min="3" max="3" width="17.42578125" style="213" customWidth="1"/>
    <col min="4" max="4" width="30.5703125" style="213" customWidth="1"/>
    <col min="5" max="5" width="29.140625" style="213" customWidth="1"/>
    <col min="6" max="6" width="27.5703125" style="213" customWidth="1"/>
    <col min="7" max="7" width="27.140625" style="213" customWidth="1"/>
    <col min="8" max="8" width="22.5703125" style="213" customWidth="1"/>
    <col min="9" max="9" width="18.85546875" style="213" customWidth="1"/>
    <col min="10" max="10" width="27.85546875" style="213" customWidth="1"/>
    <col min="11" max="11" width="21.7109375" style="213" customWidth="1"/>
    <col min="12" max="12" width="14" style="213" customWidth="1"/>
    <col min="13" max="13" width="22.28515625" style="213" customWidth="1"/>
    <col min="14" max="14" width="19.85546875" style="213" customWidth="1"/>
    <col min="15" max="15" width="18.42578125" style="213" customWidth="1"/>
    <col min="16" max="16" width="15.5703125" style="213" customWidth="1"/>
    <col min="17" max="17" width="10.85546875" style="213"/>
    <col min="18" max="16384" width="11.42578125" style="213"/>
  </cols>
  <sheetData>
    <row r="1" spans="1:18" customFormat="1" ht="23.1" customHeight="1" x14ac:dyDescent="0.25">
      <c r="B1" s="160"/>
      <c r="C1" s="160"/>
      <c r="D1" s="160"/>
      <c r="E1" s="160"/>
      <c r="F1" s="160"/>
      <c r="G1" s="160"/>
      <c r="H1" s="160"/>
      <c r="I1" s="160"/>
      <c r="M1" s="160"/>
      <c r="N1" s="160"/>
      <c r="O1" s="160"/>
    </row>
    <row r="2" spans="1:18" customFormat="1" ht="9.9499999999999993" customHeight="1" x14ac:dyDescent="0.25">
      <c r="A2" s="157"/>
      <c r="D2" s="157"/>
      <c r="E2" s="157"/>
      <c r="F2" s="157"/>
      <c r="G2" s="157"/>
      <c r="H2" s="157"/>
      <c r="I2" s="157"/>
      <c r="L2" s="157"/>
      <c r="M2" s="157"/>
      <c r="N2" s="157"/>
      <c r="O2" s="157"/>
      <c r="Q2" s="157"/>
    </row>
    <row r="3" spans="1:18" s="337" customFormat="1" ht="36.950000000000003" customHeight="1" x14ac:dyDescent="0.25">
      <c r="A3" s="330" t="s">
        <v>103</v>
      </c>
      <c r="B3" s="331" t="s">
        <v>100</v>
      </c>
      <c r="C3" s="331" t="s">
        <v>97</v>
      </c>
      <c r="D3" s="332" t="s">
        <v>28</v>
      </c>
      <c r="E3" s="333" t="s">
        <v>29</v>
      </c>
      <c r="F3" s="334" t="s">
        <v>215</v>
      </c>
      <c r="G3" s="334" t="s">
        <v>89</v>
      </c>
      <c r="H3" s="334" t="s">
        <v>224</v>
      </c>
      <c r="I3" s="335" t="s">
        <v>225</v>
      </c>
      <c r="J3" s="335" t="s">
        <v>229</v>
      </c>
      <c r="K3" s="335" t="s">
        <v>226</v>
      </c>
      <c r="L3" s="335" t="s">
        <v>227</v>
      </c>
      <c r="M3" s="327" t="s">
        <v>216</v>
      </c>
      <c r="N3" s="327" t="s">
        <v>421</v>
      </c>
      <c r="O3" s="327" t="s">
        <v>422</v>
      </c>
      <c r="P3" s="327" t="s">
        <v>228</v>
      </c>
      <c r="Q3" s="327" t="s">
        <v>230</v>
      </c>
      <c r="R3" s="336" t="s">
        <v>394</v>
      </c>
    </row>
    <row r="4" spans="1:18" customFormat="1" x14ac:dyDescent="0.25">
      <c r="A4" s="328">
        <f>Base_Données!A6</f>
        <v>0</v>
      </c>
      <c r="B4" s="181">
        <f>Base_Données!B6</f>
        <v>0</v>
      </c>
      <c r="C4" s="158">
        <f>Base_Données!C6</f>
        <v>0</v>
      </c>
      <c r="D4" s="156">
        <f>Base_Données!Q6</f>
        <v>1219166</v>
      </c>
      <c r="E4" s="156">
        <f>Base_Données!BR6</f>
        <v>1134969</v>
      </c>
      <c r="F4" s="155">
        <f>Base_Données!R6</f>
        <v>1072210</v>
      </c>
      <c r="G4" s="154">
        <f>Base_Données!BS6</f>
        <v>1014935</v>
      </c>
      <c r="H4" s="155">
        <f>SIG!F4-SIG!G4</f>
        <v>57275</v>
      </c>
      <c r="I4" s="159">
        <f>Base_Données!BI6+Base_Données!BJ6-Base_Données!GC6-Base_Données!GD6</f>
        <v>4205</v>
      </c>
      <c r="J4" s="154">
        <f t="shared" ref="J4:J67" si="0">H4+(I4)</f>
        <v>61480</v>
      </c>
      <c r="K4" s="154">
        <f>Base_Données!BK6-Base_Données!GE6</f>
        <v>48721</v>
      </c>
      <c r="L4" s="159">
        <f t="shared" ref="L4:L67" si="1">D4-E4</f>
        <v>84197</v>
      </c>
      <c r="M4" s="158">
        <f>Base_Données!S6</f>
        <v>1033074</v>
      </c>
      <c r="N4" s="154">
        <f>Base_Données!T6-(Base_Données!BU6+Base_Données!BZ6+Base_Données!CC6)</f>
        <v>109891</v>
      </c>
      <c r="O4" s="154">
        <f>Base_Données!AC6+Base_Données!AL6+Base_Données!BD6-(Base_Données!CI6)</f>
        <v>472511</v>
      </c>
      <c r="P4" s="154">
        <f>L4+Base_Données!GJ6+Base_Données!GE6+Base_Données!GB6+Base_Données!FV6+Base_Données!FS6+Base_Données!FO6+Base_Données!FE6+Base_Données!DS6-(Base_Données!BK6+Base_Données!BH6+Base_Données!AU6)</f>
        <v>307142</v>
      </c>
      <c r="Q4" s="189">
        <f>P4+Base_Données!AV6-Base_Données!FE6-Base_Données!FO6</f>
        <v>92635</v>
      </c>
      <c r="R4" s="329">
        <f>SIG!Q4+Base_Données!BD6+Base_Données!BH6+Base_Données!BL6+Base_Données!BN6-Base_Données!GB6-Base_Données!GJ6-Base_Données!GF6-Base_Données!FV6</f>
        <v>54506</v>
      </c>
    </row>
    <row r="5" spans="1:18" customFormat="1" x14ac:dyDescent="0.25">
      <c r="A5" s="328">
        <f>Base_Données!A7</f>
        <v>0</v>
      </c>
      <c r="B5" s="181">
        <f>Base_Données!B7</f>
        <v>0</v>
      </c>
      <c r="C5" s="158">
        <f>Base_Données!C7</f>
        <v>0</v>
      </c>
      <c r="D5" s="156">
        <f>Base_Données!Q7</f>
        <v>1031192</v>
      </c>
      <c r="E5" s="156">
        <f>Base_Données!BR7</f>
        <v>987379</v>
      </c>
      <c r="F5" s="155">
        <f>Base_Données!R7</f>
        <v>1006757</v>
      </c>
      <c r="G5" s="154">
        <f>Base_Données!BS7</f>
        <v>974020</v>
      </c>
      <c r="H5" s="155">
        <f>SIG!F5-SIG!G5</f>
        <v>32737</v>
      </c>
      <c r="I5" s="159">
        <f>Base_Données!BI7+Base_Données!BJ7-Base_Données!GC7-Base_Données!GD7</f>
        <v>1916</v>
      </c>
      <c r="J5" s="154">
        <f t="shared" si="0"/>
        <v>34653</v>
      </c>
      <c r="K5" s="154">
        <f>Base_Données!BK7-Base_Données!GE7</f>
        <v>22424</v>
      </c>
      <c r="L5" s="159">
        <f t="shared" si="1"/>
        <v>43813</v>
      </c>
      <c r="M5" s="158">
        <f>Base_Données!S7</f>
        <v>970364</v>
      </c>
      <c r="N5" s="154">
        <f>Base_Données!T7-(Base_Données!BU7+Base_Données!BZ7+Base_Données!CC7)</f>
        <v>114653</v>
      </c>
      <c r="O5" s="154">
        <f>Base_Données!AC7+Base_Données!AL7+Base_Données!BD7-(Base_Données!CI7)</f>
        <v>434798</v>
      </c>
      <c r="P5" s="154">
        <f>L5+Base_Données!GJ7+Base_Données!GE7+Base_Données!GB7+Base_Données!FV7+Base_Données!FS7+Base_Données!FO7+Base_Données!FE7+Base_Données!DS7-(Base_Données!BK7+Base_Données!BH7+Base_Données!AU7)</f>
        <v>305433</v>
      </c>
      <c r="Q5" s="189">
        <f>P5+Base_Données!AV7-Base_Données!FE7-Base_Données!FO7</f>
        <v>65101</v>
      </c>
      <c r="R5" s="329">
        <f>SIG!Q5+Base_Données!BD7+Base_Données!BH7+Base_Données!BL7+Base_Données!BN7-Base_Données!GB7-Base_Données!GJ7-Base_Données!GF7-Base_Données!FV7</f>
        <v>39535</v>
      </c>
    </row>
    <row r="6" spans="1:18" customFormat="1" x14ac:dyDescent="0.25">
      <c r="A6" s="328">
        <f>Base_Données!A8</f>
        <v>0</v>
      </c>
      <c r="B6" s="181">
        <f>Base_Données!B8</f>
        <v>0</v>
      </c>
      <c r="C6" s="158">
        <f>Base_Données!C8</f>
        <v>0</v>
      </c>
      <c r="D6" s="156">
        <f>Base_Données!Q8</f>
        <v>292938</v>
      </c>
      <c r="E6" s="156">
        <f>Base_Données!BR8</f>
        <v>243352.77</v>
      </c>
      <c r="F6" s="155">
        <f>Base_Données!R8</f>
        <v>284330</v>
      </c>
      <c r="G6" s="154">
        <f>Base_Données!BS8</f>
        <v>243302.77</v>
      </c>
      <c r="H6" s="155">
        <f>SIG!F6-SIG!G6</f>
        <v>41027.23000000001</v>
      </c>
      <c r="I6" s="159">
        <f>Base_Données!BI8+Base_Données!BJ8-Base_Données!GC8-Base_Données!GD8</f>
        <v>476</v>
      </c>
      <c r="J6" s="154">
        <f t="shared" si="0"/>
        <v>41503.23000000001</v>
      </c>
      <c r="K6" s="154">
        <f>Base_Données!BK8-Base_Données!GE8</f>
        <v>8082</v>
      </c>
      <c r="L6" s="159">
        <f t="shared" si="1"/>
        <v>49585.23000000001</v>
      </c>
      <c r="M6" s="158">
        <f>Base_Données!S8</f>
        <v>249810</v>
      </c>
      <c r="N6" s="154">
        <f>Base_Données!T8-(Base_Données!BU8+Base_Données!BZ8+Base_Données!CC8)</f>
        <v>3170</v>
      </c>
      <c r="O6" s="154">
        <f>Base_Données!AC8+Base_Données!AL8+Base_Données!BD8-(Base_Données!CI8)</f>
        <v>138370</v>
      </c>
      <c r="P6" s="154">
        <f>L6+Base_Données!GJ8+Base_Données!GE8+Base_Données!GB8+Base_Données!FV8+Base_Données!FS8+Base_Données!FO8+Base_Données!FE8+Base_Données!DS8-(Base_Données!BK8+Base_Données!BH8+Base_Données!AU8)</f>
        <v>91460.23000000001</v>
      </c>
      <c r="Q6" s="189">
        <f>P6+Base_Données!AV8-Base_Données!FE8-Base_Données!FO8</f>
        <v>68409.23000000001</v>
      </c>
      <c r="R6" s="329">
        <f>SIG!Q6+Base_Données!BD8+Base_Données!BH8+Base_Données!BL8+Base_Données!BN8-Base_Données!GB8-Base_Données!GJ8-Base_Données!GF8-Base_Données!FV8</f>
        <v>72316.23000000001</v>
      </c>
    </row>
    <row r="7" spans="1:18" customFormat="1" x14ac:dyDescent="0.25">
      <c r="A7" s="328">
        <f>Base_Données!A9</f>
        <v>0</v>
      </c>
      <c r="B7" s="181">
        <f>Base_Données!B9</f>
        <v>0</v>
      </c>
      <c r="C7" s="158">
        <f>Base_Données!C9</f>
        <v>0</v>
      </c>
      <c r="D7" s="156">
        <f>Base_Données!Q9</f>
        <v>458448.06999999995</v>
      </c>
      <c r="E7" s="156">
        <f>Base_Données!BR9</f>
        <v>386719.18</v>
      </c>
      <c r="F7" s="155">
        <f>Base_Données!R9</f>
        <v>441817.69999999995</v>
      </c>
      <c r="G7" s="154">
        <f>Base_Données!BS9</f>
        <v>270711.61</v>
      </c>
      <c r="H7" s="155">
        <f>SIG!F7-SIG!G7</f>
        <v>171106.08999999997</v>
      </c>
      <c r="I7" s="159">
        <f>Base_Données!BI9+Base_Données!BJ9-Base_Données!GC9-Base_Données!GD9</f>
        <v>1214.0999999999999</v>
      </c>
      <c r="J7" s="154">
        <f t="shared" si="0"/>
        <v>172320.18999999997</v>
      </c>
      <c r="K7" s="154">
        <f>Base_Données!BK9-Base_Données!GE9</f>
        <v>-100591.3</v>
      </c>
      <c r="L7" s="159">
        <f t="shared" si="1"/>
        <v>71728.889999999956</v>
      </c>
      <c r="M7" s="158">
        <f>Base_Données!S9</f>
        <v>285799.14999999997</v>
      </c>
      <c r="N7" s="154">
        <f>Base_Données!T9-(Base_Données!BU9+Base_Données!BZ9+Base_Données!CC9)</f>
        <v>-1050.75</v>
      </c>
      <c r="O7" s="154">
        <f>Base_Données!AC9+Base_Données!AL9+Base_Données!BD9-(Base_Données!CI9)</f>
        <v>224494.12999999995</v>
      </c>
      <c r="P7" s="154">
        <f>L7+Base_Données!GJ9+Base_Données!GE9+Base_Données!GB9+Base_Données!FV9+Base_Données!FS9+Base_Données!FO9+Base_Données!FE9+Base_Données!DS9-(Base_Données!BK9+Base_Données!BH9+Base_Données!AU9)</f>
        <v>103826.00999999995</v>
      </c>
      <c r="Q7" s="189">
        <f>P7+Base_Données!AV9-Base_Données!FE9-Base_Données!FO9</f>
        <v>134324.61999999997</v>
      </c>
      <c r="R7" s="329">
        <f>SIG!Q7+Base_Données!BD9+Base_Données!BH9+Base_Données!BL9+Base_Données!BN9-Base_Données!GB9-Base_Données!GJ9-Base_Données!GF9-Base_Données!FV9</f>
        <v>97044.569999999963</v>
      </c>
    </row>
    <row r="8" spans="1:18" customFormat="1" x14ac:dyDescent="0.25">
      <c r="A8" s="328">
        <f>Base_Données!A10</f>
        <v>0</v>
      </c>
      <c r="B8" s="181">
        <f>Base_Données!B10</f>
        <v>0</v>
      </c>
      <c r="C8" s="158">
        <f>Base_Données!C10</f>
        <v>0</v>
      </c>
      <c r="D8" s="156">
        <f>Base_Données!Q10</f>
        <v>312433</v>
      </c>
      <c r="E8" s="156">
        <f>Base_Données!BR10</f>
        <v>307552</v>
      </c>
      <c r="F8" s="155">
        <f>Base_Données!R10</f>
        <v>298076</v>
      </c>
      <c r="G8" s="154">
        <f>Base_Données!BS10</f>
        <v>307552</v>
      </c>
      <c r="H8" s="155">
        <f>SIG!F8-SIG!G8</f>
        <v>-9476</v>
      </c>
      <c r="I8" s="159">
        <f>Base_Données!BI10+Base_Données!BJ10-Base_Données!GC10-Base_Données!GD10</f>
        <v>499</v>
      </c>
      <c r="J8" s="154">
        <f t="shared" si="0"/>
        <v>-8977</v>
      </c>
      <c r="K8" s="154">
        <f>Base_Données!BK10-Base_Données!GE10</f>
        <v>13858</v>
      </c>
      <c r="L8" s="159">
        <f t="shared" si="1"/>
        <v>4881</v>
      </c>
      <c r="M8" s="158">
        <f>Base_Données!S10</f>
        <v>151643</v>
      </c>
      <c r="N8" s="154">
        <f>Base_Données!T10-(Base_Données!BU10+Base_Données!BZ10+Base_Données!CC10)</f>
        <v>5874</v>
      </c>
      <c r="O8" s="154">
        <f>Base_Données!AC10+Base_Données!AL10+Base_Données!BD10-(Base_Données!CI10)</f>
        <v>-2213</v>
      </c>
      <c r="P8" s="154">
        <f>L8+Base_Données!GJ10+Base_Données!GE10+Base_Données!GB10+Base_Données!FV10+Base_Données!FS10+Base_Données!FO10+Base_Données!FE10+Base_Données!DS10-(Base_Données!BK10+Base_Données!BH10+Base_Données!AU10)</f>
        <v>-349</v>
      </c>
      <c r="Q8" s="189">
        <f>P8+Base_Données!AV10-Base_Données!FE10-Base_Données!FO10</f>
        <v>-1565</v>
      </c>
      <c r="R8" s="329">
        <f>SIG!Q8+Base_Données!BD10+Base_Données!BH10+Base_Données!BL10+Base_Données!BN10-Base_Données!GB10-Base_Données!GJ10-Base_Données!GF10-Base_Données!FV10</f>
        <v>427</v>
      </c>
    </row>
    <row r="9" spans="1:18" customFormat="1" ht="14.45" customHeight="1" x14ac:dyDescent="0.25">
      <c r="A9" s="328">
        <f>Base_Données!A11</f>
        <v>0</v>
      </c>
      <c r="B9" s="181">
        <f>Base_Données!B11</f>
        <v>0</v>
      </c>
      <c r="C9" s="158">
        <f>Base_Données!C11</f>
        <v>0</v>
      </c>
      <c r="D9" s="156">
        <f>Base_Données!Q11</f>
        <v>1138267.7550000001</v>
      </c>
      <c r="E9" s="156">
        <f>Base_Données!BR11</f>
        <v>982409.6100000001</v>
      </c>
      <c r="F9" s="155">
        <f>Base_Données!R11</f>
        <v>1047990.2550000001</v>
      </c>
      <c r="G9" s="154">
        <f>Base_Données!BS11</f>
        <v>978370.1100000001</v>
      </c>
      <c r="H9" s="155">
        <f>SIG!F9-SIG!G9</f>
        <v>69620.145000000019</v>
      </c>
      <c r="I9" s="159">
        <f>Base_Données!BI11+Base_Données!BJ11-Base_Données!GC11-Base_Données!GD11</f>
        <v>-391.5</v>
      </c>
      <c r="J9" s="154">
        <f t="shared" si="0"/>
        <v>69228.645000000019</v>
      </c>
      <c r="K9" s="154">
        <f>Base_Données!BK11-Base_Données!GE11</f>
        <v>88837</v>
      </c>
      <c r="L9" s="159">
        <f t="shared" si="1"/>
        <v>155858.14500000002</v>
      </c>
      <c r="M9" s="158">
        <f>Base_Données!S11</f>
        <v>1017884.4250000002</v>
      </c>
      <c r="N9" s="154">
        <f>Base_Données!T11-(Base_Données!BU11+Base_Données!BZ11+Base_Données!CC11)</f>
        <v>36177.010000000009</v>
      </c>
      <c r="O9" s="154">
        <f>Base_Données!AC11+Base_Données!AL11+Base_Données!BD11-(Base_Données!CI11)</f>
        <v>566489.69500000018</v>
      </c>
      <c r="P9" s="154">
        <f>L9+Base_Données!GJ11+Base_Données!GE11+Base_Données!GB11+Base_Données!FV11+Base_Données!FS11+Base_Données!FO11+Base_Données!FE11+Base_Données!DS11-(Base_Données!BK11+Base_Données!BH11+Base_Données!AU11)</f>
        <v>275797.22500000003</v>
      </c>
      <c r="Q9" s="189">
        <f>P9+Base_Données!AV11-Base_Données!FE11-Base_Données!FO11</f>
        <v>109288.14500000002</v>
      </c>
      <c r="R9" s="329">
        <f>SIG!Q9+Base_Données!BD11+Base_Données!BH11+Base_Données!BL11+Base_Données!BN11-Base_Données!GB11-Base_Données!GJ11-Base_Données!GF11-Base_Données!FV11</f>
        <v>115144.89500000002</v>
      </c>
    </row>
    <row r="10" spans="1:18" customFormat="1" x14ac:dyDescent="0.25">
      <c r="A10" s="328">
        <f>Base_Données!A12</f>
        <v>0</v>
      </c>
      <c r="B10" s="181">
        <f>Base_Données!B12</f>
        <v>0</v>
      </c>
      <c r="C10" s="158">
        <f>Base_Données!C12</f>
        <v>0</v>
      </c>
      <c r="D10" s="156">
        <f>Base_Données!Q12</f>
        <v>1158768.0049999999</v>
      </c>
      <c r="E10" s="156">
        <f>Base_Données!BR12</f>
        <v>1007607.82</v>
      </c>
      <c r="F10" s="155">
        <f>Base_Données!R12</f>
        <v>1076814.27</v>
      </c>
      <c r="G10" s="154">
        <f>Base_Données!BS12</f>
        <v>996645.85499999998</v>
      </c>
      <c r="H10" s="155">
        <f>SIG!F10-SIG!G10</f>
        <v>80168.415000000037</v>
      </c>
      <c r="I10" s="159">
        <f>Base_Données!BI12+Base_Données!BJ12-Base_Données!GC12-Base_Données!GD12</f>
        <v>301.29500000000002</v>
      </c>
      <c r="J10" s="154">
        <f t="shared" si="0"/>
        <v>80469.710000000036</v>
      </c>
      <c r="K10" s="154">
        <f>Base_Données!BK12-Base_Données!GE12</f>
        <v>77965.974999999991</v>
      </c>
      <c r="L10" s="159">
        <f t="shared" si="1"/>
        <v>151160.18499999994</v>
      </c>
      <c r="M10" s="158">
        <f>Base_Données!S12</f>
        <v>1047014.2999999999</v>
      </c>
      <c r="N10" s="154">
        <f>Base_Données!T12-(Base_Données!BU12+Base_Données!BZ12+Base_Données!CC12)</f>
        <v>47668.889999999985</v>
      </c>
      <c r="O10" s="154">
        <f>Base_Données!AC12+Base_Données!AL12+Base_Données!BD12-(Base_Données!CI12)</f>
        <v>594835.77999999991</v>
      </c>
      <c r="P10" s="154">
        <f>L10+Base_Données!GJ12+Base_Données!GE12+Base_Données!GB12+Base_Données!FV12+Base_Données!FS12+Base_Données!FO12+Base_Données!FE12+Base_Données!DS12-(Base_Données!BK12+Base_Données!BH12+Base_Données!AU12)</f>
        <v>272967.54999999993</v>
      </c>
      <c r="Q10" s="189">
        <f>P10+Base_Données!AV12-Base_Données!FE12-Base_Données!FO12</f>
        <v>112077.06999999998</v>
      </c>
      <c r="R10" s="329">
        <f>SIG!Q10+Base_Données!BD12+Base_Données!BH12+Base_Données!BL12+Base_Données!BN12-Base_Données!GB12-Base_Données!GJ12-Base_Données!GF12-Base_Données!FV12</f>
        <v>112053.19999999994</v>
      </c>
    </row>
    <row r="11" spans="1:18" customFormat="1" x14ac:dyDescent="0.25">
      <c r="A11" s="328">
        <f>Base_Données!A13</f>
        <v>0</v>
      </c>
      <c r="B11" s="181">
        <f>Base_Données!B13</f>
        <v>0</v>
      </c>
      <c r="C11" s="158">
        <f>Base_Données!C13</f>
        <v>0</v>
      </c>
      <c r="D11" s="156">
        <f>Base_Données!Q13</f>
        <v>1060375</v>
      </c>
      <c r="E11" s="156">
        <f>Base_Données!BR13</f>
        <v>996596</v>
      </c>
      <c r="F11" s="155">
        <f>Base_Données!R13</f>
        <v>1057253</v>
      </c>
      <c r="G11" s="154">
        <f>Base_Données!BS13</f>
        <v>991474</v>
      </c>
      <c r="H11" s="155">
        <f>SIG!F11-SIG!G11</f>
        <v>65779</v>
      </c>
      <c r="I11" s="159">
        <f>Base_Données!BI13+Base_Données!BJ13-Base_Données!GC13-Base_Données!GD13</f>
        <v>-445</v>
      </c>
      <c r="J11" s="154">
        <f t="shared" si="0"/>
        <v>65334</v>
      </c>
      <c r="K11" s="154">
        <f>Base_Données!BK13-Base_Données!GE13</f>
        <v>-1555</v>
      </c>
      <c r="L11" s="159">
        <f t="shared" si="1"/>
        <v>63779</v>
      </c>
      <c r="M11" s="158">
        <f>Base_Données!S13</f>
        <v>1052778</v>
      </c>
      <c r="N11" s="154">
        <f>Base_Données!T13-(Base_Données!BU13+Base_Données!BZ13+Base_Données!CC13)</f>
        <v>94392</v>
      </c>
      <c r="O11" s="154">
        <f>Base_Données!AC13+Base_Données!AL13+Base_Données!BD13-(Base_Données!CI13)</f>
        <v>527822</v>
      </c>
      <c r="P11" s="154">
        <f>L11+Base_Données!GJ13+Base_Données!GE13+Base_Données!GB13+Base_Données!FV13+Base_Données!FS13+Base_Données!FO13+Base_Données!FE13+Base_Données!DS13-(Base_Données!BK13+Base_Données!BH13+Base_Données!AU13)</f>
        <v>422452</v>
      </c>
      <c r="Q11" s="189">
        <f>P11+Base_Données!AV13-Base_Données!FE13-Base_Données!FO13</f>
        <v>101333</v>
      </c>
      <c r="R11" s="329">
        <f>SIG!Q11+Base_Données!BD13+Base_Données!BH13+Base_Données!BL13+Base_Données!BN13-Base_Données!GB13-Base_Données!GJ13-Base_Données!GF13-Base_Données!FV13</f>
        <v>83970</v>
      </c>
    </row>
    <row r="12" spans="1:18" customFormat="1" x14ac:dyDescent="0.25">
      <c r="A12" s="328">
        <f>Base_Données!A14</f>
        <v>0</v>
      </c>
      <c r="B12" s="181">
        <f>Base_Données!B14</f>
        <v>0</v>
      </c>
      <c r="C12" s="158">
        <f>Base_Données!C14</f>
        <v>0</v>
      </c>
      <c r="D12" s="156">
        <f>Base_Données!Q14</f>
        <v>400462.08999999997</v>
      </c>
      <c r="E12" s="156">
        <f>Base_Données!BR14</f>
        <v>359858.79000000004</v>
      </c>
      <c r="F12" s="155">
        <f>Base_Données!R14</f>
        <v>378610.37</v>
      </c>
      <c r="G12" s="154">
        <f>Base_Données!BS14</f>
        <v>356578.65</v>
      </c>
      <c r="H12" s="155">
        <f>SIG!F12-SIG!G12</f>
        <v>22031.719999999972</v>
      </c>
      <c r="I12" s="159">
        <f>Base_Données!BI14+Base_Données!BJ14-Base_Données!GC14-Base_Données!GD14</f>
        <v>-3261.5299999999997</v>
      </c>
      <c r="J12" s="154">
        <f t="shared" si="0"/>
        <v>18770.189999999973</v>
      </c>
      <c r="K12" s="154">
        <f>Base_Données!BK14-Base_Données!GE14</f>
        <v>21833.11</v>
      </c>
      <c r="L12" s="159">
        <f t="shared" si="1"/>
        <v>40603.29999999993</v>
      </c>
      <c r="M12" s="158">
        <f>Base_Données!S14</f>
        <v>351485.05</v>
      </c>
      <c r="N12" s="154">
        <f>Base_Données!T14-(Base_Données!BU14+Base_Données!BZ14+Base_Données!CC14)</f>
        <v>25513.239999999994</v>
      </c>
      <c r="O12" s="154">
        <f>Base_Données!AC14+Base_Données!AL14+Base_Données!BD14-(Base_Données!CI14)</f>
        <v>193073.39999999997</v>
      </c>
      <c r="P12" s="154">
        <f>L12+Base_Données!GJ14+Base_Données!GE14+Base_Données!GB14+Base_Données!FV14+Base_Données!FS14+Base_Données!FO14+Base_Données!FE14+Base_Données!DS14-(Base_Données!BK14+Base_Données!BH14+Base_Données!AU14)</f>
        <v>128413.83999999994</v>
      </c>
      <c r="Q12" s="189">
        <f>P12+Base_Données!AV14-Base_Données!FE14-Base_Données!FO14</f>
        <v>43439.379999999932</v>
      </c>
      <c r="R12" s="329">
        <f>SIG!Q12+Base_Données!BD14+Base_Données!BH14+Base_Données!BL14+Base_Données!BN14-Base_Données!GB14-Base_Données!GJ14-Base_Données!GF14-Base_Données!FV14</f>
        <v>55046.519999999931</v>
      </c>
    </row>
    <row r="13" spans="1:18" customFormat="1" x14ac:dyDescent="0.25">
      <c r="A13" s="328">
        <f>Base_Données!A15</f>
        <v>0</v>
      </c>
      <c r="B13" s="181">
        <f>Base_Données!B15</f>
        <v>0</v>
      </c>
      <c r="C13" s="158">
        <f>Base_Données!C15</f>
        <v>0</v>
      </c>
      <c r="D13" s="156">
        <f>Base_Données!Q15</f>
        <v>412547.23</v>
      </c>
      <c r="E13" s="156">
        <f>Base_Données!BR15</f>
        <v>368187.49999999994</v>
      </c>
      <c r="F13" s="155">
        <f>Base_Données!R15</f>
        <v>396733.48</v>
      </c>
      <c r="G13" s="154">
        <f>Base_Données!BS15</f>
        <v>365935.43999999994</v>
      </c>
      <c r="H13" s="155">
        <f>SIG!F13-SIG!G13</f>
        <v>30798.040000000037</v>
      </c>
      <c r="I13" s="159">
        <f>Base_Données!BI15+Base_Données!BJ15-Base_Données!GC15-Base_Données!GD15</f>
        <v>-2249.4299999999998</v>
      </c>
      <c r="J13" s="154">
        <f t="shared" si="0"/>
        <v>28548.610000000037</v>
      </c>
      <c r="K13" s="154">
        <f>Base_Données!BK15-Base_Données!GE15</f>
        <v>15811.119999999999</v>
      </c>
      <c r="L13" s="159">
        <f t="shared" si="1"/>
        <v>44359.73000000004</v>
      </c>
      <c r="M13" s="158">
        <f>Base_Données!S15</f>
        <v>372297.51999999996</v>
      </c>
      <c r="N13" s="154">
        <f>Base_Données!T15-(Base_Données!BU15+Base_Données!BZ15+Base_Données!CC15)</f>
        <v>24945.46</v>
      </c>
      <c r="O13" s="154">
        <f>Base_Données!AC15+Base_Données!AL15+Base_Données!BD15-(Base_Données!CI15)</f>
        <v>200251.83000000002</v>
      </c>
      <c r="P13" s="154">
        <f>L13+Base_Données!GJ15+Base_Données!GE15+Base_Données!GB15+Base_Données!FV15+Base_Données!FS15+Base_Données!FO15+Base_Données!FE15+Base_Données!DS15-(Base_Données!BK15+Base_Données!BH15+Base_Données!AU15)</f>
        <v>155294.48000000007</v>
      </c>
      <c r="Q13" s="189">
        <f>P13+Base_Données!AV15-Base_Données!FE15-Base_Données!FO15</f>
        <v>51753.840000000055</v>
      </c>
      <c r="R13" s="329">
        <f>SIG!Q13+Base_Données!BD15+Base_Données!BH15+Base_Données!BL15+Base_Données!BN15-Base_Données!GB15-Base_Données!GJ15-Base_Données!GF15-Base_Données!FV15</f>
        <v>64467.480000000054</v>
      </c>
    </row>
    <row r="14" spans="1:18" customFormat="1" x14ac:dyDescent="0.25">
      <c r="A14" s="328">
        <f>Base_Données!A16</f>
        <v>0</v>
      </c>
      <c r="B14" s="181">
        <f>Base_Données!B16</f>
        <v>0</v>
      </c>
      <c r="C14" s="158">
        <f>Base_Données!C16</f>
        <v>0</v>
      </c>
      <c r="D14" s="156">
        <f>Base_Données!Q16</f>
        <v>1299974</v>
      </c>
      <c r="E14" s="156">
        <f>Base_Données!BR16</f>
        <v>1151776.81</v>
      </c>
      <c r="F14" s="155">
        <f>Base_Données!R16</f>
        <v>1275552</v>
      </c>
      <c r="G14" s="154">
        <f>Base_Données!BS16</f>
        <v>1144506.81</v>
      </c>
      <c r="H14" s="155">
        <f>SIG!F14-SIG!G14</f>
        <v>131045.18999999994</v>
      </c>
      <c r="I14" s="159">
        <f>Base_Données!BI16+Base_Données!BJ16-Base_Données!GC16-Base_Données!GD16</f>
        <v>-6020</v>
      </c>
      <c r="J14" s="154">
        <f t="shared" si="0"/>
        <v>125025.18999999994</v>
      </c>
      <c r="K14" s="154">
        <f>Base_Données!BK16-Base_Données!GE16</f>
        <v>23172</v>
      </c>
      <c r="L14" s="159">
        <f t="shared" si="1"/>
        <v>148197.18999999994</v>
      </c>
      <c r="M14" s="158">
        <f>Base_Données!S16</f>
        <v>1158225</v>
      </c>
      <c r="N14" s="154">
        <f>Base_Données!T16-(Base_Données!BU16+Base_Données!BZ16+Base_Données!CC16)</f>
        <v>86094.49</v>
      </c>
      <c r="O14" s="154">
        <f>Base_Données!AC16+Base_Données!AL16+Base_Données!BD16-(Base_Données!CI16)</f>
        <v>670637</v>
      </c>
      <c r="P14" s="154">
        <f>L14+Base_Données!GJ16+Base_Données!GE16+Base_Données!GB16+Base_Données!FV16+Base_Données!FS16+Base_Données!FO16+Base_Données!FE16+Base_Données!DS16-(Base_Données!BK16+Base_Données!BH16+Base_Données!AU16)</f>
        <v>448817.58999999997</v>
      </c>
      <c r="Q14" s="189">
        <f>P14+Base_Données!AV16-Base_Données!FE16-Base_Données!FO16</f>
        <v>194528.88999999996</v>
      </c>
      <c r="R14" s="329">
        <f>SIG!Q14+Base_Données!BD16+Base_Données!BH16+Base_Données!BL16+Base_Données!BN16-Base_Données!GB16-Base_Données!GJ16-Base_Données!GF16-Base_Données!FV16</f>
        <v>190106.88999999996</v>
      </c>
    </row>
    <row r="15" spans="1:18" customFormat="1" x14ac:dyDescent="0.25">
      <c r="A15" s="328">
        <f>Base_Données!A17</f>
        <v>0</v>
      </c>
      <c r="B15" s="181">
        <f>Base_Données!B17</f>
        <v>0</v>
      </c>
      <c r="C15" s="158">
        <f>Base_Données!C17</f>
        <v>0</v>
      </c>
      <c r="D15" s="156">
        <f>Base_Données!Q17</f>
        <v>261300.23999999996</v>
      </c>
      <c r="E15" s="156">
        <f>Base_Données!BR17</f>
        <v>270538.62000000005</v>
      </c>
      <c r="F15" s="155">
        <f>Base_Données!R17</f>
        <v>241724.88999999996</v>
      </c>
      <c r="G15" s="154">
        <f>Base_Données!BS17</f>
        <v>268745.62000000005</v>
      </c>
      <c r="H15" s="155">
        <f>SIG!F15-SIG!G15</f>
        <v>-27020.730000000098</v>
      </c>
      <c r="I15" s="159">
        <f>Base_Données!BI17+Base_Données!BJ17-Base_Données!GC17-Base_Données!GD17</f>
        <v>490</v>
      </c>
      <c r="J15" s="154">
        <f t="shared" si="0"/>
        <v>-26530.730000000098</v>
      </c>
      <c r="K15" s="154">
        <f>Base_Données!BK17-Base_Données!GE17</f>
        <v>17292.349999999999</v>
      </c>
      <c r="L15" s="159">
        <f t="shared" si="1"/>
        <v>-9238.380000000092</v>
      </c>
      <c r="M15" s="158">
        <f>Base_Données!S17</f>
        <v>221428.45999999996</v>
      </c>
      <c r="N15" s="154">
        <f>Base_Données!T17-(Base_Données!BU17+Base_Données!BZ17+Base_Données!CC17)</f>
        <v>5747.3400000000011</v>
      </c>
      <c r="O15" s="154">
        <f>Base_Données!AC17+Base_Données!AL17+Base_Données!BD17-(Base_Données!CI17)</f>
        <v>124858.09</v>
      </c>
      <c r="P15" s="154">
        <f>L15+Base_Données!GJ17+Base_Données!GE17+Base_Données!GB17+Base_Données!FV17+Base_Données!FS17+Base_Données!FO17+Base_Données!FE17+Base_Données!DS17-(Base_Données!BK17+Base_Données!BH17+Base_Données!AU17)</f>
        <v>66019.759999999922</v>
      </c>
      <c r="Q15" s="189">
        <f>P15+Base_Données!AV17-Base_Données!FE17-Base_Données!FO17</f>
        <v>-7408.2300000000832</v>
      </c>
      <c r="R15" s="329">
        <f>SIG!Q15+Base_Données!BD17+Base_Données!BH17+Base_Données!BL17+Base_Données!BN17-Base_Données!GB17-Base_Données!GJ17-Base_Données!GF17-Base_Données!FV17</f>
        <v>-10637.780000000083</v>
      </c>
    </row>
    <row r="16" spans="1:18" customFormat="1" x14ac:dyDescent="0.25">
      <c r="A16" s="328">
        <f>Base_Données!A18</f>
        <v>0</v>
      </c>
      <c r="B16" s="181">
        <f>Base_Données!B18</f>
        <v>0</v>
      </c>
      <c r="C16" s="158">
        <f>Base_Données!C18</f>
        <v>0</v>
      </c>
      <c r="D16" s="156">
        <f>Base_Données!Q18</f>
        <v>528750.12</v>
      </c>
      <c r="E16" s="156">
        <f>Base_Données!BR18</f>
        <v>583632.84000000008</v>
      </c>
      <c r="F16" s="155">
        <f>Base_Données!R18</f>
        <v>484793.12</v>
      </c>
      <c r="G16" s="154">
        <f>Base_Données!BS18</f>
        <v>583586.84000000008</v>
      </c>
      <c r="H16" s="155">
        <f>SIG!F16-SIG!G16</f>
        <v>-98793.720000000088</v>
      </c>
      <c r="I16" s="159">
        <f>Base_Données!BI18+Base_Données!BJ18-Base_Données!GC18-Base_Données!GD18</f>
        <v>32</v>
      </c>
      <c r="J16" s="154">
        <f t="shared" si="0"/>
        <v>-98761.720000000088</v>
      </c>
      <c r="K16" s="154">
        <f>Base_Données!BK18-Base_Données!GE18</f>
        <v>43879</v>
      </c>
      <c r="L16" s="159">
        <f t="shared" si="1"/>
        <v>-54882.720000000088</v>
      </c>
      <c r="M16" s="158">
        <f>Base_Données!S18</f>
        <v>440818.12</v>
      </c>
      <c r="N16" s="154">
        <f>Base_Données!T18-(Base_Données!BU18+Base_Données!BZ18+Base_Données!CC18)</f>
        <v>14412.280000000002</v>
      </c>
      <c r="O16" s="154">
        <f>Base_Données!AC18+Base_Données!AL18+Base_Données!BD18-(Base_Données!CI18)</f>
        <v>206846</v>
      </c>
      <c r="P16" s="154">
        <f>L16+Base_Données!GJ18+Base_Données!GE18+Base_Données!GB18+Base_Données!FV18+Base_Données!FS18+Base_Données!FO18+Base_Données!FE18+Base_Données!DS18-(Base_Données!BK18+Base_Données!BH18+Base_Données!AU18)</f>
        <v>37573.279999999912</v>
      </c>
      <c r="Q16" s="189">
        <f>P16+Base_Données!AV18-Base_Données!FE18-Base_Données!FO18</f>
        <v>-56994.720000000088</v>
      </c>
      <c r="R16" s="329">
        <f>SIG!Q16+Base_Données!BD18+Base_Données!BH18+Base_Données!BL18+Base_Données!BN18-Base_Données!GB18-Base_Données!GJ18-Base_Données!GF18-Base_Données!FV18</f>
        <v>-62201.720000000088</v>
      </c>
    </row>
    <row r="17" spans="1:18" customFormat="1" x14ac:dyDescent="0.25">
      <c r="A17" s="328">
        <f>Base_Données!A19</f>
        <v>0</v>
      </c>
      <c r="B17" s="181">
        <f>Base_Données!B19</f>
        <v>0</v>
      </c>
      <c r="C17" s="158">
        <f>Base_Données!C19</f>
        <v>0</v>
      </c>
      <c r="D17" s="156">
        <f>Base_Données!Q19</f>
        <v>565217.96</v>
      </c>
      <c r="E17" s="156">
        <f>Base_Données!BR19</f>
        <v>549467.80000000005</v>
      </c>
      <c r="F17" s="155">
        <f>Base_Données!R19</f>
        <v>531224.96</v>
      </c>
      <c r="G17" s="154">
        <f>Base_Données!BS19</f>
        <v>549356.80000000005</v>
      </c>
      <c r="H17" s="155">
        <f>SIG!F17-SIG!G17</f>
        <v>-18131.840000000084</v>
      </c>
      <c r="I17" s="159">
        <f>Base_Données!BI19+Base_Données!BJ19-Base_Données!GC19-Base_Données!GD19</f>
        <v>-31</v>
      </c>
      <c r="J17" s="154">
        <f t="shared" si="0"/>
        <v>-18162.840000000084</v>
      </c>
      <c r="K17" s="154">
        <f>Base_Données!BK19-Base_Données!GE19</f>
        <v>33913</v>
      </c>
      <c r="L17" s="159">
        <f t="shared" si="1"/>
        <v>15750.159999999916</v>
      </c>
      <c r="M17" s="158">
        <f>Base_Données!S19</f>
        <v>476319.96</v>
      </c>
      <c r="N17" s="154">
        <f>Base_Données!T19-(Base_Données!BU19+Base_Données!BZ19+Base_Données!CC19)</f>
        <v>23557.35</v>
      </c>
      <c r="O17" s="154">
        <f>Base_Données!AC19+Base_Données!AL19+Base_Données!BD19-(Base_Données!CI19)</f>
        <v>249491.96000000002</v>
      </c>
      <c r="P17" s="154">
        <f>L17+Base_Données!GJ19+Base_Données!GE19+Base_Données!GB19+Base_Données!FV19+Base_Données!FS19+Base_Données!FO19+Base_Données!FE19+Base_Données!DS19-(Base_Données!BK19+Base_Données!BH19+Base_Données!AU19)</f>
        <v>107408.15999999992</v>
      </c>
      <c r="Q17" s="189">
        <f>P17+Base_Données!AV19-Base_Données!FE19-Base_Données!FO19</f>
        <v>25793.159999999916</v>
      </c>
      <c r="R17" s="329">
        <f>SIG!Q17+Base_Données!BD19+Base_Données!BH19+Base_Données!BL19+Base_Données!BN19-Base_Données!GB19-Base_Données!GJ19-Base_Données!GF19-Base_Données!FV19</f>
        <v>20361.159999999916</v>
      </c>
    </row>
    <row r="18" spans="1:18" customFormat="1" x14ac:dyDescent="0.25">
      <c r="A18" s="328">
        <f>Base_Données!A20</f>
        <v>0</v>
      </c>
      <c r="B18" s="181">
        <f>Base_Données!B20</f>
        <v>0</v>
      </c>
      <c r="C18" s="158">
        <f>Base_Données!C20</f>
        <v>0</v>
      </c>
      <c r="D18" s="156">
        <f>Base_Données!Q20</f>
        <v>680176</v>
      </c>
      <c r="E18" s="156">
        <f>Base_Données!BR20</f>
        <v>654463</v>
      </c>
      <c r="F18" s="155">
        <f>Base_Données!R20</f>
        <v>658836</v>
      </c>
      <c r="G18" s="154">
        <f>Base_Données!BS20</f>
        <v>648402</v>
      </c>
      <c r="H18" s="155">
        <f>SIG!F18-SIG!G18</f>
        <v>10434</v>
      </c>
      <c r="I18" s="159">
        <f>Base_Données!BI20+Base_Données!BJ20-Base_Données!GC20-Base_Données!GD20</f>
        <v>-12353</v>
      </c>
      <c r="J18" s="154">
        <f t="shared" si="0"/>
        <v>-1919</v>
      </c>
      <c r="K18" s="154">
        <f>Base_Données!BK20-Base_Données!GE20</f>
        <v>18655</v>
      </c>
      <c r="L18" s="159">
        <f t="shared" si="1"/>
        <v>25713</v>
      </c>
      <c r="M18" s="158">
        <f>Base_Données!S20</f>
        <v>623938</v>
      </c>
      <c r="N18" s="154">
        <f>Base_Données!T20-(Base_Données!BU20+Base_Données!BZ20+Base_Données!CC20)</f>
        <v>56504</v>
      </c>
      <c r="O18" s="154">
        <f>Base_Données!AC20+Base_Données!AL20+Base_Données!BD20-(Base_Données!CI20)</f>
        <v>342394</v>
      </c>
      <c r="P18" s="154">
        <f>L18+Base_Données!GJ20+Base_Données!GE20+Base_Données!GB20+Base_Données!FV20+Base_Données!FS20+Base_Données!FO20+Base_Données!FE20+Base_Données!DS20-(Base_Données!BK20+Base_Données!BH20+Base_Données!AU20)</f>
        <v>231953</v>
      </c>
      <c r="Q18" s="189">
        <f>P18+Base_Données!AV20-Base_Données!FE20-Base_Données!FO20</f>
        <v>29609</v>
      </c>
      <c r="R18" s="329">
        <f>SIG!Q18+Base_Données!BD20+Base_Données!BH20+Base_Données!BL20+Base_Données!BN20-Base_Données!GB20-Base_Données!GJ20-Base_Données!GF20-Base_Données!FV20</f>
        <v>42056</v>
      </c>
    </row>
    <row r="19" spans="1:18" customFormat="1" x14ac:dyDescent="0.25">
      <c r="A19" s="328">
        <f>Base_Données!A21</f>
        <v>0</v>
      </c>
      <c r="B19" s="181">
        <f>Base_Données!B21</f>
        <v>0</v>
      </c>
      <c r="C19" s="158">
        <f>Base_Données!C21</f>
        <v>0</v>
      </c>
      <c r="D19" s="156">
        <f>Base_Données!Q21</f>
        <v>949576.39999999991</v>
      </c>
      <c r="E19" s="156">
        <f>Base_Données!BR21</f>
        <v>806769.87</v>
      </c>
      <c r="F19" s="155">
        <f>Base_Données!R21</f>
        <v>899396.89999999991</v>
      </c>
      <c r="G19" s="154">
        <f>Base_Données!BS21</f>
        <v>802901.26</v>
      </c>
      <c r="H19" s="155">
        <f>SIG!F19-SIG!G19</f>
        <v>96495.639999999898</v>
      </c>
      <c r="I19" s="159">
        <f>Base_Données!BI21+Base_Données!BJ21-Base_Données!GC21-Base_Données!GD21</f>
        <v>-237.5</v>
      </c>
      <c r="J19" s="154">
        <f t="shared" si="0"/>
        <v>96258.139999999898</v>
      </c>
      <c r="K19" s="154">
        <f>Base_Données!BK21-Base_Données!GE21</f>
        <v>48755.89</v>
      </c>
      <c r="L19" s="159">
        <f t="shared" si="1"/>
        <v>142806.52999999991</v>
      </c>
      <c r="M19" s="158">
        <f>Base_Données!S21</f>
        <v>874592.54999999993</v>
      </c>
      <c r="N19" s="154">
        <f>Base_Données!T21-(Base_Données!BU21+Base_Données!BZ21+Base_Données!CC21)</f>
        <v>52655.119999999995</v>
      </c>
      <c r="O19" s="154">
        <f>Base_Données!AC21+Base_Données!AL21+Base_Données!BD21-(Base_Données!CI21)</f>
        <v>517184.6</v>
      </c>
      <c r="P19" s="154">
        <f>L19+Base_Données!GJ21+Base_Données!GE21+Base_Données!GB21+Base_Données!FV21+Base_Données!FS21+Base_Données!FO21+Base_Données!FE21+Base_Données!DS21-(Base_Données!BK21+Base_Données!BH21+Base_Données!AU21)</f>
        <v>299760.60999999987</v>
      </c>
      <c r="Q19" s="189">
        <f>P19+Base_Données!AV21-Base_Données!FE21-Base_Données!FO21</f>
        <v>127823.66999999987</v>
      </c>
      <c r="R19" s="329">
        <f>SIG!Q19+Base_Données!BD21+Base_Données!BH21+Base_Données!BL21+Base_Données!BN21-Base_Données!GB21-Base_Données!GJ21-Base_Données!GF21-Base_Données!FV21</f>
        <v>130988.47999999986</v>
      </c>
    </row>
    <row r="20" spans="1:18" customFormat="1" x14ac:dyDescent="0.25">
      <c r="A20" s="328">
        <f>Base_Données!A22</f>
        <v>0</v>
      </c>
      <c r="B20" s="181">
        <f>Base_Données!B22</f>
        <v>0</v>
      </c>
      <c r="C20" s="158">
        <f>Base_Données!C22</f>
        <v>0</v>
      </c>
      <c r="D20" s="156">
        <f>Base_Données!Q22</f>
        <v>944330.90499999991</v>
      </c>
      <c r="E20" s="156">
        <f>Base_Données!BR22</f>
        <v>851417.11</v>
      </c>
      <c r="F20" s="155">
        <f>Base_Données!R22</f>
        <v>894337.91999999993</v>
      </c>
      <c r="G20" s="154">
        <f>Base_Données!BS22</f>
        <v>843727.91499999992</v>
      </c>
      <c r="H20" s="155">
        <f>SIG!F20-SIG!G20</f>
        <v>50610.005000000005</v>
      </c>
      <c r="I20" s="159">
        <f>Base_Données!BI22+Base_Données!BJ22-Base_Données!GC22-Base_Données!GD22</f>
        <v>191.09500000000003</v>
      </c>
      <c r="J20" s="154">
        <f t="shared" si="0"/>
        <v>50801.100000000006</v>
      </c>
      <c r="K20" s="154">
        <f>Base_Données!BK22-Base_Données!GE22</f>
        <v>49388.195</v>
      </c>
      <c r="L20" s="159">
        <f t="shared" si="1"/>
        <v>92913.794999999925</v>
      </c>
      <c r="M20" s="158">
        <f>Base_Données!S22</f>
        <v>874110.42999999993</v>
      </c>
      <c r="N20" s="154">
        <f>Base_Données!T22-(Base_Données!BU22+Base_Données!BZ22+Base_Données!CC22)</f>
        <v>48645.549999999996</v>
      </c>
      <c r="O20" s="154">
        <f>Base_Données!AC22+Base_Données!AL22+Base_Données!BD22-(Base_Données!CI22)</f>
        <v>517690.91000000003</v>
      </c>
      <c r="P20" s="154">
        <f>L20+Base_Données!GJ22+Base_Données!GE22+Base_Données!GB22+Base_Données!FV22+Base_Données!FS22+Base_Données!FO22+Base_Données!FE22+Base_Données!DS22-(Base_Données!BK22+Base_Données!BH22+Base_Données!AU22)</f>
        <v>317860.12999999989</v>
      </c>
      <c r="Q20" s="189">
        <f>P20+Base_Données!AV22-Base_Données!FE22-Base_Données!FO22</f>
        <v>86707.249999999884</v>
      </c>
      <c r="R20" s="329">
        <f>SIG!Q20+Base_Données!BD22+Base_Données!BH22+Base_Données!BL22+Base_Données!BN22-Base_Données!GB22-Base_Données!GJ22-Base_Données!GF22-Base_Données!FV22</f>
        <v>86497.58999999988</v>
      </c>
    </row>
    <row r="21" spans="1:18" customFormat="1" x14ac:dyDescent="0.25">
      <c r="A21" s="328">
        <f>Base_Données!A23</f>
        <v>0</v>
      </c>
      <c r="B21" s="181">
        <f>Base_Données!B23</f>
        <v>0</v>
      </c>
      <c r="C21" s="158">
        <f>Base_Données!C23</f>
        <v>0</v>
      </c>
      <c r="D21" s="156">
        <f>Base_Données!Q23</f>
        <v>367843</v>
      </c>
      <c r="E21" s="156">
        <f>Base_Données!BR23</f>
        <v>447415</v>
      </c>
      <c r="F21" s="155">
        <f>Base_Données!R23</f>
        <v>342633</v>
      </c>
      <c r="G21" s="154">
        <f>Base_Données!BS23</f>
        <v>421269</v>
      </c>
      <c r="H21" s="155">
        <f>SIG!F21-SIG!G21</f>
        <v>-78636</v>
      </c>
      <c r="I21" s="159">
        <f>Base_Données!BI23+Base_Données!BJ23-Base_Données!GC23-Base_Données!GD23</f>
        <v>-26146</v>
      </c>
      <c r="J21" s="154">
        <f t="shared" si="0"/>
        <v>-104782</v>
      </c>
      <c r="K21" s="154">
        <f>Base_Données!BK23-Base_Données!GE23</f>
        <v>25210</v>
      </c>
      <c r="L21" s="159">
        <f t="shared" si="1"/>
        <v>-79572</v>
      </c>
      <c r="M21" s="158">
        <f>Base_Données!S23</f>
        <v>342633</v>
      </c>
      <c r="N21" s="154">
        <f>Base_Données!T23-(Base_Données!BU23+Base_Données!BZ23+Base_Données!CC23)</f>
        <v>-541</v>
      </c>
      <c r="O21" s="154">
        <f>Base_Données!AC23+Base_Données!AL23+Base_Données!BD23-(Base_Données!CI23)</f>
        <v>218722</v>
      </c>
      <c r="P21" s="154">
        <f>L21+Base_Données!GJ23+Base_Données!GE23+Base_Données!GB23+Base_Données!FV23+Base_Données!FS23+Base_Données!FO23+Base_Données!FE23+Base_Données!DS23-(Base_Données!BK23+Base_Données!BH23+Base_Données!AU23)</f>
        <v>105173</v>
      </c>
      <c r="Q21" s="189">
        <f>P21+Base_Données!AV23-Base_Données!FE23-Base_Données!FO23</f>
        <v>43625</v>
      </c>
      <c r="R21" s="329">
        <f>SIG!Q21+Base_Données!BD23+Base_Données!BH23+Base_Données!BL23+Base_Données!BN23-Base_Données!GB23-Base_Données!GJ23-Base_Données!GF23-Base_Données!FV23</f>
        <v>14782</v>
      </c>
    </row>
    <row r="22" spans="1:18" customFormat="1" x14ac:dyDescent="0.25">
      <c r="A22" s="328">
        <f>Base_Données!A24</f>
        <v>0</v>
      </c>
      <c r="B22" s="181">
        <f>Base_Données!B24</f>
        <v>0</v>
      </c>
      <c r="C22" s="158">
        <f>Base_Données!C24</f>
        <v>0</v>
      </c>
      <c r="D22" s="156">
        <f>Base_Données!Q24</f>
        <v>586218</v>
      </c>
      <c r="E22" s="156">
        <f>Base_Données!BR24</f>
        <v>579155</v>
      </c>
      <c r="F22" s="155">
        <f>Base_Données!R24</f>
        <v>426218</v>
      </c>
      <c r="G22" s="154">
        <f>Base_Données!BS24</f>
        <v>548056</v>
      </c>
      <c r="H22" s="155">
        <f>SIG!F22-SIG!G22</f>
        <v>-121838</v>
      </c>
      <c r="I22" s="159">
        <f>Base_Données!BI24+Base_Données!BJ24-Base_Données!GC24-Base_Données!GD24</f>
        <v>-31099</v>
      </c>
      <c r="J22" s="154">
        <f t="shared" si="0"/>
        <v>-152937</v>
      </c>
      <c r="K22" s="154">
        <f>Base_Données!BK24-Base_Données!GE24</f>
        <v>160000</v>
      </c>
      <c r="L22" s="159">
        <f t="shared" si="1"/>
        <v>7063</v>
      </c>
      <c r="M22" s="158">
        <f>Base_Données!S24</f>
        <v>425920</v>
      </c>
      <c r="N22" s="154">
        <f>Base_Données!T24-(Base_Données!BU24+Base_Données!BZ24+Base_Données!CC24)</f>
        <v>31617</v>
      </c>
      <c r="O22" s="154">
        <f>Base_Données!AC24+Base_Données!AL24+Base_Données!BD24-(Base_Données!CI24)</f>
        <v>191895</v>
      </c>
      <c r="P22" s="154">
        <f>L22+Base_Données!GJ24+Base_Données!GE24+Base_Données!GB24+Base_Données!FV24+Base_Données!FS24+Base_Données!FO24+Base_Données!FE24+Base_Données!DS24-(Base_Données!BK24+Base_Données!BH24+Base_Données!AU24)</f>
        <v>90874</v>
      </c>
      <c r="Q22" s="189">
        <f>P22+Base_Données!AV24-Base_Données!FE24-Base_Données!FO24</f>
        <v>14092</v>
      </c>
      <c r="R22" s="329">
        <f>SIG!Q22+Base_Données!BD24+Base_Données!BH24+Base_Données!BL24+Base_Données!BN24-Base_Données!GB24-Base_Données!GJ24-Base_Données!GF24-Base_Données!FV24</f>
        <v>-24272</v>
      </c>
    </row>
    <row r="23" spans="1:18" customFormat="1" x14ac:dyDescent="0.25">
      <c r="A23" s="328">
        <f>Base_Données!A25</f>
        <v>0</v>
      </c>
      <c r="B23" s="181">
        <f>Base_Données!B25</f>
        <v>0</v>
      </c>
      <c r="C23" s="158">
        <f>Base_Données!C25</f>
        <v>0</v>
      </c>
      <c r="D23" s="156">
        <f>Base_Données!Q25</f>
        <v>562433</v>
      </c>
      <c r="E23" s="156">
        <f>Base_Données!BR25</f>
        <v>526275</v>
      </c>
      <c r="F23" s="155">
        <f>Base_Données!R25</f>
        <v>402433</v>
      </c>
      <c r="G23" s="154">
        <f>Base_Données!BS25</f>
        <v>520501</v>
      </c>
      <c r="H23" s="155">
        <f>SIG!F23-SIG!G23</f>
        <v>-118068</v>
      </c>
      <c r="I23" s="159">
        <f>Base_Données!BI25+Base_Données!BJ25-Base_Données!GC25-Base_Données!GD25</f>
        <v>-5774</v>
      </c>
      <c r="J23" s="154">
        <f t="shared" si="0"/>
        <v>-123842</v>
      </c>
      <c r="K23" s="154">
        <f>Base_Données!BK25-Base_Données!GE25</f>
        <v>160000</v>
      </c>
      <c r="L23" s="159">
        <f t="shared" si="1"/>
        <v>36158</v>
      </c>
      <c r="M23" s="158">
        <f>Base_Données!S25</f>
        <v>391146</v>
      </c>
      <c r="N23" s="154">
        <f>Base_Données!T25-(Base_Données!BU25+Base_Données!BZ25+Base_Données!CC25)</f>
        <v>45104</v>
      </c>
      <c r="O23" s="154">
        <f>Base_Données!AC25+Base_Données!AL25+Base_Données!BD25-(Base_Données!CI25)</f>
        <v>190453</v>
      </c>
      <c r="P23" s="154">
        <f>L23+Base_Données!GJ25+Base_Données!GE25+Base_Données!GB25+Base_Données!FV25+Base_Données!FS25+Base_Données!FO25+Base_Données!FE25+Base_Données!DS25-(Base_Données!BK25+Base_Données!BH25+Base_Données!AU25)</f>
        <v>99095</v>
      </c>
      <c r="Q23" s="189">
        <f>P23+Base_Données!AV25-Base_Données!FE25-Base_Données!FO25</f>
        <v>14879</v>
      </c>
      <c r="R23" s="329">
        <f>SIG!Q23+Base_Données!BD25+Base_Données!BH25+Base_Données!BL25+Base_Données!BN25-Base_Données!GB25-Base_Données!GJ25-Base_Données!GF25-Base_Données!FV25</f>
        <v>5833</v>
      </c>
    </row>
    <row r="24" spans="1:18" customFormat="1" x14ac:dyDescent="0.25">
      <c r="A24" s="328">
        <f>Base_Données!A26</f>
        <v>0</v>
      </c>
      <c r="B24" s="181">
        <f>Base_Données!B26</f>
        <v>0</v>
      </c>
      <c r="C24" s="158">
        <f>Base_Données!C26</f>
        <v>0</v>
      </c>
      <c r="D24" s="156">
        <f>Base_Données!Q26</f>
        <v>123730.29000000001</v>
      </c>
      <c r="E24" s="156">
        <f>Base_Données!BR26</f>
        <v>133752.94</v>
      </c>
      <c r="F24" s="155">
        <f>Base_Données!R26</f>
        <v>123730.29000000001</v>
      </c>
      <c r="G24" s="154">
        <f>Base_Données!BS26</f>
        <v>133752.94</v>
      </c>
      <c r="H24" s="155">
        <f>SIG!F24-SIG!G24</f>
        <v>-10022.649999999994</v>
      </c>
      <c r="I24" s="159">
        <f>Base_Données!BI26+Base_Données!BJ26-Base_Données!GC26-Base_Données!GD26</f>
        <v>0</v>
      </c>
      <c r="J24" s="154">
        <f t="shared" si="0"/>
        <v>-10022.649999999994</v>
      </c>
      <c r="K24" s="154">
        <f>Base_Données!BK26-Base_Données!GE26</f>
        <v>0</v>
      </c>
      <c r="L24" s="159">
        <f t="shared" si="1"/>
        <v>-10022.649999999994</v>
      </c>
      <c r="M24" s="158">
        <f>Base_Données!S26</f>
        <v>123631.29000000001</v>
      </c>
      <c r="N24" s="154">
        <f>Base_Données!T26-(Base_Données!BU26+Base_Données!BZ26+Base_Données!CC26)</f>
        <v>21174.2</v>
      </c>
      <c r="O24" s="154">
        <f>Base_Données!AC26+Base_Données!AL26+Base_Données!BD26-(Base_Données!CI26)</f>
        <v>54710.640000000007</v>
      </c>
      <c r="P24" s="154">
        <f>L24+Base_Données!GJ26+Base_Données!GE26+Base_Données!GB26+Base_Données!FV26+Base_Données!FS26+Base_Données!FO26+Base_Données!FE26+Base_Données!DS26-(Base_Données!BK26+Base_Données!BH26+Base_Données!AU26)</f>
        <v>33791.08</v>
      </c>
      <c r="Q24" s="189">
        <f>P24+Base_Données!AV26-Base_Données!FE26-Base_Données!FO26</f>
        <v>-2478.239999999998</v>
      </c>
      <c r="R24" s="329">
        <f>SIG!Q24+Base_Données!BD26+Base_Données!BH26+Base_Données!BL26+Base_Données!BN26-Base_Données!GB26-Base_Données!GJ26-Base_Données!GF26-Base_Données!FV26</f>
        <v>-4605.2199999999975</v>
      </c>
    </row>
    <row r="25" spans="1:18" customFormat="1" x14ac:dyDescent="0.25">
      <c r="A25" s="328">
        <f>Base_Données!A27</f>
        <v>0</v>
      </c>
      <c r="B25" s="181">
        <f>Base_Données!B27</f>
        <v>0</v>
      </c>
      <c r="C25" s="158">
        <f>Base_Données!C27</f>
        <v>0</v>
      </c>
      <c r="D25" s="156">
        <f>Base_Données!Q27</f>
        <v>983291</v>
      </c>
      <c r="E25" s="156">
        <f>Base_Données!BR27</f>
        <v>945205</v>
      </c>
      <c r="F25" s="155">
        <f>Base_Données!R27</f>
        <v>880245</v>
      </c>
      <c r="G25" s="154">
        <f>Base_Données!BS27</f>
        <v>918058</v>
      </c>
      <c r="H25" s="155">
        <f>SIG!F25-SIG!G25</f>
        <v>-37813</v>
      </c>
      <c r="I25" s="159">
        <f>Base_Données!BI27+Base_Données!BJ27-Base_Données!GC27-Base_Données!GD27</f>
        <v>-18787</v>
      </c>
      <c r="J25" s="154">
        <f t="shared" si="0"/>
        <v>-56600</v>
      </c>
      <c r="K25" s="154">
        <f>Base_Données!BK27-Base_Données!GE27</f>
        <v>102390</v>
      </c>
      <c r="L25" s="159">
        <f t="shared" si="1"/>
        <v>38086</v>
      </c>
      <c r="M25" s="158">
        <f>Base_Données!S27</f>
        <v>812254</v>
      </c>
      <c r="N25" s="154">
        <f>Base_Données!T27-(Base_Données!BU27+Base_Données!BZ27+Base_Données!CC27)</f>
        <v>96726</v>
      </c>
      <c r="O25" s="154">
        <f>Base_Données!AC27+Base_Données!AL27+Base_Données!BD27-(Base_Données!CI27)</f>
        <v>380337</v>
      </c>
      <c r="P25" s="154">
        <f>L25+Base_Données!GJ27+Base_Données!GE27+Base_Données!GB27+Base_Données!FV27+Base_Données!FS27+Base_Données!FO27+Base_Données!FE27+Base_Données!DS27-(Base_Données!BK27+Base_Données!BH27+Base_Données!AU27)</f>
        <v>140842</v>
      </c>
      <c r="Q25" s="189">
        <f>P25+Base_Données!AV27-Base_Données!FE27-Base_Données!FO27</f>
        <v>-2169</v>
      </c>
      <c r="R25" s="329">
        <f>SIG!Q25+Base_Données!BD27+Base_Données!BH27+Base_Données!BL27+Base_Données!BN27-Base_Données!GB27-Base_Données!GJ27-Base_Données!GF27-Base_Données!FV27</f>
        <v>14967</v>
      </c>
    </row>
    <row r="26" spans="1:18" customFormat="1" x14ac:dyDescent="0.25">
      <c r="A26" s="328">
        <f>Base_Données!A28</f>
        <v>0</v>
      </c>
      <c r="B26" s="181">
        <f>Base_Données!B28</f>
        <v>0</v>
      </c>
      <c r="C26" s="158">
        <f>Base_Données!C28</f>
        <v>0</v>
      </c>
      <c r="D26" s="156">
        <f>Base_Données!Q28</f>
        <v>1003332</v>
      </c>
      <c r="E26" s="156">
        <f>Base_Données!BR28</f>
        <v>977694</v>
      </c>
      <c r="F26" s="155">
        <f>Base_Données!R28</f>
        <v>899771</v>
      </c>
      <c r="G26" s="154">
        <f>Base_Données!BS28</f>
        <v>960599</v>
      </c>
      <c r="H26" s="155">
        <f>SIG!F26-SIG!G26</f>
        <v>-60828</v>
      </c>
      <c r="I26" s="159">
        <f>Base_Données!BI28+Base_Données!BJ28-Base_Données!GC28-Base_Données!GD28</f>
        <v>-12616</v>
      </c>
      <c r="J26" s="154">
        <f t="shared" si="0"/>
        <v>-73444</v>
      </c>
      <c r="K26" s="154">
        <f>Base_Données!BK28-Base_Données!GE28</f>
        <v>103381</v>
      </c>
      <c r="L26" s="159">
        <f t="shared" si="1"/>
        <v>25638</v>
      </c>
      <c r="M26" s="158">
        <f>Base_Données!S28</f>
        <v>835570</v>
      </c>
      <c r="N26" s="154">
        <f>Base_Données!T28-(Base_Données!BU28+Base_Données!BZ28+Base_Données!CC28)</f>
        <v>89589</v>
      </c>
      <c r="O26" s="154">
        <f>Base_Données!AC28+Base_Données!AL28+Base_Données!BD28-(Base_Données!CI28)</f>
        <v>401059</v>
      </c>
      <c r="P26" s="154">
        <f>L26+Base_Données!GJ28+Base_Données!GE28+Base_Données!GB28+Base_Données!FV28+Base_Données!FS28+Base_Données!FO28+Base_Données!FE28-(Base_Données!BK28+Base_Données!BH28+Base_Données!AU28)</f>
        <v>137135</v>
      </c>
      <c r="Q26" s="189">
        <f>P26+Base_Données!AV28-Base_Données!FE28-Base_Données!FO28</f>
        <v>-29511</v>
      </c>
      <c r="R26" s="329">
        <f>SIG!Q26+Base_Données!BD28+Base_Données!BH28+Base_Données!BL28+Base_Données!BN28-Base_Données!GB28-Base_Données!GJ28-Base_Données!GF28-Base_Données!FV28</f>
        <v>-1186</v>
      </c>
    </row>
    <row r="27" spans="1:18" customFormat="1" x14ac:dyDescent="0.25">
      <c r="A27" s="328">
        <f>Base_Données!A29</f>
        <v>0</v>
      </c>
      <c r="B27" s="181">
        <f>Base_Données!B29</f>
        <v>0</v>
      </c>
      <c r="C27" s="158">
        <f>Base_Données!C29</f>
        <v>0</v>
      </c>
      <c r="D27" s="156">
        <f>Base_Données!Q29</f>
        <v>216905.4</v>
      </c>
      <c r="E27" s="156">
        <f>Base_Données!BR29</f>
        <v>190807.02000000002</v>
      </c>
      <c r="F27" s="155">
        <f>Base_Données!R29</f>
        <v>171489.9</v>
      </c>
      <c r="G27" s="154">
        <f>Base_Données!BS29</f>
        <v>190807.02000000002</v>
      </c>
      <c r="H27" s="155">
        <f>SIG!F27-SIG!G27</f>
        <v>-19317.120000000024</v>
      </c>
      <c r="I27" s="159">
        <f>Base_Données!BI29+Base_Données!BJ29-Base_Données!GC29-Base_Données!GD29</f>
        <v>0</v>
      </c>
      <c r="J27" s="154">
        <f t="shared" si="0"/>
        <v>-19317.120000000024</v>
      </c>
      <c r="K27" s="154">
        <f>Base_Données!BK29-Base_Données!GE29</f>
        <v>45415.5</v>
      </c>
      <c r="L27" s="159">
        <f t="shared" si="1"/>
        <v>26098.379999999976</v>
      </c>
      <c r="M27" s="158">
        <f>Base_Données!S29</f>
        <v>162023.4</v>
      </c>
      <c r="N27" s="154">
        <f>Base_Données!T29-(Base_Données!BU29+Base_Données!BZ29+Base_Données!CC29)</f>
        <v>0</v>
      </c>
      <c r="O27" s="154">
        <f>Base_Données!AC29+Base_Données!AL29+Base_Données!BD29-(Base_Données!CI29)</f>
        <v>85202.4</v>
      </c>
      <c r="P27" s="154">
        <f>L27+Base_Données!GJ29+Base_Données!GE29+Base_Données!GB29+Base_Données!FV29+Base_Données!FS29+Base_Données!FO29+Base_Données!FE29+Base_Données!DS29-(Base_Données!BK29+Base_Données!BH29+Base_Données!AU29)</f>
        <v>55421.879999999976</v>
      </c>
      <c r="Q27" s="189">
        <f>P27+Base_Données!AV29-Base_Données!FE29-Base_Données!FO29</f>
        <v>16017.879999999976</v>
      </c>
      <c r="R27" s="329">
        <f>SIG!Q27+Base_Données!BD29+Base_Données!BH29+Base_Données!BL29+Base_Données!BN29-Base_Données!GB29-Base_Données!GJ29-Base_Données!GF29-Base_Données!FV29</f>
        <v>40596.879999999976</v>
      </c>
    </row>
    <row r="28" spans="1:18" customFormat="1" x14ac:dyDescent="0.25">
      <c r="A28" s="328">
        <f>Base_Données!A30</f>
        <v>0</v>
      </c>
      <c r="B28" s="181">
        <f>Base_Données!B30</f>
        <v>0</v>
      </c>
      <c r="C28" s="158">
        <f>Base_Données!C30</f>
        <v>0</v>
      </c>
      <c r="D28" s="156">
        <f>Base_Données!Q30</f>
        <v>172056.4</v>
      </c>
      <c r="E28" s="156">
        <f>Base_Données!BR30</f>
        <v>179173.08</v>
      </c>
      <c r="F28" s="155">
        <f>Base_Données!R30</f>
        <v>172056.4</v>
      </c>
      <c r="G28" s="154">
        <f>Base_Données!BS30</f>
        <v>179173.08</v>
      </c>
      <c r="H28" s="155">
        <f>SIG!F28-SIG!G28</f>
        <v>-7116.679999999993</v>
      </c>
      <c r="I28" s="159">
        <f>Base_Données!BI30+Base_Données!BJ30-Base_Données!GC30-Base_Données!GD30</f>
        <v>0</v>
      </c>
      <c r="J28" s="154">
        <f t="shared" si="0"/>
        <v>-7116.679999999993</v>
      </c>
      <c r="K28" s="154">
        <f>Base_Données!BK30-Base_Données!GE30</f>
        <v>0</v>
      </c>
      <c r="L28" s="159">
        <f t="shared" si="1"/>
        <v>-7116.679999999993</v>
      </c>
      <c r="M28" s="158">
        <f>Base_Données!S30</f>
        <v>168768</v>
      </c>
      <c r="N28" s="154">
        <f>Base_Données!T30-(Base_Données!BU30+Base_Données!BZ30+Base_Données!CC30)</f>
        <v>0</v>
      </c>
      <c r="O28" s="154">
        <f>Base_Données!AC30+Base_Données!AL30+Base_Données!BD30-(Base_Données!CI30)</f>
        <v>101602.5</v>
      </c>
      <c r="P28" s="154">
        <f>L28+Base_Données!GJ30+Base_Données!GE30+Base_Données!GB30+Base_Données!FV30+Base_Données!FS30+Base_Données!FO30+Base_Données!FE30+Base_Données!DS30-(Base_Données!BK30+Base_Données!BH30+Base_Données!AU30)</f>
        <v>73517.520000000019</v>
      </c>
      <c r="Q28" s="189">
        <f>P28+Base_Données!AV30-Base_Données!FE30-Base_Données!FO30</f>
        <v>29864.420000000013</v>
      </c>
      <c r="R28" s="329">
        <f>SIG!Q28+Base_Données!BD30+Base_Données!BH30+Base_Données!BL30+Base_Données!BN30-Base_Données!GB30-Base_Données!GJ30-Base_Données!GF30-Base_Données!FV30</f>
        <v>27323.320000000014</v>
      </c>
    </row>
    <row r="29" spans="1:18" customFormat="1" x14ac:dyDescent="0.25">
      <c r="A29" s="328">
        <f>Base_Données!A31</f>
        <v>0</v>
      </c>
      <c r="B29" s="181">
        <f>Base_Données!B31</f>
        <v>0</v>
      </c>
      <c r="C29" s="158">
        <f>Base_Données!C31</f>
        <v>0</v>
      </c>
      <c r="D29" s="156">
        <f>Base_Données!Q31</f>
        <v>359407.22000000003</v>
      </c>
      <c r="E29" s="156">
        <f>Base_Données!BR31</f>
        <v>280598.69999999995</v>
      </c>
      <c r="F29" s="155">
        <f>Base_Données!R31</f>
        <v>356532.22000000003</v>
      </c>
      <c r="G29" s="154">
        <f>Base_Données!BS31</f>
        <v>269984.69999999995</v>
      </c>
      <c r="H29" s="155">
        <f>SIG!F29-SIG!G29</f>
        <v>86547.520000000077</v>
      </c>
      <c r="I29" s="159">
        <f>Base_Données!BI31+Base_Données!BJ31-Base_Données!GC31-Base_Données!GD31</f>
        <v>1106</v>
      </c>
      <c r="J29" s="154">
        <f t="shared" si="0"/>
        <v>87653.520000000077</v>
      </c>
      <c r="K29" s="154">
        <f>Base_Données!BK31-Base_Données!GE31</f>
        <v>1596</v>
      </c>
      <c r="L29" s="159">
        <f t="shared" si="1"/>
        <v>78808.520000000077</v>
      </c>
      <c r="M29" s="158">
        <f>Base_Données!S31</f>
        <v>330284.42000000004</v>
      </c>
      <c r="N29" s="154">
        <f>Base_Données!T31-(Base_Données!BU31+Base_Données!BZ31+Base_Données!CC31)</f>
        <v>11336.469999999998</v>
      </c>
      <c r="O29" s="154">
        <f>Base_Données!AC31+Base_Données!AL31+Base_Données!BD31-(Base_Données!CI31)</f>
        <v>181441.65000000002</v>
      </c>
      <c r="P29" s="154">
        <f>L29+Base_Données!GJ31+Base_Données!GE31+Base_Données!GB31+Base_Données!FV31+Base_Données!FS31+Base_Données!FO31+Base_Données!FE31+Base_Données!DS31-(Base_Données!BK31+Base_Données!BH31+Base_Données!AU31)</f>
        <v>127375.22000000007</v>
      </c>
      <c r="Q29" s="189">
        <f>P29+Base_Données!AV31-Base_Données!FE31-Base_Données!FO31</f>
        <v>92804.520000000077</v>
      </c>
      <c r="R29" s="329">
        <f>SIG!Q29+Base_Données!BD31+Base_Données!BH31+Base_Données!BL31+Base_Données!BN31-Base_Données!GB31-Base_Données!GJ31-Base_Données!GF31-Base_Données!FV31</f>
        <v>78142.520000000077</v>
      </c>
    </row>
    <row r="30" spans="1:18" customFormat="1" x14ac:dyDescent="0.25">
      <c r="A30" s="328">
        <f>Base_Données!A32</f>
        <v>0</v>
      </c>
      <c r="B30" s="181">
        <f>Base_Données!B32</f>
        <v>0</v>
      </c>
      <c r="C30" s="158">
        <f>Base_Données!C32</f>
        <v>0</v>
      </c>
      <c r="D30" s="156">
        <f>Base_Données!Q32</f>
        <v>220625.46</v>
      </c>
      <c r="E30" s="156">
        <f>Base_Données!BR32</f>
        <v>197997.93000000002</v>
      </c>
      <c r="F30" s="155">
        <f>Base_Données!R32</f>
        <v>202368.37</v>
      </c>
      <c r="G30" s="154">
        <f>Base_Données!BS32</f>
        <v>194842.93000000002</v>
      </c>
      <c r="H30" s="155">
        <f>SIG!F30-SIG!G30</f>
        <v>7525.4399999999732</v>
      </c>
      <c r="I30" s="159">
        <f>Base_Données!BI32+Base_Données!BJ32-Base_Données!GC32-Base_Données!GD32</f>
        <v>3240.87</v>
      </c>
      <c r="J30" s="154">
        <f t="shared" si="0"/>
        <v>10766.309999999972</v>
      </c>
      <c r="K30" s="154">
        <f>Base_Données!BK32-Base_Données!GE32</f>
        <v>15016.220000000001</v>
      </c>
      <c r="L30" s="159">
        <f t="shared" si="1"/>
        <v>22627.52999999997</v>
      </c>
      <c r="M30" s="158">
        <f>Base_Données!S32</f>
        <v>189477.91</v>
      </c>
      <c r="N30" s="154">
        <f>Base_Données!T32-(Base_Données!BU32+Base_Données!BZ32+Base_Données!CC32)</f>
        <v>2485.21</v>
      </c>
      <c r="O30" s="154">
        <f>Base_Données!AC32+Base_Données!AL32+Base_Données!BD32-(Base_Données!CI32)</f>
        <v>107733.40000000001</v>
      </c>
      <c r="P30" s="154">
        <f>L30+Base_Données!GJ32+Base_Données!GE32+Base_Données!GB32+Base_Données!FV32+Base_Données!FS32+Base_Données!FO32+Base_Données!FE32+Base_Données!DS32-(Base_Données!BK32+Base_Données!BH32+Base_Données!AU32)</f>
        <v>55505.929999999949</v>
      </c>
      <c r="Q30" s="189">
        <f>P30+Base_Données!AV32-Base_Données!FE32-Base_Données!FO32</f>
        <v>33133.569999999949</v>
      </c>
      <c r="R30" s="329">
        <f>SIG!Q30+Base_Données!BD32+Base_Données!BH32+Base_Données!BL32+Base_Données!BN32-Base_Données!GB32-Base_Données!GJ32-Base_Données!GF32-Base_Données!FV32</f>
        <v>30387.19999999995</v>
      </c>
    </row>
    <row r="31" spans="1:18" customFormat="1" x14ac:dyDescent="0.25">
      <c r="A31" s="328">
        <f>Base_Données!A33</f>
        <v>0</v>
      </c>
      <c r="B31" s="181">
        <f>Base_Données!B33</f>
        <v>0</v>
      </c>
      <c r="C31" s="158">
        <f>Base_Données!C33</f>
        <v>0</v>
      </c>
      <c r="D31" s="156">
        <f>Base_Données!Q33</f>
        <v>224592.14</v>
      </c>
      <c r="E31" s="156">
        <f>Base_Données!BR33</f>
        <v>208789.97000000003</v>
      </c>
      <c r="F31" s="155">
        <f>Base_Données!R33</f>
        <v>203787.27000000002</v>
      </c>
      <c r="G31" s="154">
        <f>Base_Données!BS33</f>
        <v>206300.58000000002</v>
      </c>
      <c r="H31" s="155">
        <f>SIG!F31-SIG!G31</f>
        <v>-2513.3099999999977</v>
      </c>
      <c r="I31" s="159">
        <f>Base_Données!BI33+Base_Données!BJ33-Base_Données!GC33-Base_Données!GD33</f>
        <v>3764.44</v>
      </c>
      <c r="J31" s="154">
        <f t="shared" si="0"/>
        <v>1251.1300000000024</v>
      </c>
      <c r="K31" s="154">
        <f>Base_Données!BK33-Base_Données!GE33</f>
        <v>16391.04</v>
      </c>
      <c r="L31" s="159">
        <f t="shared" si="1"/>
        <v>15802.169999999984</v>
      </c>
      <c r="M31" s="158">
        <f>Base_Données!S33</f>
        <v>191148.73</v>
      </c>
      <c r="N31" s="154">
        <f>Base_Données!T33-(Base_Données!BU33+Base_Données!BZ33+Base_Données!CC33)</f>
        <v>2602.0299999999997</v>
      </c>
      <c r="O31" s="154">
        <f>Base_Données!AC33+Base_Données!AL33+Base_Données!BD33-(Base_Données!CI33)</f>
        <v>104607</v>
      </c>
      <c r="P31" s="154">
        <f>L31+Base_Données!GJ33+Base_Données!GE33+Base_Données!GB33+Base_Données!FV33+Base_Données!FS33+Base_Données!FO33+Base_Données!FE33+Base_Données!DS33-(Base_Données!BK33+Base_Données!BH33+Base_Données!AU33)</f>
        <v>51304.59</v>
      </c>
      <c r="Q31" s="189">
        <f>P31+Base_Données!AV33-Base_Données!FE33-Base_Données!FO33</f>
        <v>23065.239999999991</v>
      </c>
      <c r="R31" s="329">
        <f>SIG!Q31+Base_Données!BD33+Base_Données!BH33+Base_Données!BL33+Base_Données!BN33-Base_Données!GB33-Base_Données!GJ33-Base_Données!GF33-Base_Données!FV33</f>
        <v>23454.569999999989</v>
      </c>
    </row>
    <row r="32" spans="1:18" customFormat="1" x14ac:dyDescent="0.25">
      <c r="A32" s="328">
        <f>Base_Données!A34</f>
        <v>0</v>
      </c>
      <c r="B32" s="181">
        <f>Base_Données!B34</f>
        <v>0</v>
      </c>
      <c r="C32" s="158">
        <f>Base_Données!C34</f>
        <v>0</v>
      </c>
      <c r="D32" s="156">
        <f>Base_Données!Q34</f>
        <v>225580</v>
      </c>
      <c r="E32" s="156">
        <f>Base_Données!BR34</f>
        <v>195769</v>
      </c>
      <c r="F32" s="155">
        <f>Base_Données!R34</f>
        <v>174919</v>
      </c>
      <c r="G32" s="154">
        <f>Base_Données!BS34</f>
        <v>175557</v>
      </c>
      <c r="H32" s="155">
        <f>SIG!F32-SIG!G32</f>
        <v>-638</v>
      </c>
      <c r="I32" s="159">
        <f>Base_Données!BI34+Base_Données!BJ34-Base_Données!GC34-Base_Données!GD34</f>
        <v>887</v>
      </c>
      <c r="J32" s="154">
        <f t="shared" si="0"/>
        <v>249</v>
      </c>
      <c r="K32" s="154">
        <f>Base_Données!BK34-Base_Données!GE34</f>
        <v>34726</v>
      </c>
      <c r="L32" s="159">
        <f t="shared" si="1"/>
        <v>29811</v>
      </c>
      <c r="M32" s="158">
        <f>Base_Données!S34</f>
        <v>140565</v>
      </c>
      <c r="N32" s="154">
        <f>Base_Données!T34-(Base_Données!BU34+Base_Données!BZ34+Base_Données!CC34)</f>
        <v>5915</v>
      </c>
      <c r="O32" s="154">
        <f>Base_Données!AC34+Base_Données!AL34+Base_Données!BD34-(Base_Données!CI34)</f>
        <v>78212</v>
      </c>
      <c r="P32" s="154">
        <f>L32+Base_Données!GJ34+Base_Données!GE34+Base_Données!GB34+Base_Données!FV34+Base_Données!FS34+Base_Données!FO34+Base_Données!FE34+Base_Données!DS34-(Base_Données!BK34+Base_Données!BH34+Base_Données!AU34)</f>
        <v>32989</v>
      </c>
      <c r="Q32" s="189">
        <f>P32+Base_Données!AV34-Base_Données!FE34-Base_Données!FO34</f>
        <v>34671</v>
      </c>
      <c r="R32" s="329">
        <f>SIG!Q32+Base_Données!BD34+Base_Données!BH34+Base_Données!BL34+Base_Données!BN34-Base_Données!GB34-Base_Données!GJ34-Base_Données!GF34-Base_Données!FV34</f>
        <v>33432</v>
      </c>
    </row>
    <row r="33" spans="1:18" customFormat="1" x14ac:dyDescent="0.25">
      <c r="A33" s="328">
        <f>Base_Données!A35</f>
        <v>0</v>
      </c>
      <c r="B33" s="181">
        <f>Base_Données!B35</f>
        <v>0</v>
      </c>
      <c r="C33" s="158">
        <f>Base_Données!C35</f>
        <v>0</v>
      </c>
      <c r="D33" s="156">
        <f>Base_Données!Q35</f>
        <v>528740</v>
      </c>
      <c r="E33" s="156">
        <f>Base_Données!BR35</f>
        <v>506575</v>
      </c>
      <c r="F33" s="155">
        <f>Base_Données!R35</f>
        <v>506154</v>
      </c>
      <c r="G33" s="154">
        <f>Base_Données!BS35</f>
        <v>499046</v>
      </c>
      <c r="H33" s="155">
        <f>SIG!F33-SIG!G33</f>
        <v>7108</v>
      </c>
      <c r="I33" s="159">
        <f>Base_Données!BI35+Base_Données!BJ35-Base_Données!GC35-Base_Données!GD35</f>
        <v>-3535</v>
      </c>
      <c r="J33" s="154">
        <f t="shared" si="0"/>
        <v>3573</v>
      </c>
      <c r="K33" s="154">
        <f>Base_Données!BK35-Base_Données!GE35</f>
        <v>21965</v>
      </c>
      <c r="L33" s="159">
        <f t="shared" si="1"/>
        <v>22165</v>
      </c>
      <c r="M33" s="158">
        <f>Base_Données!S35</f>
        <v>467872</v>
      </c>
      <c r="N33" s="154">
        <f>Base_Données!T35-(Base_Données!BU35+Base_Données!BZ35+Base_Données!CC35)</f>
        <v>30559</v>
      </c>
      <c r="O33" s="154">
        <f>Base_Données!AC35+Base_Données!AL35+Base_Données!BD35-(Base_Données!CI35)</f>
        <v>261898</v>
      </c>
      <c r="P33" s="154">
        <f>L33+Base_Données!GJ35+Base_Données!GE35+Base_Données!GB35+Base_Données!FV35+Base_Données!FS35+Base_Données!FO35+Base_Données!FE35+Base_Données!DS35-(Base_Données!BK35+Base_Données!BH35+Base_Données!AU35)</f>
        <v>145245</v>
      </c>
      <c r="Q33" s="189">
        <f>P33+Base_Données!AV35-Base_Données!FE35-Base_Données!FO35</f>
        <v>22018</v>
      </c>
      <c r="R33" s="329">
        <f>SIG!Q33+Base_Données!BD35+Base_Données!BH35+Base_Données!BL35+Base_Données!BN35-Base_Données!GB35-Base_Données!GJ35-Base_Données!GF35-Base_Données!FV35</f>
        <v>36153</v>
      </c>
    </row>
    <row r="34" spans="1:18" customFormat="1" x14ac:dyDescent="0.25">
      <c r="A34" s="328">
        <f>Base_Données!A36</f>
        <v>0</v>
      </c>
      <c r="B34" s="181">
        <f>Base_Données!B36</f>
        <v>0</v>
      </c>
      <c r="C34" s="158">
        <f>Base_Données!C36</f>
        <v>0</v>
      </c>
      <c r="D34" s="156">
        <f>Base_Données!Q36</f>
        <v>567881</v>
      </c>
      <c r="E34" s="156">
        <f>Base_Données!BR36</f>
        <v>542334</v>
      </c>
      <c r="F34" s="155">
        <f>Base_Données!R36</f>
        <v>537553</v>
      </c>
      <c r="G34" s="154">
        <f>Base_Données!BS36</f>
        <v>530032</v>
      </c>
      <c r="H34" s="155">
        <f>SIG!F34-SIG!G34</f>
        <v>7521</v>
      </c>
      <c r="I34" s="159">
        <f>Base_Données!BI36+Base_Données!BJ36-Base_Données!GC36-Base_Données!GD36</f>
        <v>-2767</v>
      </c>
      <c r="J34" s="154">
        <f t="shared" si="0"/>
        <v>4754</v>
      </c>
      <c r="K34" s="154">
        <f>Base_Données!BK36-Base_Données!GE36</f>
        <v>24779</v>
      </c>
      <c r="L34" s="159">
        <f t="shared" si="1"/>
        <v>25547</v>
      </c>
      <c r="M34" s="158">
        <f>Base_Données!S36</f>
        <v>500298</v>
      </c>
      <c r="N34" s="154">
        <f>Base_Données!T36-(Base_Données!BU36+Base_Données!BZ36+Base_Données!CC36)</f>
        <v>37597</v>
      </c>
      <c r="O34" s="154">
        <f>Base_Données!AC36+Base_Données!AL36+Base_Données!BD36-(Base_Données!CI36)</f>
        <v>242331</v>
      </c>
      <c r="P34" s="154">
        <f>L34+Base_Données!GJ36+Base_Données!GE36+Base_Données!GB36+Base_Données!FV36+Base_Données!FS36+Base_Données!FO36+Base_Données!FE36+Base_Données!DS36-(Base_Données!BK36+Base_Données!BH36+Base_Données!AU36)</f>
        <v>158155</v>
      </c>
      <c r="Q34" s="189">
        <f>P34+Base_Données!AV36-Base_Données!FE36-Base_Données!FO36</f>
        <v>61302</v>
      </c>
      <c r="R34" s="329">
        <f>SIG!Q34+Base_Données!BD36+Base_Données!BH36+Base_Données!BL36+Base_Données!BN36-Base_Données!GB36-Base_Données!GJ36-Base_Données!GF36-Base_Données!FV36</f>
        <v>44458</v>
      </c>
    </row>
    <row r="35" spans="1:18" customFormat="1" x14ac:dyDescent="0.25">
      <c r="A35" s="328">
        <f>Base_Données!A37</f>
        <v>0</v>
      </c>
      <c r="B35" s="181">
        <f>Base_Données!B37</f>
        <v>0</v>
      </c>
      <c r="C35" s="158">
        <f>Base_Données!C37</f>
        <v>0</v>
      </c>
      <c r="D35" s="156">
        <f>Base_Données!Q37</f>
        <v>573162</v>
      </c>
      <c r="E35" s="156">
        <f>Base_Données!BR37</f>
        <v>561212</v>
      </c>
      <c r="F35" s="155">
        <f>Base_Données!R37</f>
        <v>554925</v>
      </c>
      <c r="G35" s="154">
        <f>Base_Données!BS37</f>
        <v>553100</v>
      </c>
      <c r="H35" s="155">
        <f>SIG!F35-SIG!G35</f>
        <v>1825</v>
      </c>
      <c r="I35" s="159">
        <f>Base_Données!BI37+Base_Données!BJ37-Base_Données!GC37-Base_Données!GD37</f>
        <v>-2124</v>
      </c>
      <c r="J35" s="154">
        <f t="shared" si="0"/>
        <v>-299</v>
      </c>
      <c r="K35" s="154">
        <f>Base_Données!BK37-Base_Données!GE37</f>
        <v>13713</v>
      </c>
      <c r="L35" s="159">
        <f t="shared" si="1"/>
        <v>11950</v>
      </c>
      <c r="M35" s="158">
        <f>Base_Données!S37</f>
        <v>512628</v>
      </c>
      <c r="N35" s="154">
        <f>Base_Données!T37-(Base_Données!BU37+Base_Données!BZ37+Base_Données!CC37)</f>
        <v>36737</v>
      </c>
      <c r="O35" s="154">
        <f>Base_Données!AC37+Base_Données!AL37+Base_Données!BD37-(Base_Données!CI37)</f>
        <v>257206</v>
      </c>
      <c r="P35" s="154">
        <f>L35+Base_Données!GJ37+Base_Données!GE37+Base_Données!GB37+Base_Données!FV37+Base_Données!FS37+Base_Données!FO37+Base_Données!FE37+Base_Données!DS37-(Base_Données!BK37+Base_Données!BH37+Base_Données!AU37)</f>
        <v>153179</v>
      </c>
      <c r="Q35" s="189">
        <f>P35+Base_Données!AV37-Base_Données!FE37-Base_Données!FO37</f>
        <v>38084</v>
      </c>
      <c r="R35" s="329">
        <f>SIG!Q35+Base_Données!BD37+Base_Données!BH37+Base_Données!BL37+Base_Données!BN37-Base_Données!GB37-Base_Données!GJ37-Base_Données!GF37-Base_Données!FV37</f>
        <v>32206</v>
      </c>
    </row>
    <row r="36" spans="1:18" customFormat="1" x14ac:dyDescent="0.25">
      <c r="A36" s="328">
        <f>Base_Données!A38</f>
        <v>0</v>
      </c>
      <c r="B36" s="181">
        <f>Base_Données!B38</f>
        <v>0</v>
      </c>
      <c r="C36" s="158">
        <f>Base_Données!C38</f>
        <v>0</v>
      </c>
      <c r="D36" s="156">
        <f>Base_Données!Q38</f>
        <v>1406402</v>
      </c>
      <c r="E36" s="156">
        <f>Base_Données!BR38</f>
        <v>1393209</v>
      </c>
      <c r="F36" s="155">
        <f>Base_Données!R38</f>
        <v>1291026</v>
      </c>
      <c r="G36" s="154">
        <f>Base_Données!BS38</f>
        <v>1348948</v>
      </c>
      <c r="H36" s="155">
        <f>SIG!F36-SIG!G36</f>
        <v>-57922</v>
      </c>
      <c r="I36" s="159">
        <f>Base_Données!BI38+Base_Données!BJ38-Base_Données!GC38-Base_Données!GD38</f>
        <v>-25852</v>
      </c>
      <c r="J36" s="154">
        <f t="shared" si="0"/>
        <v>-83774</v>
      </c>
      <c r="K36" s="154">
        <f>Base_Données!BK38-Base_Données!GE38</f>
        <v>101275</v>
      </c>
      <c r="L36" s="159">
        <f t="shared" si="1"/>
        <v>13193</v>
      </c>
      <c r="M36" s="158">
        <f>Base_Données!S38</f>
        <v>1168317</v>
      </c>
      <c r="N36" s="154">
        <f>Base_Données!T38-(Base_Données!BU38+Base_Données!BZ38+Base_Données!CC38)</f>
        <v>76310</v>
      </c>
      <c r="O36" s="154">
        <f>Base_Données!AC38+Base_Données!AL38+Base_Données!BD38-(Base_Données!CI38)</f>
        <v>574241</v>
      </c>
      <c r="P36" s="154">
        <f>L36+Base_Données!GJ38+Base_Données!GE38+Base_Données!GB38+Base_Données!FV38+Base_Données!FS38+Base_Données!FO38+Base_Données!FE38+Base_Données!DS38-(Base_Données!BK38+Base_Données!BH38+Base_Données!AU38)</f>
        <v>296552</v>
      </c>
      <c r="Q36" s="189">
        <f>P36+Base_Données!AV38-Base_Données!FE38-Base_Données!FO38</f>
        <v>198159</v>
      </c>
      <c r="R36" s="329">
        <f>SIG!Q36+Base_Données!BD38+Base_Données!BH38+Base_Données!BL38+Base_Données!BN38-Base_Données!GB38-Base_Données!GJ38-Base_Données!GF38-Base_Données!FV38</f>
        <v>157052</v>
      </c>
    </row>
    <row r="37" spans="1:18" customFormat="1" x14ac:dyDescent="0.25">
      <c r="A37" s="328">
        <f>Base_Données!A39</f>
        <v>0</v>
      </c>
      <c r="B37" s="181">
        <f>Base_Données!B39</f>
        <v>0</v>
      </c>
      <c r="C37" s="158">
        <f>Base_Données!C39</f>
        <v>0</v>
      </c>
      <c r="D37" s="156">
        <f>Base_Données!Q39</f>
        <v>1394897</v>
      </c>
      <c r="E37" s="156">
        <f>Base_Données!BR39</f>
        <v>1377574</v>
      </c>
      <c r="F37" s="155">
        <f>Base_Données!R39</f>
        <v>1289409</v>
      </c>
      <c r="G37" s="154">
        <f>Base_Données!BS39</f>
        <v>1339659</v>
      </c>
      <c r="H37" s="155">
        <f>SIG!F37-SIG!G37</f>
        <v>-50250</v>
      </c>
      <c r="I37" s="159">
        <f>Base_Données!BI39+Base_Données!BJ39-Base_Données!GC39-Base_Données!GD39</f>
        <v>-22604</v>
      </c>
      <c r="J37" s="154">
        <f t="shared" si="0"/>
        <v>-72854</v>
      </c>
      <c r="K37" s="154">
        <f>Base_Données!BK39-Base_Données!GE39</f>
        <v>94213</v>
      </c>
      <c r="L37" s="159">
        <f t="shared" si="1"/>
        <v>17323</v>
      </c>
      <c r="M37" s="158">
        <f>Base_Données!S39</f>
        <v>1174595</v>
      </c>
      <c r="N37" s="154">
        <f>Base_Données!T39-(Base_Données!BU39+Base_Données!BZ39+Base_Données!CC39)</f>
        <v>87681</v>
      </c>
      <c r="O37" s="154">
        <f>Base_Données!AC39+Base_Données!AL39+Base_Données!BD39-(Base_Données!CI39)</f>
        <v>550695</v>
      </c>
      <c r="P37" s="154">
        <f>L37+Base_Données!GJ39+Base_Données!GE39+Base_Données!GB39+Base_Données!FV39+Base_Données!FS39+Base_Données!FO39+Base_Données!FE39+Base_Données!DS39-(Base_Données!BK39+Base_Données!BH39+Base_Données!AU39)</f>
        <v>275557</v>
      </c>
      <c r="Q37" s="189">
        <f>P37+Base_Données!AV39-Base_Données!FE39-Base_Données!FO39</f>
        <v>189759</v>
      </c>
      <c r="R37" s="329">
        <f>SIG!Q37+Base_Données!BD39+Base_Données!BH39+Base_Données!BL39+Base_Données!BN39-Base_Données!GB39-Base_Données!GJ39-Base_Données!GF39-Base_Données!FV39</f>
        <v>149354</v>
      </c>
    </row>
    <row r="38" spans="1:18" customFormat="1" x14ac:dyDescent="0.25">
      <c r="A38" s="328">
        <f>Base_Données!A40</f>
        <v>0</v>
      </c>
      <c r="B38" s="181">
        <f>Base_Données!B40</f>
        <v>0</v>
      </c>
      <c r="C38" s="158">
        <f>Base_Données!C40</f>
        <v>0</v>
      </c>
      <c r="D38" s="156">
        <f>Base_Données!Q40</f>
        <v>1556737</v>
      </c>
      <c r="E38" s="156">
        <f>Base_Données!BR40</f>
        <v>1630409</v>
      </c>
      <c r="F38" s="155">
        <f>Base_Données!R40</f>
        <v>1246388</v>
      </c>
      <c r="G38" s="154">
        <f>Base_Données!BS40</f>
        <v>1481834</v>
      </c>
      <c r="H38" s="155">
        <f>SIG!F38-SIG!G38</f>
        <v>-235446</v>
      </c>
      <c r="I38" s="159">
        <f>Base_Données!BI40+Base_Données!BJ40-Base_Données!GC40-Base_Données!GD40</f>
        <v>-117603</v>
      </c>
      <c r="J38" s="154">
        <f t="shared" si="0"/>
        <v>-353049</v>
      </c>
      <c r="K38" s="154">
        <f>Base_Données!BK40-Base_Données!GE40</f>
        <v>279377</v>
      </c>
      <c r="L38" s="159">
        <f t="shared" si="1"/>
        <v>-73672</v>
      </c>
      <c r="M38" s="158">
        <f>Base_Données!S40</f>
        <v>1198643</v>
      </c>
      <c r="N38" s="154">
        <f>Base_Données!T40-(Base_Données!BU40+Base_Données!BZ40+Base_Données!CC40)</f>
        <v>108432</v>
      </c>
      <c r="O38" s="154">
        <f>Base_Données!AC40+Base_Données!AL40+Base_Données!BD40-(Base_Données!CI40)</f>
        <v>580777</v>
      </c>
      <c r="P38" s="154">
        <f>L38+Base_Données!GJ40+Base_Données!GE40+Base_Données!GB40+Base_Données!FV40+Base_Données!FS40+Base_Données!FO40+Base_Données!FE40+Base_Données!DS40-(Base_Données!BK40+Base_Données!BH40+Base_Données!AU40)</f>
        <v>375468</v>
      </c>
      <c r="Q38" s="189">
        <f>P38+Base_Données!AV40-Base_Données!FE40-Base_Données!FO40</f>
        <v>85896</v>
      </c>
      <c r="R38" s="329">
        <f>SIG!Q38+Base_Données!BD40+Base_Données!BH40+Base_Données!BL40+Base_Données!BN40-Base_Données!GB40-Base_Données!GJ40-Base_Données!GF40-Base_Données!FV40</f>
        <v>22067</v>
      </c>
    </row>
    <row r="39" spans="1:18" customFormat="1" x14ac:dyDescent="0.25">
      <c r="A39" s="328">
        <f>Base_Données!A41</f>
        <v>0</v>
      </c>
      <c r="B39" s="181">
        <f>Base_Données!B41</f>
        <v>0</v>
      </c>
      <c r="C39" s="158">
        <f>Base_Données!C41</f>
        <v>0</v>
      </c>
      <c r="D39" s="156">
        <f>Base_Données!Q41</f>
        <v>1633571</v>
      </c>
      <c r="E39" s="156">
        <f>Base_Données!BR41</f>
        <v>1623541</v>
      </c>
      <c r="F39" s="155">
        <f>Base_Données!R41</f>
        <v>1369588</v>
      </c>
      <c r="G39" s="154">
        <f>Base_Données!BS41</f>
        <v>1512880</v>
      </c>
      <c r="H39" s="155">
        <f>SIG!F39-SIG!G39</f>
        <v>-143292</v>
      </c>
      <c r="I39" s="159">
        <f>Base_Données!BI41+Base_Données!BJ41-Base_Données!GC41-Base_Données!GD41</f>
        <v>-109196</v>
      </c>
      <c r="J39" s="154">
        <f t="shared" si="0"/>
        <v>-252488</v>
      </c>
      <c r="K39" s="154">
        <f>Base_Données!BK41-Base_Données!GE41</f>
        <v>262518</v>
      </c>
      <c r="L39" s="159">
        <f t="shared" si="1"/>
        <v>10030</v>
      </c>
      <c r="M39" s="158">
        <f>Base_Données!S41</f>
        <v>1334787</v>
      </c>
      <c r="N39" s="154">
        <f>Base_Données!T41-(Base_Données!BU41+Base_Données!BZ41+Base_Données!CC41)</f>
        <v>123194</v>
      </c>
      <c r="O39" s="154">
        <f>Base_Données!AC41+Base_Données!AL41+Base_Données!BD41-(Base_Données!CI41)</f>
        <v>645243</v>
      </c>
      <c r="P39" s="154">
        <f>L39+Base_Données!GJ41+Base_Données!GE41+Base_Données!GB41+Base_Données!FV41+Base_Données!FS41+Base_Données!FO41+Base_Données!FE41+Base_Données!DS41-(Base_Données!BK41+Base_Données!BH41+Base_Données!AU41)</f>
        <v>457327</v>
      </c>
      <c r="Q39" s="189">
        <f>P39+Base_Données!AV41-Base_Données!FE41-Base_Données!FO41</f>
        <v>179900</v>
      </c>
      <c r="R39" s="329">
        <f>SIG!Q39+Base_Données!BD41+Base_Données!BH41+Base_Données!BL41+Base_Données!BN41-Base_Données!GB41-Base_Données!GJ41-Base_Données!GF41-Base_Données!FV41</f>
        <v>88150</v>
      </c>
    </row>
    <row r="40" spans="1:18" customFormat="1" x14ac:dyDescent="0.25">
      <c r="A40" s="328">
        <f>Base_Données!A42</f>
        <v>0</v>
      </c>
      <c r="B40" s="181">
        <f>Base_Données!B42</f>
        <v>0</v>
      </c>
      <c r="C40" s="158">
        <f>Base_Données!C42</f>
        <v>0</v>
      </c>
      <c r="D40" s="156">
        <f>Base_Données!Q42</f>
        <v>1398135.1700000002</v>
      </c>
      <c r="E40" s="156">
        <f>Base_Données!BR42</f>
        <v>1361815.31</v>
      </c>
      <c r="F40" s="155">
        <f>Base_Données!R42</f>
        <v>1393028.77</v>
      </c>
      <c r="G40" s="154">
        <f>Base_Données!BS42</f>
        <v>1287966.6100000001</v>
      </c>
      <c r="H40" s="155">
        <f>SIG!F40-SIG!G40</f>
        <v>105062.15999999992</v>
      </c>
      <c r="I40" s="159">
        <f>Base_Données!BI42+Base_Données!BJ42-Base_Données!GC42-Base_Données!GD42</f>
        <v>-65063.1</v>
      </c>
      <c r="J40" s="154">
        <f t="shared" si="0"/>
        <v>39999.059999999918</v>
      </c>
      <c r="K40" s="154">
        <f>Base_Données!BK42-Base_Données!GE42</f>
        <v>2935.8</v>
      </c>
      <c r="L40" s="159">
        <f t="shared" si="1"/>
        <v>36319.860000000102</v>
      </c>
      <c r="M40" s="158">
        <f>Base_Données!S42</f>
        <v>1335296.77</v>
      </c>
      <c r="N40" s="154">
        <f>Base_Données!T42-(Base_Données!BU42+Base_Données!BZ42+Base_Données!CC42)</f>
        <v>97086.069999999978</v>
      </c>
      <c r="O40" s="154">
        <f>Base_Données!AC42+Base_Données!AL42+Base_Données!BD42-(Base_Données!CI42)</f>
        <v>680132.3</v>
      </c>
      <c r="P40" s="154">
        <f>L40+Base_Données!GJ42+Base_Données!GE42+Base_Données!GB42+Base_Données!FV42+Base_Données!FS42+Base_Données!FO42+Base_Données!FE42+Base_Données!DS42-(Base_Données!BK42+Base_Données!BH42+Base_Données!AU42)</f>
        <v>479169.30000000016</v>
      </c>
      <c r="Q40" s="189">
        <f>P40+Base_Données!AV42-Base_Données!FE42-Base_Données!FO42</f>
        <v>134773.70000000019</v>
      </c>
      <c r="R40" s="329">
        <f>SIG!Q40+Base_Données!BD42+Base_Données!BH42+Base_Données!BL42+Base_Données!BN42-Base_Données!GB42-Base_Données!GJ42-Base_Données!GF42-Base_Données!FV42</f>
        <v>48571.010000000184</v>
      </c>
    </row>
    <row r="41" spans="1:18" customFormat="1" x14ac:dyDescent="0.25">
      <c r="A41" s="328">
        <f>Base_Données!A43</f>
        <v>0</v>
      </c>
      <c r="B41" s="181">
        <f>Base_Données!B43</f>
        <v>0</v>
      </c>
      <c r="C41" s="158">
        <f>Base_Données!C43</f>
        <v>0</v>
      </c>
      <c r="D41" s="156">
        <f>Base_Données!Q43</f>
        <v>1479900.09</v>
      </c>
      <c r="E41" s="156">
        <f>Base_Données!BR43</f>
        <v>1489305.9</v>
      </c>
      <c r="F41" s="155">
        <f>Base_Données!R43</f>
        <v>1478203.79</v>
      </c>
      <c r="G41" s="154">
        <f>Base_Données!BS43</f>
        <v>1413863.2999999998</v>
      </c>
      <c r="H41" s="155">
        <f>SIG!F41-SIG!G41</f>
        <v>64340.490000000224</v>
      </c>
      <c r="I41" s="159">
        <f>Base_Données!BI43+Base_Données!BJ43-Base_Données!GC43-Base_Données!GD43</f>
        <v>-61323.299999999996</v>
      </c>
      <c r="J41" s="154">
        <f t="shared" si="0"/>
        <v>3017.1900000002279</v>
      </c>
      <c r="K41" s="154">
        <f>Base_Données!BK43-Base_Données!GE43</f>
        <v>-12423</v>
      </c>
      <c r="L41" s="159">
        <f t="shared" si="1"/>
        <v>-9405.809999999823</v>
      </c>
      <c r="M41" s="158">
        <f>Base_Données!S43</f>
        <v>1435747.29</v>
      </c>
      <c r="N41" s="154">
        <f>Base_Données!T43-(Base_Données!BU43+Base_Données!BZ43+Base_Données!CC43)</f>
        <v>120496.97</v>
      </c>
      <c r="O41" s="154">
        <f>Base_Données!AC43+Base_Données!AL43+Base_Données!BD43-(Base_Données!CI43)</f>
        <v>695175.82000000018</v>
      </c>
      <c r="P41" s="154">
        <f>L41+Base_Données!GJ43+Base_Données!GE43+Base_Données!GB43+Base_Données!FV43+Base_Données!FS43+Base_Données!FO43+Base_Données!FE43+Base_Données!DS43-(Base_Données!BK43+Base_Données!BH43+Base_Données!AU43)</f>
        <v>515011.52000000019</v>
      </c>
      <c r="Q41" s="189">
        <f>P41+Base_Données!AV43-Base_Données!FE43-Base_Données!FO43</f>
        <v>136642.92000000022</v>
      </c>
      <c r="R41" s="329">
        <f>SIG!Q41+Base_Données!BD43+Base_Données!BH43+Base_Données!BL43+Base_Données!BN43-Base_Données!GB43-Base_Données!GJ43-Base_Données!GF43-Base_Données!FV43</f>
        <v>36927.2300000002</v>
      </c>
    </row>
    <row r="42" spans="1:18" customFormat="1" x14ac:dyDescent="0.25">
      <c r="A42" s="328">
        <f>Base_Données!A44</f>
        <v>0</v>
      </c>
      <c r="B42" s="181">
        <f>Base_Données!B44</f>
        <v>0</v>
      </c>
      <c r="C42" s="158">
        <f>Base_Données!C44</f>
        <v>0</v>
      </c>
      <c r="D42" s="156">
        <f>Base_Données!Q44</f>
        <v>265759</v>
      </c>
      <c r="E42" s="156">
        <f>Base_Données!BR44</f>
        <v>201565.4</v>
      </c>
      <c r="F42" s="155">
        <f>Base_Données!R44</f>
        <v>265759</v>
      </c>
      <c r="G42" s="154">
        <f>Base_Données!BS44</f>
        <v>201565.4</v>
      </c>
      <c r="H42" s="155">
        <f>SIG!F42-SIG!G42</f>
        <v>64193.600000000006</v>
      </c>
      <c r="I42" s="159">
        <f>Base_Données!BI44+Base_Données!BJ44-Base_Données!GC44-Base_Données!GD44</f>
        <v>0</v>
      </c>
      <c r="J42" s="154">
        <f t="shared" si="0"/>
        <v>64193.600000000006</v>
      </c>
      <c r="K42" s="154">
        <f>Base_Données!BK44-Base_Données!GE44</f>
        <v>0</v>
      </c>
      <c r="L42" s="159">
        <f t="shared" si="1"/>
        <v>64193.600000000006</v>
      </c>
      <c r="M42" s="158">
        <f>Base_Données!S44</f>
        <v>265759</v>
      </c>
      <c r="N42" s="154">
        <f>Base_Données!T44-(Base_Données!BU44+Base_Données!BZ44+Base_Données!CC44)</f>
        <v>5708</v>
      </c>
      <c r="O42" s="154">
        <f>Base_Données!AC44+Base_Données!AL44+Base_Données!BD44-(Base_Données!CI44)</f>
        <v>144682</v>
      </c>
      <c r="P42" s="154">
        <f>L42+Base_Données!GJ44+Base_Données!GE44+Base_Données!GB44+Base_Données!FV44+Base_Données!FS44+Base_Données!FO44+Base_Données!FE44+Base_Données!DS44-(Base_Données!BK44+Base_Données!BH44+Base_Données!AU44)</f>
        <v>90864.6</v>
      </c>
      <c r="Q42" s="189">
        <f>P42+Base_Données!AV44-Base_Données!FE44-Base_Données!FO44</f>
        <v>64193.600000000006</v>
      </c>
      <c r="R42" s="329">
        <f>SIG!Q42+Base_Données!BD44+Base_Données!BH44+Base_Données!BL44+Base_Données!BN44-Base_Données!GB44-Base_Données!GJ44-Base_Données!GF44-Base_Données!FV44</f>
        <v>64193.600000000006</v>
      </c>
    </row>
    <row r="43" spans="1:18" customFormat="1" x14ac:dyDescent="0.25">
      <c r="A43" s="328">
        <f>Base_Données!A45</f>
        <v>0</v>
      </c>
      <c r="B43" s="181">
        <f>Base_Données!B45</f>
        <v>0</v>
      </c>
      <c r="C43" s="158">
        <f>Base_Données!C45</f>
        <v>0</v>
      </c>
      <c r="D43" s="156">
        <f>Base_Données!Q45</f>
        <v>3154481.6181818182</v>
      </c>
      <c r="E43" s="156">
        <f>Base_Données!BR45</f>
        <v>2847985</v>
      </c>
      <c r="F43" s="155">
        <f>Base_Données!R45</f>
        <v>2924696.6181818182</v>
      </c>
      <c r="G43" s="154">
        <f>Base_Données!BS45</f>
        <v>2840200</v>
      </c>
      <c r="H43" s="155">
        <f>SIG!F43-SIG!G43</f>
        <v>84496.618181818165</v>
      </c>
      <c r="I43" s="159">
        <f>Base_Données!BI45+Base_Données!BJ45-Base_Données!GC45-Base_Données!GD45</f>
        <v>-7286</v>
      </c>
      <c r="J43" s="154">
        <f t="shared" si="0"/>
        <v>77210.618181818165</v>
      </c>
      <c r="K43" s="154">
        <f>Base_Données!BK45-Base_Données!GE45</f>
        <v>229286</v>
      </c>
      <c r="L43" s="159">
        <f t="shared" si="1"/>
        <v>306496.61818181816</v>
      </c>
      <c r="M43" s="158">
        <f>Base_Données!S45</f>
        <v>2731419.8181818184</v>
      </c>
      <c r="N43" s="154">
        <f>Base_Données!T45-(Base_Données!BU45+Base_Données!BZ45+Base_Données!CC45)</f>
        <v>295752.81818181818</v>
      </c>
      <c r="O43" s="154">
        <f>Base_Données!AC45+Base_Données!AL45+Base_Données!BD45-(Base_Données!CI45)</f>
        <v>1357676.7999999998</v>
      </c>
      <c r="P43" s="154">
        <f>L43+Base_Données!GJ45+Base_Données!GE45+Base_Données!GB45+Base_Données!FV45+Base_Données!FS45+Base_Données!FO45+Base_Données!FE45+Base_Données!DS45-(Base_Données!BK45+Base_Données!BH45+Base_Données!AU45)</f>
        <v>880081.81818181812</v>
      </c>
      <c r="Q43" s="189">
        <f>P43+Base_Données!AV45-Base_Données!FE45-Base_Données!FO45</f>
        <v>494074.81818181812</v>
      </c>
      <c r="R43" s="329">
        <f>SIG!Q43+Base_Données!BD45+Base_Données!BH45+Base_Données!BL45+Base_Données!BN45-Base_Données!GB45-Base_Données!GJ45-Base_Données!GF45-Base_Données!FV45</f>
        <v>452892.61818181811</v>
      </c>
    </row>
    <row r="44" spans="1:18" customFormat="1" x14ac:dyDescent="0.25">
      <c r="A44" s="328">
        <f>Base_Données!A46</f>
        <v>0</v>
      </c>
      <c r="B44" s="181">
        <f>Base_Données!B46</f>
        <v>0</v>
      </c>
      <c r="C44" s="158">
        <f>Base_Données!C46</f>
        <v>0</v>
      </c>
      <c r="D44" s="156">
        <f>Base_Données!Q46</f>
        <v>3083912</v>
      </c>
      <c r="E44" s="156">
        <f>Base_Données!BR46</f>
        <v>2963562</v>
      </c>
      <c r="F44" s="155">
        <f>Base_Données!R46</f>
        <v>2855967</v>
      </c>
      <c r="G44" s="154">
        <f>Base_Données!BS46</f>
        <v>2959848</v>
      </c>
      <c r="H44" s="155">
        <f>SIG!F44-SIG!G44</f>
        <v>-103881</v>
      </c>
      <c r="I44" s="159">
        <f>Base_Données!BI46+Base_Données!BJ46-Base_Données!GC46-Base_Données!GD46</f>
        <v>-1927</v>
      </c>
      <c r="J44" s="154">
        <f t="shared" si="0"/>
        <v>-105808</v>
      </c>
      <c r="K44" s="154">
        <f>Base_Données!BK46-Base_Données!GE46</f>
        <v>226158</v>
      </c>
      <c r="L44" s="159">
        <f t="shared" si="1"/>
        <v>120350</v>
      </c>
      <c r="M44" s="158">
        <f>Base_Données!S46</f>
        <v>2836066</v>
      </c>
      <c r="N44" s="154">
        <f>Base_Données!T46-(Base_Données!BU46+Base_Données!BZ46+Base_Données!CC46)</f>
        <v>317818</v>
      </c>
      <c r="O44" s="154">
        <f>Base_Données!AC46+Base_Données!AL46+Base_Données!BD46-(Base_Données!CI46)</f>
        <v>1393532</v>
      </c>
      <c r="P44" s="154">
        <f>L44+Base_Données!GJ46+Base_Données!GE46+Base_Données!GB46+Base_Données!FV46+Base_Données!FS46+Base_Données!FO46+Base_Données!FE46+Base_Données!DS46-(Base_Données!BK46+Base_Données!BH46+Base_Données!AU46)</f>
        <v>945966</v>
      </c>
      <c r="Q44" s="189">
        <f>P44+Base_Données!AV46-Base_Données!FE46-Base_Données!FO46</f>
        <v>311272</v>
      </c>
      <c r="R44" s="329">
        <f>SIG!Q44+Base_Données!BD46+Base_Données!BH46+Base_Données!BL46+Base_Données!BN46-Base_Données!GB46-Base_Données!GJ46-Base_Données!GF46-Base_Données!FV46</f>
        <v>268467</v>
      </c>
    </row>
    <row r="45" spans="1:18" customFormat="1" x14ac:dyDescent="0.25">
      <c r="A45" s="328">
        <f>Base_Données!A47</f>
        <v>0</v>
      </c>
      <c r="B45" s="181">
        <f>Base_Données!B47</f>
        <v>0</v>
      </c>
      <c r="C45" s="158">
        <f>Base_Données!C47</f>
        <v>0</v>
      </c>
      <c r="D45" s="156">
        <f>Base_Données!Q47</f>
        <v>156549</v>
      </c>
      <c r="E45" s="156">
        <f>Base_Données!BR47</f>
        <v>161250</v>
      </c>
      <c r="F45" s="155">
        <f>Base_Données!R47</f>
        <v>155415</v>
      </c>
      <c r="G45" s="154">
        <f>Base_Données!BS47</f>
        <v>160140</v>
      </c>
      <c r="H45" s="155">
        <f>SIG!F45-SIG!G45</f>
        <v>-4725</v>
      </c>
      <c r="I45" s="159">
        <f>Base_Données!BI47+Base_Données!BJ47-Base_Données!GC47-Base_Données!GD47</f>
        <v>-552</v>
      </c>
      <c r="J45" s="154">
        <f t="shared" si="0"/>
        <v>-5277</v>
      </c>
      <c r="K45" s="154">
        <f>Base_Données!BK47-Base_Données!GE47</f>
        <v>576</v>
      </c>
      <c r="L45" s="159">
        <f t="shared" si="1"/>
        <v>-4701</v>
      </c>
      <c r="M45" s="158">
        <f>Base_Données!S47</f>
        <v>125082</v>
      </c>
      <c r="N45" s="154">
        <f>Base_Données!T47-(Base_Données!BU47+Base_Données!BZ47+Base_Données!CC47)</f>
        <v>16002</v>
      </c>
      <c r="O45" s="154">
        <f>Base_Données!AC47+Base_Données!AL47+Base_Données!BD47-(Base_Données!CI47)</f>
        <v>56607</v>
      </c>
      <c r="P45" s="154">
        <f>L45+Base_Données!GJ47+Base_Données!GE47+Base_Données!GB47+Base_Données!FV47+Base_Données!FS47+Base_Données!FO47+Base_Données!FE47+Base_Données!DS47-(Base_Données!BK47+Base_Données!BH47+Base_Données!AU47)</f>
        <v>33830</v>
      </c>
      <c r="Q45" s="189">
        <f>P45+Base_Données!AV47-Base_Données!FE47-Base_Données!FO47</f>
        <v>-5184</v>
      </c>
      <c r="R45" s="329">
        <f>SIG!Q45+Base_Données!BD47+Base_Données!BH47+Base_Données!BL47+Base_Données!BN47-Base_Données!GB47-Base_Données!GJ47-Base_Données!GF47-Base_Données!FV47</f>
        <v>-7590</v>
      </c>
    </row>
    <row r="46" spans="1:18" customFormat="1" x14ac:dyDescent="0.25">
      <c r="A46" s="328">
        <f>Base_Données!A48</f>
        <v>0</v>
      </c>
      <c r="B46" s="181">
        <f>Base_Données!B48</f>
        <v>0</v>
      </c>
      <c r="C46" s="158">
        <f>Base_Données!C48</f>
        <v>0</v>
      </c>
      <c r="D46" s="156">
        <f>Base_Données!Q48</f>
        <v>1909706.92</v>
      </c>
      <c r="E46" s="156">
        <f>Base_Données!BR48</f>
        <v>1834128</v>
      </c>
      <c r="F46" s="155">
        <f>Base_Données!R48</f>
        <v>1903520.92</v>
      </c>
      <c r="G46" s="154">
        <f>Base_Données!BS48</f>
        <v>1760387</v>
      </c>
      <c r="H46" s="155">
        <f>SIG!F46-SIG!G46</f>
        <v>143133.91999999993</v>
      </c>
      <c r="I46" s="159">
        <f>Base_Données!BI48+Base_Données!BJ48-Base_Données!GC48-Base_Données!GD48</f>
        <v>-62907</v>
      </c>
      <c r="J46" s="154">
        <f t="shared" si="0"/>
        <v>80226.919999999925</v>
      </c>
      <c r="K46" s="154">
        <f>Base_Données!BK48-Base_Données!GE48</f>
        <v>3071</v>
      </c>
      <c r="L46" s="159">
        <f t="shared" si="1"/>
        <v>75578.919999999925</v>
      </c>
      <c r="M46" s="158">
        <f>Base_Données!S48</f>
        <v>1768653.92</v>
      </c>
      <c r="N46" s="154">
        <f>Base_Données!T48-(Base_Données!BU48+Base_Données!BZ48+Base_Données!CC48)</f>
        <v>228602.91999999998</v>
      </c>
      <c r="O46" s="154">
        <f>Base_Données!AC48+Base_Données!AL48+Base_Données!BD48-(Base_Données!CI48)</f>
        <v>777157</v>
      </c>
      <c r="P46" s="154">
        <f>L46+Base_Données!GJ48+Base_Données!GE48+Base_Données!GB48+Base_Données!FV48+Base_Données!FS48+Base_Données!FO48+Base_Données!FE48+Base_Données!DS48-(Base_Données!BK48+Base_Données!BH48+Base_Données!AU48)</f>
        <v>773408.91999999993</v>
      </c>
      <c r="Q46" s="189">
        <f>P46+Base_Données!AV48-Base_Données!FE48-Base_Données!FO48</f>
        <v>565430.91999999993</v>
      </c>
      <c r="R46" s="329">
        <f>SIG!Q46+Base_Données!BD48+Base_Données!BH48+Base_Données!BL48+Base_Données!BN48-Base_Données!GB48-Base_Données!GJ48-Base_Données!GF48-Base_Données!FV48</f>
        <v>495737.91999999993</v>
      </c>
    </row>
    <row r="47" spans="1:18" customFormat="1" x14ac:dyDescent="0.25">
      <c r="A47" s="328">
        <f>Base_Données!A49</f>
        <v>0</v>
      </c>
      <c r="B47" s="181">
        <f>Base_Données!B49</f>
        <v>0</v>
      </c>
      <c r="C47" s="158">
        <f>Base_Données!C49</f>
        <v>0</v>
      </c>
      <c r="D47" s="156">
        <f>Base_Données!Q49</f>
        <v>2078047.4</v>
      </c>
      <c r="E47" s="156">
        <f>Base_Données!BR49</f>
        <v>1932377</v>
      </c>
      <c r="F47" s="155">
        <f>Base_Données!R49</f>
        <v>2065783.4</v>
      </c>
      <c r="G47" s="154">
        <f>Base_Données!BS49</f>
        <v>1821919</v>
      </c>
      <c r="H47" s="155">
        <f>SIG!F47-SIG!G47</f>
        <v>243864.39999999991</v>
      </c>
      <c r="I47" s="159">
        <f>Base_Données!BI49+Base_Données!BJ49-Base_Données!GC49-Base_Données!GD49</f>
        <v>-56727</v>
      </c>
      <c r="J47" s="154">
        <f t="shared" si="0"/>
        <v>187137.39999999991</v>
      </c>
      <c r="K47" s="154">
        <f>Base_Données!BK49-Base_Données!GE49</f>
        <v>6211</v>
      </c>
      <c r="L47" s="159">
        <f t="shared" si="1"/>
        <v>145670.39999999991</v>
      </c>
      <c r="M47" s="158">
        <f>Base_Données!S49</f>
        <v>1923831.4</v>
      </c>
      <c r="N47" s="154">
        <f>Base_Données!T49-(Base_Données!BU49+Base_Données!BZ49+Base_Données!CC49)</f>
        <v>255248.39999999997</v>
      </c>
      <c r="O47" s="154">
        <f>Base_Données!AC49+Base_Données!AL49+Base_Données!BD49-(Base_Données!CI49)</f>
        <v>837647</v>
      </c>
      <c r="P47" s="154">
        <f>L47+Base_Données!GJ49+Base_Données!GE49+Base_Données!GB49+Base_Données!FV49+Base_Données!FS49+Base_Données!FO49+Base_Données!FE49+Base_Données!DS49-(Base_Données!BK49+Base_Données!BH49+Base_Données!AU49)</f>
        <v>870636.39999999991</v>
      </c>
      <c r="Q47" s="189">
        <f>P47+Base_Données!AV49-Base_Données!FE49-Base_Données!FO49</f>
        <v>645544.39999999991</v>
      </c>
      <c r="R47" s="329">
        <f>SIG!Q47+Base_Données!BD49+Base_Données!BH49+Base_Données!BL49+Base_Données!BN49-Base_Données!GB49-Base_Données!GJ49-Base_Données!GF49-Base_Données!FV49</f>
        <v>543642.39999999991</v>
      </c>
    </row>
    <row r="48" spans="1:18" customFormat="1" x14ac:dyDescent="0.25">
      <c r="A48" s="328">
        <f>Base_Données!A50</f>
        <v>0</v>
      </c>
      <c r="B48" s="181">
        <f>Base_Données!B50</f>
        <v>0</v>
      </c>
      <c r="C48" s="158">
        <f>Base_Données!C50</f>
        <v>0</v>
      </c>
      <c r="D48" s="156">
        <f>Base_Données!Q50</f>
        <v>448884</v>
      </c>
      <c r="E48" s="156">
        <f>Base_Données!BR50</f>
        <v>474781</v>
      </c>
      <c r="F48" s="155">
        <f>Base_Données!R50</f>
        <v>422729</v>
      </c>
      <c r="G48" s="154">
        <f>Base_Données!BS50</f>
        <v>465713</v>
      </c>
      <c r="H48" s="155">
        <f>SIG!F48-SIG!G48</f>
        <v>-42984</v>
      </c>
      <c r="I48" s="159">
        <f>Base_Données!BI50+Base_Données!BJ50-Base_Données!GC50-Base_Données!GD50</f>
        <v>-7575</v>
      </c>
      <c r="J48" s="154">
        <f t="shared" si="0"/>
        <v>-50559</v>
      </c>
      <c r="K48" s="154">
        <f>Base_Données!BK50-Base_Données!GE50</f>
        <v>24636</v>
      </c>
      <c r="L48" s="159">
        <f t="shared" si="1"/>
        <v>-25897</v>
      </c>
      <c r="M48" s="158">
        <f>Base_Données!S50</f>
        <v>405421</v>
      </c>
      <c r="N48" s="154">
        <f>Base_Données!T50-(Base_Données!BU50+Base_Données!BZ50+Base_Données!CC50)</f>
        <v>40387</v>
      </c>
      <c r="O48" s="154">
        <f>Base_Données!AC50+Base_Données!AL50+Base_Données!BD50-(Base_Données!CI50)</f>
        <v>189030</v>
      </c>
      <c r="P48" s="154">
        <f>L48+Base_Données!GJ50+Base_Données!GE50+Base_Données!GB50+Base_Données!FV50+Base_Données!FS50+Base_Données!FO50+Base_Données!FE50+Base_Données!DS50-(Base_Données!BK50+Base_Données!BH50+Base_Données!AU50)</f>
        <v>94028</v>
      </c>
      <c r="Q48" s="189">
        <f>P48+Base_Données!AV50-Base_Données!FE50-Base_Données!FO50</f>
        <v>1752</v>
      </c>
      <c r="R48" s="329">
        <f>SIG!Q48+Base_Données!BD50+Base_Données!BH50+Base_Données!BL50+Base_Données!BN50-Base_Données!GB50-Base_Données!GJ50-Base_Données!GF50-Base_Données!FV50</f>
        <v>-14366</v>
      </c>
    </row>
    <row r="49" spans="1:18" customFormat="1" x14ac:dyDescent="0.25">
      <c r="A49" s="328">
        <f>Base_Données!A51</f>
        <v>0</v>
      </c>
      <c r="B49" s="181">
        <f>Base_Données!B51</f>
        <v>0</v>
      </c>
      <c r="C49" s="158">
        <f>Base_Données!C51</f>
        <v>0</v>
      </c>
      <c r="D49" s="156">
        <f>Base_Données!Q51</f>
        <v>435775</v>
      </c>
      <c r="E49" s="156">
        <f>Base_Données!BR51</f>
        <v>474501.7</v>
      </c>
      <c r="F49" s="155">
        <f>Base_Données!R51</f>
        <v>399038</v>
      </c>
      <c r="G49" s="154">
        <f>Base_Données!BS51</f>
        <v>450578.7</v>
      </c>
      <c r="H49" s="155">
        <f>SIG!F49-SIG!G49</f>
        <v>-51540.700000000012</v>
      </c>
      <c r="I49" s="159">
        <f>Base_Données!BI51+Base_Données!BJ51-Base_Données!GC51-Base_Données!GD51</f>
        <v>-6359</v>
      </c>
      <c r="J49" s="154">
        <f t="shared" si="0"/>
        <v>-57899.700000000012</v>
      </c>
      <c r="K49" s="154">
        <f>Base_Données!BK51-Base_Données!GE51</f>
        <v>19155</v>
      </c>
      <c r="L49" s="159">
        <f t="shared" si="1"/>
        <v>-38726.700000000012</v>
      </c>
      <c r="M49" s="158">
        <f>Base_Données!S51</f>
        <v>380584</v>
      </c>
      <c r="N49" s="154">
        <f>Base_Données!T51-(Base_Données!BU51+Base_Données!BZ51+Base_Données!CC51)</f>
        <v>41600</v>
      </c>
      <c r="O49" s="154">
        <f>Base_Données!AC51+Base_Données!AL51+Base_Données!BD51-(Base_Données!CI51)</f>
        <v>177018</v>
      </c>
      <c r="P49" s="154">
        <f>L49+Base_Données!GJ51+Base_Données!GE51+Base_Données!GB51+Base_Données!FV51+Base_Données!FS51+Base_Données!FO51+Base_Données!FE51+Base_Données!DS51-(Base_Données!BK51+Base_Données!BH51+Base_Données!AU51)</f>
        <v>77670.299999999988</v>
      </c>
      <c r="Q49" s="189">
        <f>P49+Base_Données!AV51-Base_Données!FE51-Base_Données!FO51</f>
        <v>-10318.700000000012</v>
      </c>
      <c r="R49" s="329">
        <f>SIG!Q49+Base_Données!BD51+Base_Données!BH51+Base_Données!BL51+Base_Données!BN51-Base_Données!GB51-Base_Données!GJ51-Base_Données!GF51-Base_Données!FV51</f>
        <v>-33215.700000000012</v>
      </c>
    </row>
    <row r="50" spans="1:18" customFormat="1" x14ac:dyDescent="0.25">
      <c r="A50" s="328">
        <f>Base_Données!A52</f>
        <v>0</v>
      </c>
      <c r="B50" s="181">
        <f>Base_Données!B52</f>
        <v>0</v>
      </c>
      <c r="C50" s="158">
        <f>Base_Données!C52</f>
        <v>0</v>
      </c>
      <c r="D50" s="156">
        <f>Base_Données!Q52</f>
        <v>1336369.5</v>
      </c>
      <c r="E50" s="156">
        <f>Base_Données!BR52</f>
        <v>1311758.08</v>
      </c>
      <c r="F50" s="155">
        <f>Base_Données!R52</f>
        <v>965750.66</v>
      </c>
      <c r="G50" s="154">
        <f>Base_Données!BS52</f>
        <v>1027793.2200000001</v>
      </c>
      <c r="H50" s="155">
        <f>SIG!F50-SIG!G50</f>
        <v>-62042.560000000056</v>
      </c>
      <c r="I50" s="159">
        <f>Base_Données!BI52+Base_Données!BJ52-Base_Données!GC52-Base_Données!GD52</f>
        <v>-6760.21</v>
      </c>
      <c r="J50" s="154">
        <f t="shared" si="0"/>
        <v>-68802.770000000062</v>
      </c>
      <c r="K50" s="154">
        <f>Base_Données!BK52-Base_Données!GE52</f>
        <v>102174.19</v>
      </c>
      <c r="L50" s="159">
        <f t="shared" si="1"/>
        <v>24611.419999999925</v>
      </c>
      <c r="M50" s="158">
        <f>Base_Données!S52</f>
        <v>951599.65</v>
      </c>
      <c r="N50" s="154">
        <f>Base_Données!T52-(Base_Données!BU52+Base_Données!BZ52+Base_Données!CC52)</f>
        <v>113858.1</v>
      </c>
      <c r="O50" s="154">
        <f>Base_Données!AC52+Base_Données!AL52+Base_Données!BD52-(Base_Données!CI52)</f>
        <v>451688.48999999993</v>
      </c>
      <c r="P50" s="154">
        <f>L50+Base_Données!GJ52+Base_Données!GE52+Base_Données!GB52+Base_Données!FV52+Base_Données!FS52+Base_Données!FO52+Base_Données!FE52+Base_Données!DS52-(Base_Données!BK52+Base_Données!BH52+Base_Données!AU52)</f>
        <v>396578.6399999999</v>
      </c>
      <c r="Q50" s="189">
        <f>P50+Base_Données!AV52-Base_Données!FE52-Base_Données!FO52</f>
        <v>67672.54999999993</v>
      </c>
      <c r="R50" s="329">
        <f>SIG!Q50+Base_Données!BD52+Base_Données!BH52+Base_Données!BL52+Base_Données!BN52-Base_Données!GB52-Base_Données!GJ52-Base_Données!GF52-Base_Données!FV52</f>
        <v>59310.659999999916</v>
      </c>
    </row>
    <row r="51" spans="1:18" customFormat="1" x14ac:dyDescent="0.25">
      <c r="A51" s="328">
        <f>Base_Données!A53</f>
        <v>0</v>
      </c>
      <c r="B51" s="181">
        <f>Base_Données!B53</f>
        <v>0</v>
      </c>
      <c r="C51" s="158">
        <f>Base_Données!C53</f>
        <v>0</v>
      </c>
      <c r="D51" s="156">
        <f>Base_Données!Q53</f>
        <v>1263032.22</v>
      </c>
      <c r="E51" s="156">
        <f>Base_Données!BR53</f>
        <v>1248825.67</v>
      </c>
      <c r="F51" s="155">
        <f>Base_Données!R53</f>
        <v>1088796.22</v>
      </c>
      <c r="G51" s="154">
        <f>Base_Données!BS53</f>
        <v>1140858.1399999999</v>
      </c>
      <c r="H51" s="155">
        <f>SIG!F51-SIG!G51</f>
        <v>-52061.919999999925</v>
      </c>
      <c r="I51" s="159">
        <f>Base_Données!BI53+Base_Données!BJ53-Base_Données!GC53-Base_Données!GD53</f>
        <v>-6002.5300000000007</v>
      </c>
      <c r="J51" s="154">
        <f t="shared" si="0"/>
        <v>-58064.449999999924</v>
      </c>
      <c r="K51" s="154">
        <f>Base_Données!BK53-Base_Données!GE53</f>
        <v>73594</v>
      </c>
      <c r="L51" s="159">
        <f t="shared" si="1"/>
        <v>14206.550000000047</v>
      </c>
      <c r="M51" s="158">
        <f>Base_Données!S53</f>
        <v>1049283.54</v>
      </c>
      <c r="N51" s="154">
        <f>Base_Données!T53-(Base_Données!BU53+Base_Données!BZ53+Base_Données!CC53)</f>
        <v>103374.58000000002</v>
      </c>
      <c r="O51" s="154">
        <f>Base_Données!AC53+Base_Données!AL53+Base_Données!BD53-(Base_Données!CI53)</f>
        <v>537588.00000000012</v>
      </c>
      <c r="P51" s="154">
        <f>L51+Base_Données!GJ53+Base_Données!GE53+Base_Données!GB53+Base_Données!FV53+Base_Données!FS53+Base_Données!FO53+Base_Données!FE53+Base_Données!DS53-(Base_Données!BK53+Base_Données!BH53+Base_Données!AU53)</f>
        <v>474170.97000000003</v>
      </c>
      <c r="Q51" s="189">
        <f>P51+Base_Données!AV53-Base_Données!FE53-Base_Données!FO53</f>
        <v>89529.020000000019</v>
      </c>
      <c r="R51" s="329">
        <f>SIG!Q51+Base_Données!BD53+Base_Données!BH53+Base_Données!BL53+Base_Données!BN53-Base_Données!GB53-Base_Données!GJ53-Base_Données!GF53-Base_Données!FV53</f>
        <v>65624.650000000023</v>
      </c>
    </row>
    <row r="52" spans="1:18" customFormat="1" x14ac:dyDescent="0.25">
      <c r="A52" s="328">
        <f>Base_Données!A54</f>
        <v>0</v>
      </c>
      <c r="B52" s="181">
        <f>Base_Données!B54</f>
        <v>0</v>
      </c>
      <c r="C52" s="158">
        <f>Base_Données!C54</f>
        <v>0</v>
      </c>
      <c r="D52" s="156">
        <f>Base_Données!Q54</f>
        <v>601166</v>
      </c>
      <c r="E52" s="156">
        <f>Base_Données!BR54</f>
        <v>589715</v>
      </c>
      <c r="F52" s="155">
        <f>Base_Données!R54</f>
        <v>567260</v>
      </c>
      <c r="G52" s="154">
        <f>Base_Données!BS54</f>
        <v>550088</v>
      </c>
      <c r="H52" s="155">
        <f>SIG!F52-SIG!G52</f>
        <v>17172</v>
      </c>
      <c r="I52" s="159">
        <f>Base_Données!BI54+Base_Données!BJ54-Base_Données!GC54-Base_Données!GD54</f>
        <v>-1232</v>
      </c>
      <c r="J52" s="154">
        <f t="shared" si="0"/>
        <v>15940</v>
      </c>
      <c r="K52" s="154">
        <f>Base_Données!BK54-Base_Données!GE54</f>
        <v>-1506</v>
      </c>
      <c r="L52" s="159">
        <f t="shared" si="1"/>
        <v>11451</v>
      </c>
      <c r="M52" s="158">
        <f>Base_Données!S54</f>
        <v>407427</v>
      </c>
      <c r="N52" s="154">
        <f>Base_Données!T54-(Base_Données!BU54+Base_Données!BZ54+Base_Données!CC54)</f>
        <v>27518</v>
      </c>
      <c r="O52" s="154">
        <f>Base_Données!AC54+Base_Données!AL54+Base_Données!BD54-(Base_Données!CI54)</f>
        <v>188254</v>
      </c>
      <c r="P52" s="154">
        <f>L52+Base_Données!GJ54+Base_Données!GE54+Base_Données!GB54+Base_Données!FV54+Base_Données!FS54+Base_Données!FO54+Base_Données!FE54+Base_Données!DS54-(Base_Données!BK54+Base_Données!BH54+Base_Données!AU54)</f>
        <v>24929</v>
      </c>
      <c r="Q52" s="189">
        <f>P52+Base_Données!AV54-Base_Données!FE54-Base_Données!FO54</f>
        <v>15254</v>
      </c>
      <c r="R52" s="329">
        <f>SIG!Q52+Base_Données!BD54+Base_Données!BH54+Base_Données!BL54+Base_Données!BN54-Base_Données!GB54-Base_Données!GJ54-Base_Données!GF54-Base_Données!FV54</f>
        <v>-20984</v>
      </c>
    </row>
    <row r="53" spans="1:18" customFormat="1" x14ac:dyDescent="0.25">
      <c r="A53" s="328">
        <f>Base_Données!A55</f>
        <v>0</v>
      </c>
      <c r="B53" s="181">
        <f>Base_Données!B55</f>
        <v>0</v>
      </c>
      <c r="C53" s="158">
        <f>Base_Données!C55</f>
        <v>0</v>
      </c>
      <c r="D53" s="156">
        <f>Base_Données!Q55</f>
        <v>565120</v>
      </c>
      <c r="E53" s="156">
        <f>Base_Données!BR55</f>
        <v>545236</v>
      </c>
      <c r="F53" s="155">
        <f>Base_Données!R55</f>
        <v>535374</v>
      </c>
      <c r="G53" s="154">
        <f>Base_Données!BS55</f>
        <v>539189</v>
      </c>
      <c r="H53" s="155">
        <f>SIG!F53-SIG!G53</f>
        <v>-3815</v>
      </c>
      <c r="I53" s="159">
        <f>Base_Données!BI55+Base_Données!BJ55-Base_Données!GC55-Base_Données!GD55</f>
        <v>-1087</v>
      </c>
      <c r="J53" s="154">
        <f t="shared" si="0"/>
        <v>-4902</v>
      </c>
      <c r="K53" s="154">
        <f>Base_Données!BK55-Base_Données!GE55</f>
        <v>25877</v>
      </c>
      <c r="L53" s="159">
        <f t="shared" si="1"/>
        <v>19884</v>
      </c>
      <c r="M53" s="158">
        <f>Base_Données!S55</f>
        <v>448558</v>
      </c>
      <c r="N53" s="154">
        <f>Base_Données!T55-(Base_Données!BU55+Base_Données!BZ55+Base_Données!CC55)</f>
        <v>9663</v>
      </c>
      <c r="O53" s="154">
        <f>Base_Données!AC55+Base_Données!AL55+Base_Données!BD55-(Base_Données!CI55)</f>
        <v>220606</v>
      </c>
      <c r="P53" s="154">
        <f>L53+Base_Données!GJ55+Base_Données!GE55+Base_Données!GB55+Base_Données!FV55+Base_Données!FS55+Base_Données!FO55+Base_Données!FE55+Base_Données!DS55-(Base_Données!BK55+Base_Données!BH55+Base_Données!AU55)</f>
        <v>86882</v>
      </c>
      <c r="Q53" s="189">
        <f>P53+Base_Données!AV55-Base_Données!FE55-Base_Données!FO55</f>
        <v>65630</v>
      </c>
      <c r="R53" s="329">
        <f>SIG!Q53+Base_Données!BD55+Base_Données!BH55+Base_Données!BL55+Base_Données!BN55-Base_Données!GB55-Base_Données!GJ55-Base_Données!GF55-Base_Données!FV55</f>
        <v>57839</v>
      </c>
    </row>
    <row r="54" spans="1:18" customFormat="1" x14ac:dyDescent="0.25">
      <c r="A54" s="328">
        <f>Base_Données!A56</f>
        <v>0</v>
      </c>
      <c r="B54" s="181">
        <f>Base_Données!B56</f>
        <v>0</v>
      </c>
      <c r="C54" s="158">
        <f>Base_Données!C56</f>
        <v>0</v>
      </c>
      <c r="D54" s="156">
        <f>Base_Données!Q56</f>
        <v>405987</v>
      </c>
      <c r="E54" s="156">
        <f>Base_Données!BR56</f>
        <v>514894</v>
      </c>
      <c r="F54" s="155">
        <f>Base_Données!R56</f>
        <v>363099</v>
      </c>
      <c r="G54" s="154">
        <f>Base_Données!BS56</f>
        <v>504584</v>
      </c>
      <c r="H54" s="155">
        <f>SIG!F54-SIG!G54</f>
        <v>-141485</v>
      </c>
      <c r="I54" s="159">
        <f>Base_Données!BI56+Base_Données!BJ56-Base_Données!GC56-Base_Données!GD56</f>
        <v>-3456</v>
      </c>
      <c r="J54" s="154">
        <f t="shared" si="0"/>
        <v>-144941</v>
      </c>
      <c r="K54" s="154">
        <f>Base_Données!BK56-Base_Données!GE56</f>
        <v>36034</v>
      </c>
      <c r="L54" s="159">
        <f t="shared" si="1"/>
        <v>-108907</v>
      </c>
      <c r="M54" s="158">
        <f>Base_Données!S56</f>
        <v>291382</v>
      </c>
      <c r="N54" s="154">
        <f>Base_Données!T56-(Base_Données!BU56+Base_Données!BZ56+Base_Données!CC56)</f>
        <v>15449</v>
      </c>
      <c r="O54" s="154">
        <f>Base_Données!AC56+Base_Données!AL56+Base_Données!BD56-(Base_Données!CI56)</f>
        <v>90734</v>
      </c>
      <c r="P54" s="154">
        <f>L54+Base_Données!GJ56+Base_Données!GE56+Base_Données!GB56+Base_Données!FV56+Base_Données!FS56+Base_Données!FO56+Base_Données!FE56+Base_Données!DS56-(Base_Données!BK56+Base_Données!BH56+Base_Données!AU56)</f>
        <v>-42441</v>
      </c>
      <c r="Q54" s="189">
        <f>P54+Base_Données!AV56-Base_Données!FE56-Base_Données!FO56</f>
        <v>-56223</v>
      </c>
      <c r="R54" s="329">
        <f>SIG!Q54+Base_Données!BD56+Base_Données!BH56+Base_Données!BL56+Base_Données!BN56-Base_Données!GB56-Base_Données!GJ56-Base_Données!GF56-Base_Données!FV56</f>
        <v>-67895</v>
      </c>
    </row>
    <row r="55" spans="1:18" customFormat="1" x14ac:dyDescent="0.25">
      <c r="A55" s="328">
        <f>Base_Données!A57</f>
        <v>0</v>
      </c>
      <c r="B55" s="181">
        <f>Base_Données!B57</f>
        <v>0</v>
      </c>
      <c r="C55" s="158">
        <f>Base_Données!C57</f>
        <v>0</v>
      </c>
      <c r="D55" s="156">
        <f>Base_Données!Q57</f>
        <v>74554.5</v>
      </c>
      <c r="E55" s="156">
        <f>Base_Données!BR57</f>
        <v>19291.5</v>
      </c>
      <c r="F55" s="155">
        <f>Base_Données!R57</f>
        <v>29139</v>
      </c>
      <c r="G55" s="154">
        <f>Base_Données!BS57</f>
        <v>19291.5</v>
      </c>
      <c r="H55" s="155">
        <f>SIG!F55-SIG!G55</f>
        <v>9847.5</v>
      </c>
      <c r="I55" s="159">
        <f>Base_Données!BI57+Base_Données!BJ57-Base_Données!GC57-Base_Données!GD57</f>
        <v>0</v>
      </c>
      <c r="J55" s="154">
        <f t="shared" si="0"/>
        <v>9847.5</v>
      </c>
      <c r="K55" s="154">
        <f>Base_Données!BK57-Base_Données!GE57</f>
        <v>45415.5</v>
      </c>
      <c r="L55" s="159">
        <f t="shared" si="1"/>
        <v>55263</v>
      </c>
      <c r="M55" s="158">
        <f>Base_Données!S57</f>
        <v>24287.5</v>
      </c>
      <c r="N55" s="154">
        <f>Base_Données!T57-(Base_Données!BU57+Base_Données!BZ57+Base_Données!CC57)</f>
        <v>0</v>
      </c>
      <c r="O55" s="154">
        <f>Base_Données!AC57+Base_Données!AL57+Base_Données!BD57-(Base_Données!CI57)</f>
        <v>12382.5</v>
      </c>
      <c r="P55" s="154">
        <f>L55+Base_Données!GJ57+Base_Données!GE57+Base_Données!GB57+Base_Données!FV57+Base_Données!FS57+Base_Données!FO57+Base_Données!FE57+Base_Données!DS57-(Base_Données!BK57+Base_Données!BH57+Base_Données!AU57)</f>
        <v>7014.5</v>
      </c>
      <c r="Q55" s="189">
        <f>P55+Base_Données!AV57-Base_Données!FE57-Base_Données!FO57</f>
        <v>10790.5</v>
      </c>
      <c r="R55" s="329">
        <f>SIG!Q55+Base_Données!BD57+Base_Données!BH57+Base_Données!BL57+Base_Données!BN57-Base_Données!GB57-Base_Données!GJ57-Base_Données!GF57-Base_Données!FV57</f>
        <v>37745.5</v>
      </c>
    </row>
    <row r="56" spans="1:18" customFormat="1" x14ac:dyDescent="0.25">
      <c r="A56" s="328">
        <f>Base_Données!A58</f>
        <v>0</v>
      </c>
      <c r="B56" s="181">
        <f>Base_Données!B58</f>
        <v>0</v>
      </c>
      <c r="C56" s="158">
        <f>Base_Données!C58</f>
        <v>0</v>
      </c>
      <c r="D56" s="156">
        <f>Base_Données!Q58</f>
        <v>29778.39</v>
      </c>
      <c r="E56" s="156">
        <f>Base_Données!BR58</f>
        <v>17410.400000000001</v>
      </c>
      <c r="F56" s="155">
        <f>Base_Données!R58</f>
        <v>29778.39</v>
      </c>
      <c r="G56" s="154">
        <f>Base_Données!BS58</f>
        <v>17410.400000000001</v>
      </c>
      <c r="H56" s="155">
        <f>SIG!F56-SIG!G56</f>
        <v>12367.989999999998</v>
      </c>
      <c r="I56" s="159">
        <f>Base_Données!BI58+Base_Données!BJ58-Base_Données!GC58-Base_Données!GD58</f>
        <v>0</v>
      </c>
      <c r="J56" s="154">
        <f t="shared" si="0"/>
        <v>12367.989999999998</v>
      </c>
      <c r="K56" s="154">
        <f>Base_Données!BK58-Base_Données!GE58</f>
        <v>0</v>
      </c>
      <c r="L56" s="159">
        <f t="shared" si="1"/>
        <v>12367.989999999998</v>
      </c>
      <c r="M56" s="158">
        <f>Base_Données!S58</f>
        <v>23923</v>
      </c>
      <c r="N56" s="154">
        <f>Base_Données!T58-(Base_Données!BU58+Base_Données!BZ58+Base_Données!CC58)</f>
        <v>0</v>
      </c>
      <c r="O56" s="154">
        <f>Base_Données!AC58+Base_Données!AL58+Base_Données!BD58-(Base_Données!CI58)</f>
        <v>11215.5</v>
      </c>
      <c r="P56" s="154">
        <f>L56+Base_Données!GJ58+Base_Données!GE58+Base_Données!GB58+Base_Données!FV58+Base_Données!FS58+Base_Données!FO58+Base_Données!FE58+Base_Données!DS58-(Base_Données!BK58+Base_Données!BH58+Base_Données!AU58)</f>
        <v>7132.9999999999973</v>
      </c>
      <c r="Q56" s="189">
        <f>P56+Base_Données!AV58-Base_Données!FE58-Base_Données!FO58</f>
        <v>12724.889999999998</v>
      </c>
      <c r="R56" s="329">
        <f>SIG!Q56+Base_Données!BD58+Base_Données!BH58+Base_Données!BL58+Base_Données!BN58-Base_Données!GB58-Base_Données!GJ58-Base_Données!GF58-Base_Données!FV58</f>
        <v>12367.989999999998</v>
      </c>
    </row>
    <row r="57" spans="1:18" customFormat="1" x14ac:dyDescent="0.25">
      <c r="A57" s="328">
        <f>Base_Données!A59</f>
        <v>0</v>
      </c>
      <c r="B57" s="181">
        <f>Base_Données!B59</f>
        <v>0</v>
      </c>
      <c r="C57" s="158">
        <f>Base_Données!C59</f>
        <v>0</v>
      </c>
      <c r="D57" s="156">
        <f>Base_Données!Q59</f>
        <v>0</v>
      </c>
      <c r="E57" s="156">
        <f>Base_Données!BR59</f>
        <v>0</v>
      </c>
      <c r="F57" s="155">
        <f>Base_Données!R59</f>
        <v>0</v>
      </c>
      <c r="G57" s="154">
        <f>Base_Données!BS59</f>
        <v>0</v>
      </c>
      <c r="H57" s="155">
        <f>SIG!F57-SIG!G57</f>
        <v>0</v>
      </c>
      <c r="I57" s="159">
        <f>Base_Données!BI59+Base_Données!BJ59-Base_Données!GC59-Base_Données!GD59</f>
        <v>0</v>
      </c>
      <c r="J57" s="154">
        <f t="shared" si="0"/>
        <v>0</v>
      </c>
      <c r="K57" s="154">
        <f>Base_Données!BK59-Base_Données!GE59</f>
        <v>0</v>
      </c>
      <c r="L57" s="159">
        <f t="shared" si="1"/>
        <v>0</v>
      </c>
      <c r="M57" s="158">
        <f>Base_Données!S59</f>
        <v>0</v>
      </c>
      <c r="N57" s="154">
        <f>Base_Données!T59-(Base_Données!BU59+Base_Données!BZ59+Base_Données!CC59)</f>
        <v>0</v>
      </c>
      <c r="O57" s="154">
        <f>Base_Données!AC59+Base_Données!AL59+Base_Données!BD59-(Base_Données!CI59)</f>
        <v>0</v>
      </c>
      <c r="P57" s="154">
        <f>L57+Base_Données!GJ59+Base_Données!GE59+Base_Données!GB59+Base_Données!FV59+Base_Données!FS59+Base_Données!FO59+Base_Données!FE59+Base_Données!DS59-(Base_Données!BK59+Base_Données!BH59+Base_Données!AU59)</f>
        <v>0</v>
      </c>
      <c r="Q57" s="189">
        <f>P57+Base_Données!AV59-Base_Données!FE59-Base_Données!FO59</f>
        <v>0</v>
      </c>
      <c r="R57" s="329">
        <f>SIG!Q57+Base_Données!BD59+Base_Données!BH59+Base_Données!BL59+Base_Données!BN59-Base_Données!GB59-Base_Données!GJ59-Base_Données!GF59-Base_Données!FV59</f>
        <v>0</v>
      </c>
    </row>
    <row r="58" spans="1:18" customFormat="1" x14ac:dyDescent="0.25">
      <c r="A58" s="328">
        <f>Base_Données!A60</f>
        <v>0</v>
      </c>
      <c r="B58" s="181">
        <f>Base_Données!B60</f>
        <v>0</v>
      </c>
      <c r="C58" s="158">
        <f>Base_Données!C60</f>
        <v>0</v>
      </c>
      <c r="D58" s="156">
        <f>Base_Données!Q60</f>
        <v>0</v>
      </c>
      <c r="E58" s="156">
        <f>Base_Données!BR60</f>
        <v>0</v>
      </c>
      <c r="F58" s="155">
        <f>Base_Données!R60</f>
        <v>0</v>
      </c>
      <c r="G58" s="154">
        <f>Base_Données!BS60</f>
        <v>0</v>
      </c>
      <c r="H58" s="155">
        <f>SIG!F58-SIG!G58</f>
        <v>0</v>
      </c>
      <c r="I58" s="159">
        <f>Base_Données!BI60+Base_Données!BJ60-Base_Données!GC60-Base_Données!GD60</f>
        <v>0</v>
      </c>
      <c r="J58" s="154">
        <f t="shared" si="0"/>
        <v>0</v>
      </c>
      <c r="K58" s="154">
        <f>Base_Données!BK60-Base_Données!GE60</f>
        <v>0</v>
      </c>
      <c r="L58" s="159">
        <f t="shared" si="1"/>
        <v>0</v>
      </c>
      <c r="M58" s="158">
        <f>Base_Données!S60</f>
        <v>0</v>
      </c>
      <c r="N58" s="154">
        <f>Base_Données!T60-(Base_Données!BU60+Base_Données!BZ60+Base_Données!CC60)</f>
        <v>0</v>
      </c>
      <c r="O58" s="154">
        <f>Base_Données!AC60+Base_Données!AL60+Base_Données!BD60-(Base_Données!CI60)</f>
        <v>0</v>
      </c>
      <c r="P58" s="154">
        <f>L58+Base_Données!GJ60+Base_Données!GE60+Base_Données!GB60+Base_Données!FV60+Base_Données!FS60+Base_Données!FO60+Base_Données!FE60+Base_Données!DS60-(Base_Données!BK60+Base_Données!BH60+Base_Données!AU60)</f>
        <v>0</v>
      </c>
      <c r="Q58" s="189">
        <f>P58+Base_Données!AV60-Base_Données!FE60-Base_Données!FO60</f>
        <v>0</v>
      </c>
      <c r="R58" s="329">
        <f>SIG!Q58+Base_Données!BD60+Base_Données!BH60+Base_Données!BL60+Base_Données!BN60-Base_Données!GB60-Base_Données!GJ60-Base_Données!GF60-Base_Données!FV60</f>
        <v>0</v>
      </c>
    </row>
    <row r="59" spans="1:18" customFormat="1" x14ac:dyDescent="0.25">
      <c r="A59" s="328">
        <f>Base_Données!A61</f>
        <v>0</v>
      </c>
      <c r="B59" s="181">
        <f>Base_Données!B61</f>
        <v>0</v>
      </c>
      <c r="C59" s="158">
        <f>Base_Données!C61</f>
        <v>0</v>
      </c>
      <c r="D59" s="156">
        <f>Base_Données!Q61</f>
        <v>0</v>
      </c>
      <c r="E59" s="156">
        <f>Base_Données!BR61</f>
        <v>0</v>
      </c>
      <c r="F59" s="155">
        <f>Base_Données!R61</f>
        <v>0</v>
      </c>
      <c r="G59" s="154">
        <f>Base_Données!BS61</f>
        <v>0</v>
      </c>
      <c r="H59" s="155">
        <f>SIG!F59-SIG!G59</f>
        <v>0</v>
      </c>
      <c r="I59" s="159">
        <f>Base_Données!BI61+Base_Données!BJ61-Base_Données!GC61-Base_Données!GD61</f>
        <v>0</v>
      </c>
      <c r="J59" s="154">
        <f t="shared" si="0"/>
        <v>0</v>
      </c>
      <c r="K59" s="154">
        <f>Base_Données!BK61-Base_Données!GE61</f>
        <v>0</v>
      </c>
      <c r="L59" s="159">
        <f t="shared" si="1"/>
        <v>0</v>
      </c>
      <c r="M59" s="158">
        <f>Base_Données!S61</f>
        <v>0</v>
      </c>
      <c r="N59" s="154">
        <f>Base_Données!T61-(Base_Données!BU61+Base_Données!BZ61+Base_Données!CC61)</f>
        <v>0</v>
      </c>
      <c r="O59" s="154">
        <f>Base_Données!AC61+Base_Données!AL61+Base_Données!BD61-(Base_Données!CI61)</f>
        <v>0</v>
      </c>
      <c r="P59" s="154">
        <f>L59+Base_Données!GJ61+Base_Données!GE61+Base_Données!GB61+Base_Données!FV61+Base_Données!FS61+Base_Données!FO61+Base_Données!FE61+Base_Données!DS61-(Base_Données!BK61+Base_Données!BH61+Base_Données!AU61)</f>
        <v>0</v>
      </c>
      <c r="Q59" s="189">
        <f>P59+Base_Données!AV61-Base_Données!FE61-Base_Données!FO61</f>
        <v>0</v>
      </c>
      <c r="R59" s="329">
        <f>SIG!Q59+Base_Données!BD61+Base_Données!BH61+Base_Données!BL61+Base_Données!BN61-Base_Données!GB61-Base_Données!GJ61-Base_Données!GF61-Base_Données!FV61</f>
        <v>0</v>
      </c>
    </row>
    <row r="60" spans="1:18" customFormat="1" x14ac:dyDescent="0.25">
      <c r="A60" s="328">
        <f>Base_Données!A62</f>
        <v>0</v>
      </c>
      <c r="B60" s="181">
        <f>Base_Données!B62</f>
        <v>0</v>
      </c>
      <c r="C60" s="158">
        <f>Base_Données!C62</f>
        <v>0</v>
      </c>
      <c r="D60" s="156">
        <f>Base_Données!Q62</f>
        <v>0</v>
      </c>
      <c r="E60" s="156">
        <f>Base_Données!BR62</f>
        <v>0</v>
      </c>
      <c r="F60" s="155">
        <f>Base_Données!R62</f>
        <v>0</v>
      </c>
      <c r="G60" s="154">
        <f>Base_Données!BS62</f>
        <v>0</v>
      </c>
      <c r="H60" s="155">
        <f>SIG!F60-SIG!G60</f>
        <v>0</v>
      </c>
      <c r="I60" s="159">
        <f>Base_Données!BI62+Base_Données!BJ62-Base_Données!GC62-Base_Données!GD62</f>
        <v>0</v>
      </c>
      <c r="J60" s="154">
        <f t="shared" si="0"/>
        <v>0</v>
      </c>
      <c r="K60" s="154">
        <f>Base_Données!BK62-Base_Données!GE62</f>
        <v>0</v>
      </c>
      <c r="L60" s="159">
        <f t="shared" si="1"/>
        <v>0</v>
      </c>
      <c r="M60" s="158">
        <f>Base_Données!S62</f>
        <v>0</v>
      </c>
      <c r="N60" s="154">
        <f>Base_Données!T62-(Base_Données!BU62+Base_Données!BZ62+Base_Données!CC62)</f>
        <v>0</v>
      </c>
      <c r="O60" s="154">
        <f>Base_Données!AC62+Base_Données!AL62+Base_Données!BD62-(Base_Données!CI62)</f>
        <v>0</v>
      </c>
      <c r="P60" s="154">
        <f>L60+Base_Données!GJ62+Base_Données!GE62+Base_Données!GB62+Base_Données!FV62+Base_Données!FS62+Base_Données!FO62+Base_Données!FE62+Base_Données!DS62-(Base_Données!BK62+Base_Données!BH62+Base_Données!AU62)</f>
        <v>0</v>
      </c>
      <c r="Q60" s="189">
        <f>P60+Base_Données!AV62-Base_Données!FE62-Base_Données!FO62</f>
        <v>0</v>
      </c>
      <c r="R60" s="329">
        <f>SIG!Q60+Base_Données!BD62+Base_Données!BH62+Base_Données!BL62+Base_Données!BN62-Base_Données!GB62-Base_Données!GJ62-Base_Données!GF62-Base_Données!FV62</f>
        <v>0</v>
      </c>
    </row>
    <row r="61" spans="1:18" customFormat="1" x14ac:dyDescent="0.25">
      <c r="A61" s="328">
        <f>Base_Données!A63</f>
        <v>0</v>
      </c>
      <c r="B61" s="181">
        <f>Base_Données!B63</f>
        <v>0</v>
      </c>
      <c r="C61" s="158">
        <f>Base_Données!C63</f>
        <v>0</v>
      </c>
      <c r="D61" s="156">
        <f>Base_Données!Q63</f>
        <v>0</v>
      </c>
      <c r="E61" s="156">
        <f>Base_Données!BR63</f>
        <v>0</v>
      </c>
      <c r="F61" s="155">
        <f>Base_Données!R63</f>
        <v>0</v>
      </c>
      <c r="G61" s="154">
        <f>Base_Données!BS63</f>
        <v>0</v>
      </c>
      <c r="H61" s="155">
        <f>SIG!F61-SIG!G61</f>
        <v>0</v>
      </c>
      <c r="I61" s="159">
        <f>Base_Données!BI63+Base_Données!BJ63-Base_Données!GC63-Base_Données!GD63</f>
        <v>0</v>
      </c>
      <c r="J61" s="154">
        <f t="shared" si="0"/>
        <v>0</v>
      </c>
      <c r="K61" s="154">
        <f>Base_Données!BK63-Base_Données!GE63</f>
        <v>0</v>
      </c>
      <c r="L61" s="159">
        <f t="shared" si="1"/>
        <v>0</v>
      </c>
      <c r="M61" s="158">
        <f>Base_Données!S63</f>
        <v>0</v>
      </c>
      <c r="N61" s="154">
        <f>Base_Données!T63-(Base_Données!BU63+Base_Données!BZ63+Base_Données!CC63)</f>
        <v>0</v>
      </c>
      <c r="O61" s="154">
        <f>Base_Données!AC63+Base_Données!AL63+Base_Données!BD63-(Base_Données!CI63)</f>
        <v>0</v>
      </c>
      <c r="P61" s="154">
        <f>L61+Base_Données!GJ63+Base_Données!GE63+Base_Données!GB63+Base_Données!FV63+Base_Données!FS63+Base_Données!FO63+Base_Données!FE63+Base_Données!DS63-(Base_Données!BK63+Base_Données!BH63+Base_Données!AU63)</f>
        <v>0</v>
      </c>
      <c r="Q61" s="189">
        <f>P61+Base_Données!AV63-Base_Données!FE63-Base_Données!FO63</f>
        <v>0</v>
      </c>
      <c r="R61" s="329">
        <f>SIG!Q61+Base_Données!BD63+Base_Données!BH63+Base_Données!BL63+Base_Données!BN63-Base_Données!GB63-Base_Données!GJ63-Base_Données!GF63-Base_Données!FV63</f>
        <v>0</v>
      </c>
    </row>
    <row r="62" spans="1:18" customFormat="1" x14ac:dyDescent="0.25">
      <c r="A62" s="328">
        <f>Base_Données!A64</f>
        <v>0</v>
      </c>
      <c r="B62" s="181">
        <f>Base_Données!B64</f>
        <v>0</v>
      </c>
      <c r="C62" s="158">
        <f>Base_Données!C64</f>
        <v>0</v>
      </c>
      <c r="D62" s="156">
        <f>Base_Données!Q64</f>
        <v>0</v>
      </c>
      <c r="E62" s="156">
        <f>Base_Données!BR64</f>
        <v>0</v>
      </c>
      <c r="F62" s="155">
        <f>Base_Données!R64</f>
        <v>0</v>
      </c>
      <c r="G62" s="154">
        <f>Base_Données!BS64</f>
        <v>0</v>
      </c>
      <c r="H62" s="155">
        <f>SIG!F62-SIG!G62</f>
        <v>0</v>
      </c>
      <c r="I62" s="159">
        <f>Base_Données!BI64+Base_Données!BJ64-Base_Données!GC64-Base_Données!GD64</f>
        <v>0</v>
      </c>
      <c r="J62" s="154">
        <f t="shared" si="0"/>
        <v>0</v>
      </c>
      <c r="K62" s="154">
        <f>Base_Données!BK64-Base_Données!GE64</f>
        <v>0</v>
      </c>
      <c r="L62" s="159">
        <f t="shared" si="1"/>
        <v>0</v>
      </c>
      <c r="M62" s="158">
        <f>Base_Données!S64</f>
        <v>0</v>
      </c>
      <c r="N62" s="154">
        <f>Base_Données!T64-(Base_Données!BU64+Base_Données!BZ64+Base_Données!CC64)</f>
        <v>0</v>
      </c>
      <c r="O62" s="154">
        <f>Base_Données!AC64+Base_Données!AL64+Base_Données!BD64-(Base_Données!CI64)</f>
        <v>0</v>
      </c>
      <c r="P62" s="154">
        <f>L62+Base_Données!GJ64+Base_Données!GE64+Base_Données!GB64+Base_Données!FV64+Base_Données!FS64+Base_Données!FO64+Base_Données!FE64+Base_Données!DS64-(Base_Données!BK64+Base_Données!BH64+Base_Données!AU64)</f>
        <v>0</v>
      </c>
      <c r="Q62" s="189">
        <f>P62+Base_Données!AV64-Base_Données!FE64-Base_Données!FO64</f>
        <v>0</v>
      </c>
      <c r="R62" s="329">
        <f>SIG!Q62+Base_Données!BD64+Base_Données!BH64+Base_Données!BL64+Base_Données!BN64-Base_Données!GB64-Base_Données!GJ64-Base_Données!GF64-Base_Données!FV64</f>
        <v>0</v>
      </c>
    </row>
    <row r="63" spans="1:18" customFormat="1" x14ac:dyDescent="0.25">
      <c r="A63" s="328">
        <f>Base_Données!A65</f>
        <v>0</v>
      </c>
      <c r="B63" s="181">
        <f>Base_Données!B65</f>
        <v>0</v>
      </c>
      <c r="C63" s="158">
        <f>Base_Données!C65</f>
        <v>0</v>
      </c>
      <c r="D63" s="156">
        <f>Base_Données!Q65</f>
        <v>0</v>
      </c>
      <c r="E63" s="156">
        <f>Base_Données!BR65</f>
        <v>0</v>
      </c>
      <c r="F63" s="155">
        <f>Base_Données!R65</f>
        <v>0</v>
      </c>
      <c r="G63" s="154">
        <f>Base_Données!BS65</f>
        <v>0</v>
      </c>
      <c r="H63" s="155">
        <f>SIG!F63-SIG!G63</f>
        <v>0</v>
      </c>
      <c r="I63" s="159">
        <f>Base_Données!BI65+Base_Données!BJ65-Base_Données!GC65-Base_Données!GD65</f>
        <v>0</v>
      </c>
      <c r="J63" s="154">
        <f t="shared" si="0"/>
        <v>0</v>
      </c>
      <c r="K63" s="154">
        <f>Base_Données!BK65-Base_Données!GE65</f>
        <v>0</v>
      </c>
      <c r="L63" s="159">
        <f t="shared" si="1"/>
        <v>0</v>
      </c>
      <c r="M63" s="158">
        <f>Base_Données!S65</f>
        <v>0</v>
      </c>
      <c r="N63" s="154">
        <f>Base_Données!T65-(Base_Données!BU65+Base_Données!BZ65+Base_Données!CC65)</f>
        <v>0</v>
      </c>
      <c r="O63" s="154">
        <f>Base_Données!AC65+Base_Données!AL65+Base_Données!BD65-(Base_Données!CI65)</f>
        <v>0</v>
      </c>
      <c r="P63" s="154">
        <f>L63+Base_Données!GJ65+Base_Données!GE65+Base_Données!GB65+Base_Données!FV65+Base_Données!FS65+Base_Données!FO65+Base_Données!FE65+Base_Données!DS65-(Base_Données!BK65+Base_Données!BH65+Base_Données!AU65)</f>
        <v>0</v>
      </c>
      <c r="Q63" s="189">
        <f>P63+Base_Données!AV65-Base_Données!FE65-Base_Données!FO65</f>
        <v>0</v>
      </c>
      <c r="R63" s="329">
        <f>SIG!Q63+Base_Données!BD65+Base_Données!BH65+Base_Données!BL65+Base_Données!BN65-Base_Données!GB65-Base_Données!GJ65-Base_Données!GF65-Base_Données!FV65</f>
        <v>0</v>
      </c>
    </row>
    <row r="64" spans="1:18" customFormat="1" x14ac:dyDescent="0.25">
      <c r="A64" s="328">
        <f>Base_Données!A66</f>
        <v>0</v>
      </c>
      <c r="B64" s="181">
        <f>Base_Données!B66</f>
        <v>0</v>
      </c>
      <c r="C64" s="158">
        <f>Base_Données!C66</f>
        <v>0</v>
      </c>
      <c r="D64" s="156">
        <f>Base_Données!Q66</f>
        <v>0</v>
      </c>
      <c r="E64" s="156">
        <f>Base_Données!BR66</f>
        <v>0</v>
      </c>
      <c r="F64" s="155">
        <f>Base_Données!R66</f>
        <v>0</v>
      </c>
      <c r="G64" s="154">
        <f>Base_Données!BS66</f>
        <v>0</v>
      </c>
      <c r="H64" s="155">
        <f>SIG!F64-SIG!G64</f>
        <v>0</v>
      </c>
      <c r="I64" s="159">
        <f>Base_Données!BI66+Base_Données!BJ66-Base_Données!GC66-Base_Données!GD66</f>
        <v>0</v>
      </c>
      <c r="J64" s="154">
        <f t="shared" si="0"/>
        <v>0</v>
      </c>
      <c r="K64" s="154">
        <f>Base_Données!BK66-Base_Données!GE66</f>
        <v>0</v>
      </c>
      <c r="L64" s="159">
        <f t="shared" si="1"/>
        <v>0</v>
      </c>
      <c r="M64" s="158">
        <f>Base_Données!S66</f>
        <v>0</v>
      </c>
      <c r="N64" s="154">
        <f>Base_Données!T66-(Base_Données!BU66+Base_Données!BZ66+Base_Données!CC66)</f>
        <v>0</v>
      </c>
      <c r="O64" s="154">
        <f>Base_Données!AC66+Base_Données!AL66+Base_Données!BD66-(Base_Données!CI66)</f>
        <v>0</v>
      </c>
      <c r="P64" s="154">
        <f>L64+Base_Données!GJ66+Base_Données!GE66+Base_Données!GB66+Base_Données!FV66+Base_Données!FS66+Base_Données!FO66+Base_Données!FE66+Base_Données!DS66-(Base_Données!BK66+Base_Données!BH66+Base_Données!AU66)</f>
        <v>0</v>
      </c>
      <c r="Q64" s="189">
        <f>P64+Base_Données!AV66-Base_Données!FE66-Base_Données!FO66</f>
        <v>0</v>
      </c>
      <c r="R64" s="329">
        <f>SIG!Q64+Base_Données!BD66+Base_Données!BH66+Base_Données!BL66+Base_Données!BN66-Base_Données!GB66-Base_Données!GJ66-Base_Données!GF66-Base_Données!FV66</f>
        <v>0</v>
      </c>
    </row>
    <row r="65" spans="1:18" customFormat="1" x14ac:dyDescent="0.25">
      <c r="A65" s="328">
        <f>Base_Données!A67</f>
        <v>0</v>
      </c>
      <c r="B65" s="181">
        <f>Base_Données!B67</f>
        <v>0</v>
      </c>
      <c r="C65" s="158">
        <f>Base_Données!C67</f>
        <v>0</v>
      </c>
      <c r="D65" s="156">
        <f>Base_Données!Q67</f>
        <v>0</v>
      </c>
      <c r="E65" s="156">
        <f>Base_Données!BR67</f>
        <v>0</v>
      </c>
      <c r="F65" s="155">
        <f>Base_Données!R67</f>
        <v>0</v>
      </c>
      <c r="G65" s="154">
        <f>Base_Données!BS67</f>
        <v>0</v>
      </c>
      <c r="H65" s="155">
        <f>SIG!F65-SIG!G65</f>
        <v>0</v>
      </c>
      <c r="I65" s="159">
        <f>Base_Données!BI67+Base_Données!BJ67-Base_Données!GC67-Base_Données!GD67</f>
        <v>0</v>
      </c>
      <c r="J65" s="154">
        <f t="shared" si="0"/>
        <v>0</v>
      </c>
      <c r="K65" s="154">
        <f>Base_Données!BK67-Base_Données!GE67</f>
        <v>0</v>
      </c>
      <c r="L65" s="159">
        <f t="shared" si="1"/>
        <v>0</v>
      </c>
      <c r="M65" s="158">
        <f>Base_Données!S67</f>
        <v>0</v>
      </c>
      <c r="N65" s="154">
        <f>Base_Données!T67-(Base_Données!BU67+Base_Données!BZ67+Base_Données!CC67)</f>
        <v>0</v>
      </c>
      <c r="O65" s="154">
        <f>Base_Données!AC67+Base_Données!AL67+Base_Données!BD67-(Base_Données!CI67)</f>
        <v>0</v>
      </c>
      <c r="P65" s="154">
        <f>L65+Base_Données!GJ67+Base_Données!GE67+Base_Données!GB67+Base_Données!FV67+Base_Données!FS67+Base_Données!FO67+Base_Données!FE67+Base_Données!DS67-(Base_Données!BK67+Base_Données!BH67+Base_Données!AU67)</f>
        <v>0</v>
      </c>
      <c r="Q65" s="189">
        <f>P65+Base_Données!AV67-Base_Données!FE67-Base_Données!FO67</f>
        <v>0</v>
      </c>
      <c r="R65" s="329">
        <f>SIG!Q65+Base_Données!BD67+Base_Données!BH67+Base_Données!BL67+Base_Données!BN67-Base_Données!GB67-Base_Données!GJ67-Base_Données!GF67-Base_Données!FV67</f>
        <v>0</v>
      </c>
    </row>
    <row r="66" spans="1:18" customFormat="1" x14ac:dyDescent="0.25">
      <c r="A66" s="328">
        <f>Base_Données!A68</f>
        <v>0</v>
      </c>
      <c r="B66" s="181">
        <f>Base_Données!B68</f>
        <v>0</v>
      </c>
      <c r="C66" s="158">
        <f>Base_Données!C68</f>
        <v>0</v>
      </c>
      <c r="D66" s="156">
        <f>Base_Données!Q68</f>
        <v>0</v>
      </c>
      <c r="E66" s="156">
        <f>Base_Données!BR68</f>
        <v>0</v>
      </c>
      <c r="F66" s="155">
        <f>Base_Données!R68</f>
        <v>0</v>
      </c>
      <c r="G66" s="154">
        <f>Base_Données!BS68</f>
        <v>0</v>
      </c>
      <c r="H66" s="155">
        <f>SIG!F66-SIG!G66</f>
        <v>0</v>
      </c>
      <c r="I66" s="159">
        <f>Base_Données!BI68+Base_Données!BJ68-Base_Données!GC68-Base_Données!GD68</f>
        <v>0</v>
      </c>
      <c r="J66" s="154">
        <f t="shared" si="0"/>
        <v>0</v>
      </c>
      <c r="K66" s="154">
        <f>Base_Données!BK68-Base_Données!GE68</f>
        <v>0</v>
      </c>
      <c r="L66" s="159">
        <f t="shared" si="1"/>
        <v>0</v>
      </c>
      <c r="M66" s="158">
        <f>Base_Données!S68</f>
        <v>0</v>
      </c>
      <c r="N66" s="154">
        <f>Base_Données!T68-(Base_Données!BU68+Base_Données!BZ68+Base_Données!CC68)</f>
        <v>0</v>
      </c>
      <c r="O66" s="154">
        <f>Base_Données!AC68+Base_Données!AL68+Base_Données!BD68-(Base_Données!CI68)</f>
        <v>0</v>
      </c>
      <c r="P66" s="154">
        <f>L66+Base_Données!GJ68+Base_Données!GE68+Base_Données!GB68+Base_Données!FV68+Base_Données!FS68+Base_Données!FO68+Base_Données!FE68+Base_Données!DS68-(Base_Données!BK68+Base_Données!BH68+Base_Données!AU68)</f>
        <v>0</v>
      </c>
      <c r="Q66" s="189">
        <f>P66+Base_Données!AV68-Base_Données!FE68-Base_Données!FO68</f>
        <v>0</v>
      </c>
      <c r="R66" s="329">
        <f>SIG!Q66+Base_Données!BD68+Base_Données!BH68+Base_Données!BL68+Base_Données!BN68-Base_Données!GB68-Base_Données!GJ68-Base_Données!GF68-Base_Données!FV68</f>
        <v>0</v>
      </c>
    </row>
    <row r="67" spans="1:18" customFormat="1" x14ac:dyDescent="0.25">
      <c r="A67" s="328">
        <f>Base_Données!A69</f>
        <v>0</v>
      </c>
      <c r="B67" s="181">
        <f>Base_Données!B69</f>
        <v>0</v>
      </c>
      <c r="C67" s="158">
        <f>Base_Données!C69</f>
        <v>0</v>
      </c>
      <c r="D67" s="156">
        <f>Base_Données!Q69</f>
        <v>0</v>
      </c>
      <c r="E67" s="156">
        <f>Base_Données!BR69</f>
        <v>0</v>
      </c>
      <c r="F67" s="155">
        <f>Base_Données!R69</f>
        <v>0</v>
      </c>
      <c r="G67" s="154">
        <f>Base_Données!BS69</f>
        <v>0</v>
      </c>
      <c r="H67" s="155">
        <f>SIG!F67-SIG!G67</f>
        <v>0</v>
      </c>
      <c r="I67" s="159">
        <f>Base_Données!BI69+Base_Données!BJ69-Base_Données!GC69-Base_Données!GD69</f>
        <v>0</v>
      </c>
      <c r="J67" s="154">
        <f t="shared" si="0"/>
        <v>0</v>
      </c>
      <c r="K67" s="154">
        <f>Base_Données!BK69-Base_Données!GE69</f>
        <v>0</v>
      </c>
      <c r="L67" s="159">
        <f t="shared" si="1"/>
        <v>0</v>
      </c>
      <c r="M67" s="158">
        <f>Base_Données!S69</f>
        <v>0</v>
      </c>
      <c r="N67" s="154">
        <f>Base_Données!T69-(Base_Données!BU69+Base_Données!BZ69+Base_Données!CC69)</f>
        <v>0</v>
      </c>
      <c r="O67" s="154">
        <f>Base_Données!AC69+Base_Données!AL69+Base_Données!BD69-(Base_Données!CI69)</f>
        <v>0</v>
      </c>
      <c r="P67" s="154">
        <f>L67+Base_Données!GJ69+Base_Données!GE69+Base_Données!GB69+Base_Données!FV69+Base_Données!FS69+Base_Données!FO69+Base_Données!FE69+Base_Données!DS69-(Base_Données!BK69+Base_Données!BH69+Base_Données!AU69)</f>
        <v>0</v>
      </c>
      <c r="Q67" s="189">
        <f>P67+Base_Données!AV69-Base_Données!FE69-Base_Données!FO69</f>
        <v>0</v>
      </c>
      <c r="R67" s="329">
        <f>SIG!Q67+Base_Données!BD69+Base_Données!BH69+Base_Données!BL69+Base_Données!BN69-Base_Données!GB69-Base_Données!GJ69-Base_Données!GF69-Base_Données!FV69</f>
        <v>0</v>
      </c>
    </row>
    <row r="68" spans="1:18" customFormat="1" x14ac:dyDescent="0.25">
      <c r="A68" s="328">
        <f>Base_Données!A70</f>
        <v>0</v>
      </c>
      <c r="B68" s="181">
        <f>Base_Données!B70</f>
        <v>0</v>
      </c>
      <c r="C68" s="158">
        <f>Base_Données!C70</f>
        <v>0</v>
      </c>
      <c r="D68" s="156">
        <f>Base_Données!Q70</f>
        <v>0</v>
      </c>
      <c r="E68" s="156">
        <f>Base_Données!BR70</f>
        <v>0</v>
      </c>
      <c r="F68" s="155">
        <f>Base_Données!R70</f>
        <v>0</v>
      </c>
      <c r="G68" s="154">
        <f>Base_Données!BS70</f>
        <v>0</v>
      </c>
      <c r="H68" s="155">
        <f>SIG!F68-SIG!G68</f>
        <v>0</v>
      </c>
      <c r="I68" s="159">
        <f>Base_Données!BI70+Base_Données!BJ70-Base_Données!GC70-Base_Données!GD70</f>
        <v>0</v>
      </c>
      <c r="J68" s="154">
        <f t="shared" ref="J68:J131" si="2">H68+(I68)</f>
        <v>0</v>
      </c>
      <c r="K68" s="154">
        <f>Base_Données!BK70-Base_Données!GE70</f>
        <v>0</v>
      </c>
      <c r="L68" s="159">
        <f t="shared" ref="L68:L131" si="3">D68-E68</f>
        <v>0</v>
      </c>
      <c r="M68" s="158">
        <f>Base_Données!S70</f>
        <v>0</v>
      </c>
      <c r="N68" s="154">
        <f>Base_Données!T70-(Base_Données!BU70+Base_Données!BZ70+Base_Données!CC70)</f>
        <v>0</v>
      </c>
      <c r="O68" s="154">
        <f>Base_Données!AC70+Base_Données!AL70+Base_Données!BD70-(Base_Données!CI70)</f>
        <v>0</v>
      </c>
      <c r="P68" s="154">
        <f>L68+Base_Données!GJ70+Base_Données!GE70+Base_Données!GB70+Base_Données!FV70+Base_Données!FS70+Base_Données!FO70+Base_Données!FE70+Base_Données!DS70-(Base_Données!BK70+Base_Données!BH70+Base_Données!AU70)</f>
        <v>0</v>
      </c>
      <c r="Q68" s="189">
        <f>P68+Base_Données!AV70-Base_Données!FE70-Base_Données!FO70</f>
        <v>0</v>
      </c>
      <c r="R68" s="329">
        <f>SIG!Q68+Base_Données!BD70+Base_Données!BH70+Base_Données!BL70+Base_Données!BN70-Base_Données!GB70-Base_Données!GJ70-Base_Données!GF70-Base_Données!FV70</f>
        <v>0</v>
      </c>
    </row>
    <row r="69" spans="1:18" customFormat="1" x14ac:dyDescent="0.25">
      <c r="A69" s="328">
        <f>Base_Données!A71</f>
        <v>0</v>
      </c>
      <c r="B69" s="181">
        <f>Base_Données!B71</f>
        <v>0</v>
      </c>
      <c r="C69" s="158">
        <f>Base_Données!C71</f>
        <v>0</v>
      </c>
      <c r="D69" s="156">
        <f>Base_Données!Q71</f>
        <v>0</v>
      </c>
      <c r="E69" s="156">
        <f>Base_Données!BR71</f>
        <v>0</v>
      </c>
      <c r="F69" s="155">
        <f>Base_Données!R71</f>
        <v>0</v>
      </c>
      <c r="G69" s="154">
        <f>Base_Données!BS71</f>
        <v>0</v>
      </c>
      <c r="H69" s="155">
        <f>SIG!F69-SIG!G69</f>
        <v>0</v>
      </c>
      <c r="I69" s="159">
        <f>Base_Données!BI71+Base_Données!BJ71-Base_Données!GC71-Base_Données!GD71</f>
        <v>0</v>
      </c>
      <c r="J69" s="154">
        <f t="shared" si="2"/>
        <v>0</v>
      </c>
      <c r="K69" s="154">
        <f>Base_Données!BK71-Base_Données!GE71</f>
        <v>0</v>
      </c>
      <c r="L69" s="159">
        <f t="shared" si="3"/>
        <v>0</v>
      </c>
      <c r="M69" s="158">
        <f>Base_Données!S71</f>
        <v>0</v>
      </c>
      <c r="N69" s="154">
        <f>Base_Données!T71-(Base_Données!BU71+Base_Données!BZ71+Base_Données!CC71)</f>
        <v>0</v>
      </c>
      <c r="O69" s="154">
        <f>Base_Données!AC71+Base_Données!AL71+Base_Données!BD71-(Base_Données!CI71)</f>
        <v>0</v>
      </c>
      <c r="P69" s="154">
        <f>L69+Base_Données!GJ71+Base_Données!GE71+Base_Données!GB71+Base_Données!FV71+Base_Données!FS71+Base_Données!FO71+Base_Données!FE71+Base_Données!DS71-(Base_Données!BK71+Base_Données!BH71+Base_Données!AU71)</f>
        <v>0</v>
      </c>
      <c r="Q69" s="189">
        <f>P69+Base_Données!AV71-Base_Données!FE71-Base_Données!FO71</f>
        <v>0</v>
      </c>
      <c r="R69" s="329">
        <f>SIG!Q69+Base_Données!BD71+Base_Données!BH71+Base_Données!BL71+Base_Données!BN71-Base_Données!GB71-Base_Données!GJ71-Base_Données!GF71-Base_Données!FV71</f>
        <v>0</v>
      </c>
    </row>
    <row r="70" spans="1:18" customFormat="1" x14ac:dyDescent="0.25">
      <c r="A70" s="328">
        <f>Base_Données!A72</f>
        <v>0</v>
      </c>
      <c r="B70" s="181">
        <f>Base_Données!B72</f>
        <v>0</v>
      </c>
      <c r="C70" s="158">
        <f>Base_Données!C72</f>
        <v>0</v>
      </c>
      <c r="D70" s="156">
        <f>Base_Données!Q72</f>
        <v>0</v>
      </c>
      <c r="E70" s="156">
        <f>Base_Données!BR72</f>
        <v>0</v>
      </c>
      <c r="F70" s="155">
        <f>Base_Données!R72</f>
        <v>0</v>
      </c>
      <c r="G70" s="154">
        <f>Base_Données!BS72</f>
        <v>0</v>
      </c>
      <c r="H70" s="155">
        <f>SIG!F70-SIG!G70</f>
        <v>0</v>
      </c>
      <c r="I70" s="159">
        <f>Base_Données!BI72+Base_Données!BJ72-Base_Données!GC72-Base_Données!GD72</f>
        <v>0</v>
      </c>
      <c r="J70" s="154">
        <f t="shared" si="2"/>
        <v>0</v>
      </c>
      <c r="K70" s="154">
        <f>Base_Données!BK72-Base_Données!GE72</f>
        <v>0</v>
      </c>
      <c r="L70" s="159">
        <f t="shared" si="3"/>
        <v>0</v>
      </c>
      <c r="M70" s="158">
        <f>Base_Données!S72</f>
        <v>0</v>
      </c>
      <c r="N70" s="154">
        <f>Base_Données!T72-(Base_Données!BU72+Base_Données!BZ72+Base_Données!CC72)</f>
        <v>0</v>
      </c>
      <c r="O70" s="154">
        <f>Base_Données!AC72+Base_Données!AL72+Base_Données!BD72-(Base_Données!CI72)</f>
        <v>0</v>
      </c>
      <c r="P70" s="154">
        <f>L70+Base_Données!GJ72+Base_Données!GE72+Base_Données!GB72+Base_Données!FV72+Base_Données!FS72+Base_Données!FO72+Base_Données!FE72+Base_Données!DS72-(Base_Données!BK72+Base_Données!BH72+Base_Données!AU72)</f>
        <v>0</v>
      </c>
      <c r="Q70" s="189">
        <f>P70+Base_Données!AV72-Base_Données!FE72-Base_Données!FO72</f>
        <v>0</v>
      </c>
      <c r="R70" s="329">
        <f>SIG!Q70+Base_Données!BD72+Base_Données!BH72+Base_Données!BL72+Base_Données!BN72-Base_Données!GB72-Base_Données!GJ72-Base_Données!GF72-Base_Données!FV72</f>
        <v>0</v>
      </c>
    </row>
    <row r="71" spans="1:18" customFormat="1" x14ac:dyDescent="0.25">
      <c r="A71" s="328">
        <f>Base_Données!A73</f>
        <v>0</v>
      </c>
      <c r="B71" s="181">
        <f>Base_Données!B73</f>
        <v>0</v>
      </c>
      <c r="C71" s="158">
        <f>Base_Données!C73</f>
        <v>0</v>
      </c>
      <c r="D71" s="156">
        <f>Base_Données!Q73</f>
        <v>0</v>
      </c>
      <c r="E71" s="156">
        <f>Base_Données!BR73</f>
        <v>0</v>
      </c>
      <c r="F71" s="155">
        <f>Base_Données!R73</f>
        <v>0</v>
      </c>
      <c r="G71" s="154">
        <f>Base_Données!BS73</f>
        <v>0</v>
      </c>
      <c r="H71" s="155">
        <f>SIG!F71-SIG!G71</f>
        <v>0</v>
      </c>
      <c r="I71" s="159">
        <f>Base_Données!BI73+Base_Données!BJ73-Base_Données!GC73-Base_Données!GD73</f>
        <v>0</v>
      </c>
      <c r="J71" s="154">
        <f t="shared" si="2"/>
        <v>0</v>
      </c>
      <c r="K71" s="154">
        <f>Base_Données!BK73-Base_Données!GE73</f>
        <v>0</v>
      </c>
      <c r="L71" s="159">
        <f t="shared" si="3"/>
        <v>0</v>
      </c>
      <c r="M71" s="158">
        <f>Base_Données!S73</f>
        <v>0</v>
      </c>
      <c r="N71" s="154">
        <f>Base_Données!T73-(Base_Données!BU73+Base_Données!BZ73+Base_Données!CC73)</f>
        <v>0</v>
      </c>
      <c r="O71" s="154">
        <f>Base_Données!AC73+Base_Données!AL73+Base_Données!BD73-(Base_Données!CI73)</f>
        <v>0</v>
      </c>
      <c r="P71" s="154">
        <f>L71+Base_Données!GJ73+Base_Données!GE73+Base_Données!GB73+Base_Données!FV73+Base_Données!FS73+Base_Données!FO73+Base_Données!FE73+Base_Données!DS73-(Base_Données!BK73+Base_Données!BH73+Base_Données!AU73)</f>
        <v>0</v>
      </c>
      <c r="Q71" s="189">
        <f>P71+Base_Données!AV73-Base_Données!FE73-Base_Données!FO73</f>
        <v>0</v>
      </c>
      <c r="R71" s="329">
        <f>SIG!Q71+Base_Données!BD73+Base_Données!BH73+Base_Données!BL73+Base_Données!BN73-Base_Données!GB73-Base_Données!GJ73-Base_Données!GF73-Base_Données!FV73</f>
        <v>0</v>
      </c>
    </row>
    <row r="72" spans="1:18" customFormat="1" x14ac:dyDescent="0.25">
      <c r="A72" s="328">
        <f>Base_Données!A74</f>
        <v>0</v>
      </c>
      <c r="B72" s="181">
        <f>Base_Données!B74</f>
        <v>0</v>
      </c>
      <c r="C72" s="158">
        <f>Base_Données!C74</f>
        <v>0</v>
      </c>
      <c r="D72" s="156">
        <f>Base_Données!Q74</f>
        <v>0</v>
      </c>
      <c r="E72" s="156">
        <f>Base_Données!BR74</f>
        <v>0</v>
      </c>
      <c r="F72" s="155">
        <f>Base_Données!R74</f>
        <v>0</v>
      </c>
      <c r="G72" s="154">
        <f>Base_Données!BS74</f>
        <v>0</v>
      </c>
      <c r="H72" s="155">
        <f>SIG!F72-SIG!G72</f>
        <v>0</v>
      </c>
      <c r="I72" s="159">
        <f>Base_Données!BI74+Base_Données!BJ74-Base_Données!GC74-Base_Données!GD74</f>
        <v>0</v>
      </c>
      <c r="J72" s="154">
        <f t="shared" si="2"/>
        <v>0</v>
      </c>
      <c r="K72" s="154">
        <f>Base_Données!BK74-Base_Données!GE74</f>
        <v>0</v>
      </c>
      <c r="L72" s="159">
        <f t="shared" si="3"/>
        <v>0</v>
      </c>
      <c r="M72" s="158">
        <f>Base_Données!S74</f>
        <v>0</v>
      </c>
      <c r="N72" s="154">
        <f>Base_Données!T74-(Base_Données!BU74+Base_Données!BZ74+Base_Données!CC74)</f>
        <v>0</v>
      </c>
      <c r="O72" s="154">
        <f>Base_Données!AC74+Base_Données!AL74+Base_Données!BD74-(Base_Données!CI74)</f>
        <v>0</v>
      </c>
      <c r="P72" s="154">
        <f>L72+Base_Données!GJ74+Base_Données!GE74+Base_Données!GB74+Base_Données!FV74+Base_Données!FS74+Base_Données!FO74+Base_Données!FE74+Base_Données!DS74-(Base_Données!BK74+Base_Données!BH74+Base_Données!AU74)</f>
        <v>0</v>
      </c>
      <c r="Q72" s="189">
        <f>P72+Base_Données!AV74-Base_Données!FE74-Base_Données!FO74</f>
        <v>0</v>
      </c>
      <c r="R72" s="329">
        <f>SIG!Q72+Base_Données!BD74+Base_Données!BH74+Base_Données!BL74+Base_Données!BN74-Base_Données!GB74-Base_Données!GJ74-Base_Données!GF74-Base_Données!FV74</f>
        <v>0</v>
      </c>
    </row>
    <row r="73" spans="1:18" customFormat="1" x14ac:dyDescent="0.25">
      <c r="A73" s="328">
        <f>Base_Données!A75</f>
        <v>0</v>
      </c>
      <c r="B73" s="181">
        <f>Base_Données!B75</f>
        <v>0</v>
      </c>
      <c r="C73" s="158">
        <f>Base_Données!C75</f>
        <v>0</v>
      </c>
      <c r="D73" s="156">
        <f>Base_Données!Q75</f>
        <v>0</v>
      </c>
      <c r="E73" s="156">
        <f>Base_Données!BR75</f>
        <v>0</v>
      </c>
      <c r="F73" s="155">
        <f>Base_Données!R75</f>
        <v>0</v>
      </c>
      <c r="G73" s="154">
        <f>Base_Données!BS75</f>
        <v>0</v>
      </c>
      <c r="H73" s="155">
        <f>SIG!F73-SIG!G73</f>
        <v>0</v>
      </c>
      <c r="I73" s="159">
        <f>Base_Données!BI75+Base_Données!BJ75-Base_Données!GC75-Base_Données!GD75</f>
        <v>0</v>
      </c>
      <c r="J73" s="154">
        <f t="shared" si="2"/>
        <v>0</v>
      </c>
      <c r="K73" s="154">
        <f>Base_Données!BK75-Base_Données!GE75</f>
        <v>0</v>
      </c>
      <c r="L73" s="159">
        <f t="shared" si="3"/>
        <v>0</v>
      </c>
      <c r="M73" s="158">
        <f>Base_Données!S75</f>
        <v>0</v>
      </c>
      <c r="N73" s="154">
        <f>Base_Données!T75-(Base_Données!BU75+Base_Données!BZ75+Base_Données!CC75)</f>
        <v>0</v>
      </c>
      <c r="O73" s="154">
        <f>Base_Données!AC75+Base_Données!AL75+Base_Données!BD75-(Base_Données!CI75)</f>
        <v>0</v>
      </c>
      <c r="P73" s="154">
        <f>L73+Base_Données!GJ75+Base_Données!GE75+Base_Données!GB75+Base_Données!FV75+Base_Données!FS75+Base_Données!FO75+Base_Données!FE75+Base_Données!DS75-(Base_Données!BK75+Base_Données!BH75+Base_Données!AU75)</f>
        <v>0</v>
      </c>
      <c r="Q73" s="189">
        <f>P73+Base_Données!AV75-Base_Données!FE75-Base_Données!FO75</f>
        <v>0</v>
      </c>
      <c r="R73" s="329">
        <f>SIG!Q73+Base_Données!BD75+Base_Données!BH75+Base_Données!BL75+Base_Données!BN75-Base_Données!GB75-Base_Données!GJ75-Base_Données!GF75-Base_Données!FV75</f>
        <v>0</v>
      </c>
    </row>
    <row r="74" spans="1:18" customFormat="1" x14ac:dyDescent="0.25">
      <c r="A74" s="328">
        <f>Base_Données!A76</f>
        <v>0</v>
      </c>
      <c r="B74" s="181">
        <f>Base_Données!B76</f>
        <v>0</v>
      </c>
      <c r="C74" s="158">
        <f>Base_Données!C76</f>
        <v>0</v>
      </c>
      <c r="D74" s="156">
        <f>Base_Données!Q76</f>
        <v>0</v>
      </c>
      <c r="E74" s="156">
        <f>Base_Données!BR76</f>
        <v>0</v>
      </c>
      <c r="F74" s="155">
        <f>Base_Données!R76</f>
        <v>0</v>
      </c>
      <c r="G74" s="154">
        <f>Base_Données!BS76</f>
        <v>0</v>
      </c>
      <c r="H74" s="155">
        <f>SIG!F74-SIG!G74</f>
        <v>0</v>
      </c>
      <c r="I74" s="159">
        <f>Base_Données!BI76+Base_Données!BJ76-Base_Données!GC76-Base_Données!GD76</f>
        <v>0</v>
      </c>
      <c r="J74" s="154">
        <f t="shared" si="2"/>
        <v>0</v>
      </c>
      <c r="K74" s="154">
        <f>Base_Données!BK76-Base_Données!GE76</f>
        <v>0</v>
      </c>
      <c r="L74" s="159">
        <f t="shared" si="3"/>
        <v>0</v>
      </c>
      <c r="M74" s="158">
        <f>Base_Données!S76</f>
        <v>0</v>
      </c>
      <c r="N74" s="154">
        <f>Base_Données!T76-(Base_Données!BU76+Base_Données!BZ76+Base_Données!CC76)</f>
        <v>0</v>
      </c>
      <c r="O74" s="154">
        <f>Base_Données!AC76+Base_Données!AL76+Base_Données!BD76-(Base_Données!CI76)</f>
        <v>0</v>
      </c>
      <c r="P74" s="154">
        <f>L74+Base_Données!GJ76+Base_Données!GE76+Base_Données!GB76+Base_Données!FV76+Base_Données!FS76+Base_Données!FO76+Base_Données!FE76+Base_Données!DS76-(Base_Données!BK76+Base_Données!BH76+Base_Données!AU76)</f>
        <v>0</v>
      </c>
      <c r="Q74" s="189">
        <f>P74+Base_Données!AV76-Base_Données!FE76-Base_Données!FO76</f>
        <v>0</v>
      </c>
      <c r="R74" s="329">
        <f>SIG!Q74+Base_Données!BD76+Base_Données!BH76+Base_Données!BL76+Base_Données!BN76-Base_Données!GB76-Base_Données!GJ76-Base_Données!GF76-Base_Données!FV76</f>
        <v>0</v>
      </c>
    </row>
    <row r="75" spans="1:18" customFormat="1" x14ac:dyDescent="0.25">
      <c r="A75" s="328">
        <f>Base_Données!A77</f>
        <v>0</v>
      </c>
      <c r="B75" s="181">
        <f>Base_Données!B77</f>
        <v>0</v>
      </c>
      <c r="C75" s="158">
        <f>Base_Données!C77</f>
        <v>0</v>
      </c>
      <c r="D75" s="156">
        <f>Base_Données!Q77</f>
        <v>0</v>
      </c>
      <c r="E75" s="156">
        <f>Base_Données!BR77</f>
        <v>0</v>
      </c>
      <c r="F75" s="155">
        <f>Base_Données!R77</f>
        <v>0</v>
      </c>
      <c r="G75" s="154">
        <f>Base_Données!BS77</f>
        <v>0</v>
      </c>
      <c r="H75" s="155">
        <f>SIG!F75-SIG!G75</f>
        <v>0</v>
      </c>
      <c r="I75" s="159">
        <f>Base_Données!BI77+Base_Données!BJ77-Base_Données!GC77-Base_Données!GD77</f>
        <v>0</v>
      </c>
      <c r="J75" s="154">
        <f t="shared" si="2"/>
        <v>0</v>
      </c>
      <c r="K75" s="154">
        <f>Base_Données!BK77-Base_Données!GE77</f>
        <v>0</v>
      </c>
      <c r="L75" s="159">
        <f t="shared" si="3"/>
        <v>0</v>
      </c>
      <c r="M75" s="158">
        <f>Base_Données!S77</f>
        <v>0</v>
      </c>
      <c r="N75" s="154">
        <f>Base_Données!T77-(Base_Données!BU77+Base_Données!BZ77+Base_Données!CC77)</f>
        <v>0</v>
      </c>
      <c r="O75" s="154">
        <f>Base_Données!AC77+Base_Données!AL77+Base_Données!BD77-(Base_Données!CI77)</f>
        <v>0</v>
      </c>
      <c r="P75" s="154">
        <f>L75+Base_Données!GJ77+Base_Données!GE77+Base_Données!GB77+Base_Données!FV77+Base_Données!FS77+Base_Données!FO77+Base_Données!FE77+Base_Données!DS77-(Base_Données!BK77+Base_Données!BH77+Base_Données!AU77)</f>
        <v>0</v>
      </c>
      <c r="Q75" s="189">
        <f>P75+Base_Données!AV77-Base_Données!FE77-Base_Données!FO77</f>
        <v>0</v>
      </c>
      <c r="R75" s="329">
        <f>SIG!Q75+Base_Données!BD77+Base_Données!BH77+Base_Données!BL77+Base_Données!BN77-Base_Données!GB77-Base_Données!GJ77-Base_Données!GF77-Base_Données!FV77</f>
        <v>0</v>
      </c>
    </row>
    <row r="76" spans="1:18" customFormat="1" x14ac:dyDescent="0.25">
      <c r="A76" s="328">
        <f>Base_Données!A78</f>
        <v>0</v>
      </c>
      <c r="B76" s="181">
        <f>Base_Données!B78</f>
        <v>0</v>
      </c>
      <c r="C76" s="158">
        <f>Base_Données!C78</f>
        <v>0</v>
      </c>
      <c r="D76" s="156">
        <f>Base_Données!Q78</f>
        <v>0</v>
      </c>
      <c r="E76" s="156">
        <f>Base_Données!BR78</f>
        <v>0</v>
      </c>
      <c r="F76" s="155">
        <f>Base_Données!R78</f>
        <v>0</v>
      </c>
      <c r="G76" s="154">
        <f>Base_Données!BS78</f>
        <v>0</v>
      </c>
      <c r="H76" s="155">
        <f>SIG!F76-SIG!G76</f>
        <v>0</v>
      </c>
      <c r="I76" s="159">
        <f>Base_Données!BI78+Base_Données!BJ78-Base_Données!GC78-Base_Données!GD78</f>
        <v>0</v>
      </c>
      <c r="J76" s="154">
        <f t="shared" si="2"/>
        <v>0</v>
      </c>
      <c r="K76" s="154">
        <f>Base_Données!BK78-Base_Données!GE78</f>
        <v>0</v>
      </c>
      <c r="L76" s="159">
        <f t="shared" si="3"/>
        <v>0</v>
      </c>
      <c r="M76" s="158">
        <f>Base_Données!S78</f>
        <v>0</v>
      </c>
      <c r="N76" s="154">
        <f>Base_Données!T78-(Base_Données!BU78+Base_Données!BZ78+Base_Données!CC78)</f>
        <v>0</v>
      </c>
      <c r="O76" s="154">
        <f>Base_Données!AC78+Base_Données!AL78+Base_Données!BD78-(Base_Données!CI78)</f>
        <v>0</v>
      </c>
      <c r="P76" s="154">
        <f>L76+Base_Données!GJ78+Base_Données!GE78+Base_Données!GB78+Base_Données!FV78+Base_Données!FS78+Base_Données!FO78+Base_Données!FE78+Base_Données!DS78-(Base_Données!BK78+Base_Données!BH78+Base_Données!AU78)</f>
        <v>0</v>
      </c>
      <c r="Q76" s="189">
        <f>P76+Base_Données!AV78-Base_Données!FE78-Base_Données!FO78</f>
        <v>0</v>
      </c>
      <c r="R76" s="329">
        <f>SIG!Q76+Base_Données!BD78+Base_Données!BH78+Base_Données!BL78+Base_Données!BN78-Base_Données!GB78-Base_Données!GJ78-Base_Données!GF78-Base_Données!FV78</f>
        <v>0</v>
      </c>
    </row>
    <row r="77" spans="1:18" customFormat="1" x14ac:dyDescent="0.25">
      <c r="A77" s="328">
        <f>Base_Données!A79</f>
        <v>0</v>
      </c>
      <c r="B77" s="181">
        <f>Base_Données!B79</f>
        <v>0</v>
      </c>
      <c r="C77" s="158">
        <f>Base_Données!C79</f>
        <v>0</v>
      </c>
      <c r="D77" s="156">
        <f>Base_Données!Q79</f>
        <v>0</v>
      </c>
      <c r="E77" s="156">
        <f>Base_Données!BR79</f>
        <v>0</v>
      </c>
      <c r="F77" s="155">
        <f>Base_Données!R79</f>
        <v>0</v>
      </c>
      <c r="G77" s="154">
        <f>Base_Données!BS79</f>
        <v>0</v>
      </c>
      <c r="H77" s="155">
        <f>SIG!F77-SIG!G77</f>
        <v>0</v>
      </c>
      <c r="I77" s="159">
        <f>Base_Données!BI79+Base_Données!BJ79-Base_Données!GC79-Base_Données!GD79</f>
        <v>0</v>
      </c>
      <c r="J77" s="154">
        <f t="shared" si="2"/>
        <v>0</v>
      </c>
      <c r="K77" s="154">
        <f>Base_Données!BK79-Base_Données!GE79</f>
        <v>0</v>
      </c>
      <c r="L77" s="159">
        <f t="shared" si="3"/>
        <v>0</v>
      </c>
      <c r="M77" s="158">
        <f>Base_Données!S79</f>
        <v>0</v>
      </c>
      <c r="N77" s="154">
        <f>Base_Données!T79-(Base_Données!BU79+Base_Données!BZ79+Base_Données!CC79)</f>
        <v>0</v>
      </c>
      <c r="O77" s="154">
        <f>Base_Données!AC79+Base_Données!AL79+Base_Données!BD79-(Base_Données!CI79)</f>
        <v>0</v>
      </c>
      <c r="P77" s="154">
        <f>L77+Base_Données!GJ79+Base_Données!GE79+Base_Données!GB79+Base_Données!FV79+Base_Données!FS79+Base_Données!FO79+Base_Données!FE79+Base_Données!DS79-(Base_Données!BK79+Base_Données!BH79+Base_Données!AU79)</f>
        <v>0</v>
      </c>
      <c r="Q77" s="189">
        <f>P77+Base_Données!AV79-Base_Données!FE79-Base_Données!FO79</f>
        <v>0</v>
      </c>
      <c r="R77" s="329">
        <f>SIG!Q77+Base_Données!BD79+Base_Données!BH79+Base_Données!BL79+Base_Données!BN79-Base_Données!GB79-Base_Données!GJ79-Base_Données!GF79-Base_Données!FV79</f>
        <v>0</v>
      </c>
    </row>
    <row r="78" spans="1:18" customFormat="1" x14ac:dyDescent="0.25">
      <c r="A78" s="328">
        <f>Base_Données!A80</f>
        <v>0</v>
      </c>
      <c r="B78" s="181">
        <f>Base_Données!B80</f>
        <v>0</v>
      </c>
      <c r="C78" s="158">
        <f>Base_Données!C80</f>
        <v>0</v>
      </c>
      <c r="D78" s="156">
        <f>Base_Données!Q80</f>
        <v>0</v>
      </c>
      <c r="E78" s="156">
        <f>Base_Données!BR80</f>
        <v>0</v>
      </c>
      <c r="F78" s="155">
        <f>Base_Données!R80</f>
        <v>0</v>
      </c>
      <c r="G78" s="154">
        <f>Base_Données!BS80</f>
        <v>0</v>
      </c>
      <c r="H78" s="155">
        <f>SIG!F78-SIG!G78</f>
        <v>0</v>
      </c>
      <c r="I78" s="159">
        <f>Base_Données!BI80+Base_Données!BJ80-Base_Données!GC80-Base_Données!GD80</f>
        <v>0</v>
      </c>
      <c r="J78" s="154">
        <f t="shared" si="2"/>
        <v>0</v>
      </c>
      <c r="K78" s="154">
        <f>Base_Données!BK80-Base_Données!GE80</f>
        <v>0</v>
      </c>
      <c r="L78" s="159">
        <f t="shared" si="3"/>
        <v>0</v>
      </c>
      <c r="M78" s="158">
        <f>Base_Données!S80</f>
        <v>0</v>
      </c>
      <c r="N78" s="154">
        <f>Base_Données!T80-(Base_Données!BU80+Base_Données!BZ80+Base_Données!CC80)</f>
        <v>0</v>
      </c>
      <c r="O78" s="154">
        <f>Base_Données!AC80+Base_Données!AL80+Base_Données!BD80-(Base_Données!CI80)</f>
        <v>0</v>
      </c>
      <c r="P78" s="154">
        <f>L78+Base_Données!GJ80+Base_Données!GE80+Base_Données!GB80+Base_Données!FV80+Base_Données!FS80+Base_Données!FO80+Base_Données!FE80+Base_Données!DS80-(Base_Données!BK80+Base_Données!BH80+Base_Données!AU80)</f>
        <v>0</v>
      </c>
      <c r="Q78" s="189">
        <f>P78+Base_Données!AV80-Base_Données!FE80-Base_Données!FO80</f>
        <v>0</v>
      </c>
      <c r="R78" s="329">
        <f>SIG!Q78+Base_Données!BD80+Base_Données!BH80+Base_Données!BL80+Base_Données!BN80-Base_Données!GB80-Base_Données!GJ80-Base_Données!GF80-Base_Données!FV80</f>
        <v>0</v>
      </c>
    </row>
    <row r="79" spans="1:18" customFormat="1" x14ac:dyDescent="0.25">
      <c r="A79" s="328">
        <f>Base_Données!A81</f>
        <v>0</v>
      </c>
      <c r="B79" s="181">
        <f>Base_Données!B81</f>
        <v>0</v>
      </c>
      <c r="C79" s="158">
        <f>Base_Données!C81</f>
        <v>0</v>
      </c>
      <c r="D79" s="156">
        <f>Base_Données!Q81</f>
        <v>0</v>
      </c>
      <c r="E79" s="156">
        <f>Base_Données!BR81</f>
        <v>0</v>
      </c>
      <c r="F79" s="155">
        <f>Base_Données!R81</f>
        <v>0</v>
      </c>
      <c r="G79" s="154">
        <f>Base_Données!BS81</f>
        <v>0</v>
      </c>
      <c r="H79" s="155">
        <f>SIG!F79-SIG!G79</f>
        <v>0</v>
      </c>
      <c r="I79" s="159">
        <f>Base_Données!BI81+Base_Données!BJ81-Base_Données!GC81-Base_Données!GD81</f>
        <v>0</v>
      </c>
      <c r="J79" s="154">
        <f t="shared" si="2"/>
        <v>0</v>
      </c>
      <c r="K79" s="154">
        <f>Base_Données!BK81-Base_Données!GE81</f>
        <v>0</v>
      </c>
      <c r="L79" s="159">
        <f t="shared" si="3"/>
        <v>0</v>
      </c>
      <c r="M79" s="158">
        <f>Base_Données!S81</f>
        <v>0</v>
      </c>
      <c r="N79" s="154">
        <f>Base_Données!T81-(Base_Données!BU81+Base_Données!BZ81+Base_Données!CC81)</f>
        <v>0</v>
      </c>
      <c r="O79" s="154">
        <f>Base_Données!AC81+Base_Données!AL81+Base_Données!BD81-(Base_Données!CI81)</f>
        <v>0</v>
      </c>
      <c r="P79" s="154">
        <f>L79+Base_Données!GJ81+Base_Données!GE81+Base_Données!GB81+Base_Données!FV81+Base_Données!FS81+Base_Données!FO81+Base_Données!FE81+Base_Données!DS81-(Base_Données!BK81+Base_Données!BH81+Base_Données!AU81)</f>
        <v>0</v>
      </c>
      <c r="Q79" s="189">
        <f>P79+Base_Données!AV81-Base_Données!FE81-Base_Données!FO81</f>
        <v>0</v>
      </c>
      <c r="R79" s="329">
        <f>SIG!Q79+Base_Données!BD81+Base_Données!BH81+Base_Données!BL81+Base_Données!BN81-Base_Données!GB81-Base_Données!GJ81-Base_Données!GF81-Base_Données!FV81</f>
        <v>0</v>
      </c>
    </row>
    <row r="80" spans="1:18" customFormat="1" x14ac:dyDescent="0.25">
      <c r="A80" s="328">
        <f>Base_Données!A82</f>
        <v>0</v>
      </c>
      <c r="B80" s="181">
        <f>Base_Données!B82</f>
        <v>0</v>
      </c>
      <c r="C80" s="158">
        <f>Base_Données!C82</f>
        <v>0</v>
      </c>
      <c r="D80" s="156">
        <f>Base_Données!Q82</f>
        <v>0</v>
      </c>
      <c r="E80" s="156">
        <f>Base_Données!BR82</f>
        <v>0</v>
      </c>
      <c r="F80" s="155">
        <f>Base_Données!R82</f>
        <v>0</v>
      </c>
      <c r="G80" s="154">
        <f>Base_Données!BS82</f>
        <v>0</v>
      </c>
      <c r="H80" s="155">
        <f>SIG!F80-SIG!G80</f>
        <v>0</v>
      </c>
      <c r="I80" s="159">
        <f>Base_Données!BI82+Base_Données!BJ82-Base_Données!GC82-Base_Données!GD82</f>
        <v>0</v>
      </c>
      <c r="J80" s="154">
        <f t="shared" si="2"/>
        <v>0</v>
      </c>
      <c r="K80" s="154">
        <f>Base_Données!BK82-Base_Données!GE82</f>
        <v>0</v>
      </c>
      <c r="L80" s="159">
        <f t="shared" si="3"/>
        <v>0</v>
      </c>
      <c r="M80" s="158">
        <f>Base_Données!S82</f>
        <v>0</v>
      </c>
      <c r="N80" s="154">
        <f>Base_Données!T82-(Base_Données!BU82+Base_Données!BZ82+Base_Données!CC82)</f>
        <v>0</v>
      </c>
      <c r="O80" s="154">
        <f>Base_Données!AC82+Base_Données!AL82+Base_Données!BD82-(Base_Données!CI82)</f>
        <v>0</v>
      </c>
      <c r="P80" s="154">
        <f>L80+Base_Données!GJ82+Base_Données!GE82+Base_Données!GB82+Base_Données!FV82+Base_Données!FS82+Base_Données!FO82+Base_Données!FE82+Base_Données!DS82-(Base_Données!BK82+Base_Données!BH82+Base_Données!AU82)</f>
        <v>0</v>
      </c>
      <c r="Q80" s="189">
        <f>P80+Base_Données!AV82-Base_Données!FE82-Base_Données!FO82</f>
        <v>0</v>
      </c>
      <c r="R80" s="329">
        <f>SIG!Q80+Base_Données!BD82+Base_Données!BH82+Base_Données!BL82+Base_Données!BN82-Base_Données!GB82-Base_Données!GJ82-Base_Données!GF82-Base_Données!FV82</f>
        <v>0</v>
      </c>
    </row>
    <row r="81" spans="1:18" customFormat="1" x14ac:dyDescent="0.25">
      <c r="A81" s="328">
        <f>Base_Données!A83</f>
        <v>0</v>
      </c>
      <c r="B81" s="181">
        <f>Base_Données!B83</f>
        <v>0</v>
      </c>
      <c r="C81" s="158">
        <f>Base_Données!C83</f>
        <v>0</v>
      </c>
      <c r="D81" s="156">
        <f>Base_Données!Q83</f>
        <v>0</v>
      </c>
      <c r="E81" s="156">
        <f>Base_Données!BR83</f>
        <v>0</v>
      </c>
      <c r="F81" s="155">
        <f>Base_Données!R83</f>
        <v>0</v>
      </c>
      <c r="G81" s="154">
        <f>Base_Données!BS83</f>
        <v>0</v>
      </c>
      <c r="H81" s="155">
        <f>SIG!F81-SIG!G81</f>
        <v>0</v>
      </c>
      <c r="I81" s="159">
        <f>Base_Données!BI83+Base_Données!BJ83-Base_Données!GC83-Base_Données!GD83</f>
        <v>0</v>
      </c>
      <c r="J81" s="154">
        <f t="shared" si="2"/>
        <v>0</v>
      </c>
      <c r="K81" s="154">
        <f>Base_Données!BK83-Base_Données!GE83</f>
        <v>0</v>
      </c>
      <c r="L81" s="159">
        <f t="shared" si="3"/>
        <v>0</v>
      </c>
      <c r="M81" s="158">
        <f>Base_Données!S83</f>
        <v>0</v>
      </c>
      <c r="N81" s="154">
        <f>Base_Données!T83-(Base_Données!BU83+Base_Données!BZ83+Base_Données!CC83)</f>
        <v>0</v>
      </c>
      <c r="O81" s="154">
        <f>Base_Données!AC83+Base_Données!AL83+Base_Données!BD83-(Base_Données!CI83)</f>
        <v>0</v>
      </c>
      <c r="P81" s="154">
        <f>L81+Base_Données!GJ83+Base_Données!GE83+Base_Données!GB83+Base_Données!FV83+Base_Données!FS83+Base_Données!FO83+Base_Données!FE83+Base_Données!DS83-(Base_Données!BK83+Base_Données!BH83+Base_Données!AU83)</f>
        <v>0</v>
      </c>
      <c r="Q81" s="189">
        <f>P81+Base_Données!AV83-Base_Données!FE83-Base_Données!FO83</f>
        <v>0</v>
      </c>
      <c r="R81" s="329">
        <f>SIG!Q81+Base_Données!BD83+Base_Données!BH83+Base_Données!BL83+Base_Données!BN83-Base_Données!GB83-Base_Données!GJ83-Base_Données!GF83-Base_Données!FV83</f>
        <v>0</v>
      </c>
    </row>
    <row r="82" spans="1:18" customFormat="1" x14ac:dyDescent="0.25">
      <c r="A82" s="328">
        <f>Base_Données!A84</f>
        <v>0</v>
      </c>
      <c r="B82" s="181">
        <f>Base_Données!B84</f>
        <v>0</v>
      </c>
      <c r="C82" s="158">
        <f>Base_Données!C84</f>
        <v>0</v>
      </c>
      <c r="D82" s="156">
        <f>Base_Données!Q84</f>
        <v>0</v>
      </c>
      <c r="E82" s="156">
        <f>Base_Données!BR84</f>
        <v>0</v>
      </c>
      <c r="F82" s="155">
        <f>Base_Données!R84</f>
        <v>0</v>
      </c>
      <c r="G82" s="154">
        <f>Base_Données!BS84</f>
        <v>0</v>
      </c>
      <c r="H82" s="155">
        <f>SIG!F82-SIG!G82</f>
        <v>0</v>
      </c>
      <c r="I82" s="159">
        <f>Base_Données!BI84+Base_Données!BJ84-Base_Données!GC84-Base_Données!GD84</f>
        <v>0</v>
      </c>
      <c r="J82" s="154">
        <f t="shared" si="2"/>
        <v>0</v>
      </c>
      <c r="K82" s="154">
        <f>Base_Données!BK84-Base_Données!GE84</f>
        <v>0</v>
      </c>
      <c r="L82" s="159">
        <f t="shared" si="3"/>
        <v>0</v>
      </c>
      <c r="M82" s="158">
        <f>Base_Données!S84</f>
        <v>0</v>
      </c>
      <c r="N82" s="154">
        <f>Base_Données!T84-(Base_Données!BU84+Base_Données!BZ84+Base_Données!CC84)</f>
        <v>0</v>
      </c>
      <c r="O82" s="154">
        <f>Base_Données!AC84+Base_Données!AL84+Base_Données!BD84-(Base_Données!CI84)</f>
        <v>0</v>
      </c>
      <c r="P82" s="154">
        <f>L82+Base_Données!GJ84+Base_Données!GE84+Base_Données!GB84+Base_Données!FV84+Base_Données!FS84+Base_Données!FO84+Base_Données!FE84+Base_Données!DS84-(Base_Données!BK84+Base_Données!BH84+Base_Données!AU84)</f>
        <v>0</v>
      </c>
      <c r="Q82" s="189">
        <f>P82+Base_Données!AV84-Base_Données!FE84-Base_Données!FO84</f>
        <v>0</v>
      </c>
      <c r="R82" s="329">
        <f>SIG!Q82+Base_Données!BD84+Base_Données!BH84+Base_Données!BL84+Base_Données!BN84-Base_Données!GB84-Base_Données!GJ84-Base_Données!GF84-Base_Données!FV84</f>
        <v>0</v>
      </c>
    </row>
    <row r="83" spans="1:18" customFormat="1" x14ac:dyDescent="0.25">
      <c r="A83" s="328">
        <f>Base_Données!A85</f>
        <v>0</v>
      </c>
      <c r="B83" s="181">
        <f>Base_Données!B85</f>
        <v>0</v>
      </c>
      <c r="C83" s="158">
        <f>Base_Données!C85</f>
        <v>0</v>
      </c>
      <c r="D83" s="156">
        <f>Base_Données!Q85</f>
        <v>0</v>
      </c>
      <c r="E83" s="156">
        <f>Base_Données!BR85</f>
        <v>0</v>
      </c>
      <c r="F83" s="155">
        <f>Base_Données!R85</f>
        <v>0</v>
      </c>
      <c r="G83" s="154">
        <f>Base_Données!BS85</f>
        <v>0</v>
      </c>
      <c r="H83" s="155">
        <f>SIG!F83-SIG!G83</f>
        <v>0</v>
      </c>
      <c r="I83" s="159">
        <f>Base_Données!BI85+Base_Données!BJ85-Base_Données!GC85-Base_Données!GD85</f>
        <v>0</v>
      </c>
      <c r="J83" s="154">
        <f t="shared" si="2"/>
        <v>0</v>
      </c>
      <c r="K83" s="154">
        <f>Base_Données!BK85-Base_Données!GE85</f>
        <v>0</v>
      </c>
      <c r="L83" s="159">
        <f t="shared" si="3"/>
        <v>0</v>
      </c>
      <c r="M83" s="158">
        <f>Base_Données!S85</f>
        <v>0</v>
      </c>
      <c r="N83" s="154">
        <f>Base_Données!T85-(Base_Données!BU85+Base_Données!BZ85+Base_Données!CC85)</f>
        <v>0</v>
      </c>
      <c r="O83" s="154">
        <f>Base_Données!AC85+Base_Données!AL85+Base_Données!BD85-(Base_Données!CI85)</f>
        <v>0</v>
      </c>
      <c r="P83" s="154">
        <f>L83+Base_Données!GJ85+Base_Données!GE85+Base_Données!GB85+Base_Données!FV85+Base_Données!FS85+Base_Données!FO85+Base_Données!FE85+Base_Données!DS85-(Base_Données!BK85+Base_Données!BH85+Base_Données!AU85)</f>
        <v>0</v>
      </c>
      <c r="Q83" s="189">
        <f>P83+Base_Données!AV85-Base_Données!FE85-Base_Données!FO85</f>
        <v>0</v>
      </c>
      <c r="R83" s="329">
        <f>SIG!Q83+Base_Données!BD85+Base_Données!BH85+Base_Données!BL85+Base_Données!BN85-Base_Données!GB85-Base_Données!GJ85-Base_Données!GF85-Base_Données!FV85</f>
        <v>0</v>
      </c>
    </row>
    <row r="84" spans="1:18" customFormat="1" x14ac:dyDescent="0.25">
      <c r="A84" s="328">
        <f>Base_Données!A86</f>
        <v>0</v>
      </c>
      <c r="B84" s="181">
        <f>Base_Données!B86</f>
        <v>0</v>
      </c>
      <c r="C84" s="158">
        <f>Base_Données!C86</f>
        <v>0</v>
      </c>
      <c r="D84" s="156">
        <f>Base_Données!Q86</f>
        <v>0</v>
      </c>
      <c r="E84" s="156">
        <f>Base_Données!BR86</f>
        <v>0</v>
      </c>
      <c r="F84" s="155">
        <f>Base_Données!R86</f>
        <v>0</v>
      </c>
      <c r="G84" s="154">
        <f>Base_Données!BS86</f>
        <v>0</v>
      </c>
      <c r="H84" s="155">
        <f>SIG!F84-SIG!G84</f>
        <v>0</v>
      </c>
      <c r="I84" s="159">
        <f>Base_Données!BI86+Base_Données!BJ86-Base_Données!GC86-Base_Données!GD86</f>
        <v>0</v>
      </c>
      <c r="J84" s="154">
        <f t="shared" si="2"/>
        <v>0</v>
      </c>
      <c r="K84" s="154">
        <f>Base_Données!BK86-Base_Données!GE86</f>
        <v>0</v>
      </c>
      <c r="L84" s="159">
        <f t="shared" si="3"/>
        <v>0</v>
      </c>
      <c r="M84" s="158">
        <f>Base_Données!S86</f>
        <v>0</v>
      </c>
      <c r="N84" s="154">
        <f>Base_Données!T86-(Base_Données!BU86+Base_Données!BZ86+Base_Données!CC86)</f>
        <v>0</v>
      </c>
      <c r="O84" s="154">
        <f>Base_Données!AC86+Base_Données!AL86+Base_Données!BD86-(Base_Données!CI86)</f>
        <v>0</v>
      </c>
      <c r="P84" s="154">
        <f>L84+Base_Données!GJ86+Base_Données!GE86+Base_Données!GB86+Base_Données!FV86+Base_Données!FS86+Base_Données!FO86+Base_Données!FE86+Base_Données!DS86-(Base_Données!BK86+Base_Données!BH86+Base_Données!AU86)</f>
        <v>0</v>
      </c>
      <c r="Q84" s="189">
        <f>P84+Base_Données!AV86-Base_Données!FE86-Base_Données!FO86</f>
        <v>0</v>
      </c>
      <c r="R84" s="329">
        <f>SIG!Q84+Base_Données!BD86+Base_Données!BH86+Base_Données!BL86+Base_Données!BN86-Base_Données!GB86-Base_Données!GJ86-Base_Données!GF86-Base_Données!FV86</f>
        <v>0</v>
      </c>
    </row>
    <row r="85" spans="1:18" customFormat="1" x14ac:dyDescent="0.25">
      <c r="A85" s="328">
        <f>Base_Données!A87</f>
        <v>0</v>
      </c>
      <c r="B85" s="181">
        <f>Base_Données!B87</f>
        <v>0</v>
      </c>
      <c r="C85" s="158">
        <f>Base_Données!C87</f>
        <v>0</v>
      </c>
      <c r="D85" s="156">
        <f>Base_Données!Q87</f>
        <v>0</v>
      </c>
      <c r="E85" s="156">
        <f>Base_Données!BR87</f>
        <v>0</v>
      </c>
      <c r="F85" s="155">
        <f>Base_Données!R87</f>
        <v>0</v>
      </c>
      <c r="G85" s="154">
        <f>Base_Données!BS87</f>
        <v>0</v>
      </c>
      <c r="H85" s="155">
        <f>SIG!F85-SIG!G85</f>
        <v>0</v>
      </c>
      <c r="I85" s="159">
        <f>Base_Données!BI87+Base_Données!BJ87-Base_Données!GC87-Base_Données!GD87</f>
        <v>0</v>
      </c>
      <c r="J85" s="154">
        <f t="shared" si="2"/>
        <v>0</v>
      </c>
      <c r="K85" s="154">
        <f>Base_Données!BK87-Base_Données!GE87</f>
        <v>0</v>
      </c>
      <c r="L85" s="159">
        <f t="shared" si="3"/>
        <v>0</v>
      </c>
      <c r="M85" s="158">
        <f>Base_Données!S87</f>
        <v>0</v>
      </c>
      <c r="N85" s="154">
        <f>Base_Données!T87-(Base_Données!BU87+Base_Données!BZ87+Base_Données!CC87)</f>
        <v>0</v>
      </c>
      <c r="O85" s="154">
        <f>Base_Données!AC87+Base_Données!AL87+Base_Données!BD87-(Base_Données!CI87)</f>
        <v>0</v>
      </c>
      <c r="P85" s="154">
        <f>L85+Base_Données!GJ87+Base_Données!GE87+Base_Données!GB87+Base_Données!FV87+Base_Données!FS87+Base_Données!FO87+Base_Données!FE87+Base_Données!DS87-(Base_Données!BK87+Base_Données!BH87+Base_Données!AU87)</f>
        <v>0</v>
      </c>
      <c r="Q85" s="189">
        <f>P85+Base_Données!AV87-Base_Données!FE87-Base_Données!FO87</f>
        <v>0</v>
      </c>
      <c r="R85" s="329">
        <f>SIG!Q85+Base_Données!BD87+Base_Données!BH87+Base_Données!BL87+Base_Données!BN87-Base_Données!GB87-Base_Données!GJ87-Base_Données!GF87-Base_Données!FV87</f>
        <v>0</v>
      </c>
    </row>
    <row r="86" spans="1:18" customFormat="1" x14ac:dyDescent="0.25">
      <c r="A86" s="328">
        <f>Base_Données!A88</f>
        <v>0</v>
      </c>
      <c r="B86" s="181">
        <f>Base_Données!B88</f>
        <v>0</v>
      </c>
      <c r="C86" s="158">
        <f>Base_Données!C88</f>
        <v>0</v>
      </c>
      <c r="D86" s="156">
        <f>Base_Données!Q88</f>
        <v>0</v>
      </c>
      <c r="E86" s="156">
        <f>Base_Données!BR88</f>
        <v>0</v>
      </c>
      <c r="F86" s="155">
        <f>Base_Données!R88</f>
        <v>0</v>
      </c>
      <c r="G86" s="154">
        <f>Base_Données!BS88</f>
        <v>0</v>
      </c>
      <c r="H86" s="155">
        <f>SIG!F86-SIG!G86</f>
        <v>0</v>
      </c>
      <c r="I86" s="159">
        <f>Base_Données!BI88+Base_Données!BJ88-Base_Données!GC88-Base_Données!GD88</f>
        <v>0</v>
      </c>
      <c r="J86" s="154">
        <f t="shared" si="2"/>
        <v>0</v>
      </c>
      <c r="K86" s="154">
        <f>Base_Données!BK88-Base_Données!GE88</f>
        <v>0</v>
      </c>
      <c r="L86" s="159">
        <f t="shared" si="3"/>
        <v>0</v>
      </c>
      <c r="M86" s="158">
        <f>Base_Données!S88</f>
        <v>0</v>
      </c>
      <c r="N86" s="154">
        <f>Base_Données!T88-(Base_Données!BU88+Base_Données!BZ88+Base_Données!CC88)</f>
        <v>0</v>
      </c>
      <c r="O86" s="154">
        <f>Base_Données!AC88+Base_Données!AL88+Base_Données!BD88-(Base_Données!CI88)</f>
        <v>0</v>
      </c>
      <c r="P86" s="154">
        <f>L86+Base_Données!GJ88+Base_Données!GE88+Base_Données!GB88+Base_Données!FV88+Base_Données!FS88+Base_Données!FO88+Base_Données!FE88+Base_Données!DS88-(Base_Données!BK88+Base_Données!BH88+Base_Données!AU88)</f>
        <v>0</v>
      </c>
      <c r="Q86" s="189">
        <f>P86+Base_Données!AV88-Base_Données!FE88-Base_Données!FO88</f>
        <v>0</v>
      </c>
      <c r="R86" s="329">
        <f>SIG!Q86+Base_Données!BD88+Base_Données!BH88+Base_Données!BL88+Base_Données!BN88-Base_Données!GB88-Base_Données!GJ88-Base_Données!GF88-Base_Données!FV88</f>
        <v>0</v>
      </c>
    </row>
    <row r="87" spans="1:18" customFormat="1" x14ac:dyDescent="0.25">
      <c r="A87" s="328">
        <f>Base_Données!A89</f>
        <v>0</v>
      </c>
      <c r="B87" s="181">
        <f>Base_Données!B89</f>
        <v>0</v>
      </c>
      <c r="C87" s="158">
        <f>Base_Données!C89</f>
        <v>0</v>
      </c>
      <c r="D87" s="156">
        <f>Base_Données!Q89</f>
        <v>0</v>
      </c>
      <c r="E87" s="156">
        <f>Base_Données!BR89</f>
        <v>0</v>
      </c>
      <c r="F87" s="155">
        <f>Base_Données!R89</f>
        <v>0</v>
      </c>
      <c r="G87" s="154">
        <f>Base_Données!BS89</f>
        <v>0</v>
      </c>
      <c r="H87" s="155">
        <f>SIG!F87-SIG!G87</f>
        <v>0</v>
      </c>
      <c r="I87" s="159">
        <f>Base_Données!BI89+Base_Données!BJ89-Base_Données!GC89-Base_Données!GD89</f>
        <v>0</v>
      </c>
      <c r="J87" s="154">
        <f t="shared" si="2"/>
        <v>0</v>
      </c>
      <c r="K87" s="154">
        <f>Base_Données!BK89-Base_Données!GE89</f>
        <v>0</v>
      </c>
      <c r="L87" s="159">
        <f t="shared" si="3"/>
        <v>0</v>
      </c>
      <c r="M87" s="158">
        <f>Base_Données!S89</f>
        <v>0</v>
      </c>
      <c r="N87" s="154">
        <f>Base_Données!T89-(Base_Données!BU89+Base_Données!BZ89+Base_Données!CC89)</f>
        <v>0</v>
      </c>
      <c r="O87" s="154">
        <f>Base_Données!AC89+Base_Données!AL89+Base_Données!BD89-(Base_Données!CI89)</f>
        <v>0</v>
      </c>
      <c r="P87" s="154">
        <f>L87+Base_Données!GJ89+Base_Données!GE89+Base_Données!GB89+Base_Données!FV89+Base_Données!FS89+Base_Données!FO89+Base_Données!FE89+Base_Données!DS89-(Base_Données!BK89+Base_Données!BH89+Base_Données!AU89)</f>
        <v>0</v>
      </c>
      <c r="Q87" s="189">
        <f>P87+Base_Données!AV89-Base_Données!FE89-Base_Données!FO89</f>
        <v>0</v>
      </c>
      <c r="R87" s="329">
        <f>SIG!Q87+Base_Données!BD89+Base_Données!BH89+Base_Données!BL89+Base_Données!BN89-Base_Données!GB89-Base_Données!GJ89-Base_Données!GF89-Base_Données!FV89</f>
        <v>0</v>
      </c>
    </row>
    <row r="88" spans="1:18" customFormat="1" x14ac:dyDescent="0.25">
      <c r="A88" s="328">
        <f>Base_Données!A90</f>
        <v>0</v>
      </c>
      <c r="B88" s="181">
        <f>Base_Données!B90</f>
        <v>0</v>
      </c>
      <c r="C88" s="158">
        <f>Base_Données!C90</f>
        <v>0</v>
      </c>
      <c r="D88" s="156">
        <f>Base_Données!Q90</f>
        <v>0</v>
      </c>
      <c r="E88" s="156">
        <f>Base_Données!BR90</f>
        <v>0</v>
      </c>
      <c r="F88" s="155">
        <f>Base_Données!R90</f>
        <v>0</v>
      </c>
      <c r="G88" s="154">
        <f>Base_Données!BS90</f>
        <v>0</v>
      </c>
      <c r="H88" s="155">
        <f>SIG!F88-SIG!G88</f>
        <v>0</v>
      </c>
      <c r="I88" s="159">
        <f>Base_Données!BI90+Base_Données!BJ90-Base_Données!GC90-Base_Données!GD90</f>
        <v>0</v>
      </c>
      <c r="J88" s="154">
        <f t="shared" si="2"/>
        <v>0</v>
      </c>
      <c r="K88" s="154">
        <f>Base_Données!BK90-Base_Données!GE90</f>
        <v>0</v>
      </c>
      <c r="L88" s="159">
        <f t="shared" si="3"/>
        <v>0</v>
      </c>
      <c r="M88" s="158">
        <f>Base_Données!S90</f>
        <v>0</v>
      </c>
      <c r="N88" s="154">
        <f>Base_Données!T90-(Base_Données!BU90+Base_Données!BZ90+Base_Données!CC90)</f>
        <v>0</v>
      </c>
      <c r="O88" s="154">
        <f>Base_Données!AC90+Base_Données!AL90+Base_Données!BD90-(Base_Données!CI90)</f>
        <v>0</v>
      </c>
      <c r="P88" s="154">
        <f>L88+Base_Données!GJ90+Base_Données!GE90+Base_Données!GB90+Base_Données!FV90+Base_Données!FS90+Base_Données!FO90+Base_Données!FE90+Base_Données!DS90-(Base_Données!BK90+Base_Données!BH90+Base_Données!AU90)</f>
        <v>0</v>
      </c>
      <c r="Q88" s="189">
        <f>P88+Base_Données!AV90-Base_Données!FE90-Base_Données!FO90</f>
        <v>0</v>
      </c>
      <c r="R88" s="329">
        <f>SIG!Q88+Base_Données!BD90+Base_Données!BH90+Base_Données!BL90+Base_Données!BN90-Base_Données!GB90-Base_Données!GJ90-Base_Données!GF90-Base_Données!FV90</f>
        <v>0</v>
      </c>
    </row>
    <row r="89" spans="1:18" customFormat="1" x14ac:dyDescent="0.25">
      <c r="A89" s="328">
        <f>Base_Données!A91</f>
        <v>0</v>
      </c>
      <c r="B89" s="181">
        <f>Base_Données!B91</f>
        <v>0</v>
      </c>
      <c r="C89" s="158">
        <f>Base_Données!C91</f>
        <v>0</v>
      </c>
      <c r="D89" s="156">
        <f>Base_Données!Q91</f>
        <v>0</v>
      </c>
      <c r="E89" s="156">
        <f>Base_Données!BR91</f>
        <v>0</v>
      </c>
      <c r="F89" s="155">
        <f>Base_Données!R91</f>
        <v>0</v>
      </c>
      <c r="G89" s="154">
        <f>Base_Données!BS91</f>
        <v>0</v>
      </c>
      <c r="H89" s="155">
        <f>SIG!F89-SIG!G89</f>
        <v>0</v>
      </c>
      <c r="I89" s="159">
        <f>Base_Données!BI91+Base_Données!BJ91-Base_Données!GC91-Base_Données!GD91</f>
        <v>0</v>
      </c>
      <c r="J89" s="154">
        <f t="shared" si="2"/>
        <v>0</v>
      </c>
      <c r="K89" s="154">
        <f>Base_Données!BK91-Base_Données!GE91</f>
        <v>0</v>
      </c>
      <c r="L89" s="159">
        <f t="shared" si="3"/>
        <v>0</v>
      </c>
      <c r="M89" s="158">
        <f>Base_Données!S91</f>
        <v>0</v>
      </c>
      <c r="N89" s="154">
        <f>Base_Données!T91-(Base_Données!BU91+Base_Données!BZ91+Base_Données!CC91)</f>
        <v>0</v>
      </c>
      <c r="O89" s="154">
        <f>Base_Données!AC91+Base_Données!AL91+Base_Données!BD91-(Base_Données!CI91)</f>
        <v>0</v>
      </c>
      <c r="P89" s="154">
        <f>L89+Base_Données!GJ91+Base_Données!GE91+Base_Données!GB91+Base_Données!FV91+Base_Données!FS91+Base_Données!FO91+Base_Données!FE91+Base_Données!DS91-(Base_Données!BK91+Base_Données!BH91+Base_Données!AU91)</f>
        <v>0</v>
      </c>
      <c r="Q89" s="189">
        <f>P89+Base_Données!AV91-Base_Données!FE91-Base_Données!FO91</f>
        <v>0</v>
      </c>
      <c r="R89" s="329">
        <f>SIG!Q89+Base_Données!BD91+Base_Données!BH91+Base_Données!BL91+Base_Données!BN91-Base_Données!GB91-Base_Données!GJ91-Base_Données!GF91-Base_Données!FV91</f>
        <v>0</v>
      </c>
    </row>
    <row r="90" spans="1:18" customFormat="1" x14ac:dyDescent="0.25">
      <c r="A90" s="328">
        <f>Base_Données!A92</f>
        <v>0</v>
      </c>
      <c r="B90" s="181">
        <f>Base_Données!B92</f>
        <v>0</v>
      </c>
      <c r="C90" s="158">
        <f>Base_Données!C92</f>
        <v>0</v>
      </c>
      <c r="D90" s="156">
        <f>Base_Données!Q92</f>
        <v>0</v>
      </c>
      <c r="E90" s="156">
        <f>Base_Données!BR92</f>
        <v>0</v>
      </c>
      <c r="F90" s="155">
        <f>Base_Données!R92</f>
        <v>0</v>
      </c>
      <c r="G90" s="154">
        <f>Base_Données!BS92</f>
        <v>0</v>
      </c>
      <c r="H90" s="155">
        <f>SIG!F90-SIG!G90</f>
        <v>0</v>
      </c>
      <c r="I90" s="159">
        <f>Base_Données!BI92+Base_Données!BJ92-Base_Données!GC92-Base_Données!GD92</f>
        <v>0</v>
      </c>
      <c r="J90" s="154">
        <f t="shared" si="2"/>
        <v>0</v>
      </c>
      <c r="K90" s="154">
        <f>Base_Données!BK92-Base_Données!GE92</f>
        <v>0</v>
      </c>
      <c r="L90" s="159">
        <f t="shared" si="3"/>
        <v>0</v>
      </c>
      <c r="M90" s="158">
        <f>Base_Données!S92</f>
        <v>0</v>
      </c>
      <c r="N90" s="154">
        <f>Base_Données!T92-(Base_Données!BU92+Base_Données!BZ92+Base_Données!CC92)</f>
        <v>0</v>
      </c>
      <c r="O90" s="154">
        <f>Base_Données!AC92+Base_Données!AL92+Base_Données!BD92-(Base_Données!CI92)</f>
        <v>0</v>
      </c>
      <c r="P90" s="154">
        <f>L90+Base_Données!GJ92+Base_Données!GE92+Base_Données!GB92+Base_Données!FV92+Base_Données!FS92+Base_Données!FO92+Base_Données!FE92+Base_Données!DS92-(Base_Données!BK92+Base_Données!BH92+Base_Données!AU92)</f>
        <v>0</v>
      </c>
      <c r="Q90" s="189">
        <f>P90+Base_Données!AV92-Base_Données!FE92-Base_Données!FO92</f>
        <v>0</v>
      </c>
      <c r="R90" s="329">
        <f>SIG!Q90+Base_Données!BD92+Base_Données!BH92+Base_Données!BL92+Base_Données!BN92-Base_Données!GB92-Base_Données!GJ92-Base_Données!GF92-Base_Données!FV92</f>
        <v>0</v>
      </c>
    </row>
    <row r="91" spans="1:18" customFormat="1" x14ac:dyDescent="0.25">
      <c r="A91" s="328">
        <f>Base_Données!A93</f>
        <v>0</v>
      </c>
      <c r="B91" s="181">
        <f>Base_Données!B93</f>
        <v>0</v>
      </c>
      <c r="C91" s="158">
        <f>Base_Données!C93</f>
        <v>0</v>
      </c>
      <c r="D91" s="156">
        <f>Base_Données!Q93</f>
        <v>0</v>
      </c>
      <c r="E91" s="156">
        <f>Base_Données!BR93</f>
        <v>0</v>
      </c>
      <c r="F91" s="155">
        <f>Base_Données!R93</f>
        <v>0</v>
      </c>
      <c r="G91" s="154">
        <f>Base_Données!BS93</f>
        <v>0</v>
      </c>
      <c r="H91" s="155">
        <f>SIG!F91-SIG!G91</f>
        <v>0</v>
      </c>
      <c r="I91" s="159">
        <f>Base_Données!BI93+Base_Données!BJ93-Base_Données!GC93-Base_Données!GD93</f>
        <v>0</v>
      </c>
      <c r="J91" s="154">
        <f t="shared" si="2"/>
        <v>0</v>
      </c>
      <c r="K91" s="154">
        <f>Base_Données!BK93-Base_Données!GE93</f>
        <v>0</v>
      </c>
      <c r="L91" s="159">
        <f t="shared" si="3"/>
        <v>0</v>
      </c>
      <c r="M91" s="158">
        <f>Base_Données!S93</f>
        <v>0</v>
      </c>
      <c r="N91" s="154">
        <f>Base_Données!T93-(Base_Données!BU93+Base_Données!BZ93+Base_Données!CC93)</f>
        <v>0</v>
      </c>
      <c r="O91" s="154">
        <f>Base_Données!AC93+Base_Données!AL93+Base_Données!BD93-(Base_Données!CI93)</f>
        <v>0</v>
      </c>
      <c r="P91" s="154">
        <f>L91+Base_Données!GJ93+Base_Données!GE93+Base_Données!GB93+Base_Données!FV93+Base_Données!FS93+Base_Données!FO93+Base_Données!FE93+Base_Données!DS93-(Base_Données!BK93+Base_Données!BH93+Base_Données!AU93)</f>
        <v>0</v>
      </c>
      <c r="Q91" s="189">
        <f>P91+Base_Données!AV93-Base_Données!FE93-Base_Données!FO93</f>
        <v>0</v>
      </c>
      <c r="R91" s="329">
        <f>SIG!Q91+Base_Données!BD93+Base_Données!BH93+Base_Données!BL93+Base_Données!BN93-Base_Données!GB93-Base_Données!GJ93-Base_Données!GF93-Base_Données!FV93</f>
        <v>0</v>
      </c>
    </row>
    <row r="92" spans="1:18" customFormat="1" x14ac:dyDescent="0.25">
      <c r="A92" s="328">
        <f>Base_Données!A94</f>
        <v>0</v>
      </c>
      <c r="B92" s="181">
        <f>Base_Données!B94</f>
        <v>0</v>
      </c>
      <c r="C92" s="158">
        <f>Base_Données!C94</f>
        <v>0</v>
      </c>
      <c r="D92" s="156">
        <f>Base_Données!Q94</f>
        <v>0</v>
      </c>
      <c r="E92" s="156">
        <f>Base_Données!BR94</f>
        <v>0</v>
      </c>
      <c r="F92" s="155">
        <f>Base_Données!R94</f>
        <v>0</v>
      </c>
      <c r="G92" s="154">
        <f>Base_Données!BS94</f>
        <v>0</v>
      </c>
      <c r="H92" s="155">
        <f>SIG!F92-SIG!G92</f>
        <v>0</v>
      </c>
      <c r="I92" s="159">
        <f>Base_Données!BI94+Base_Données!BJ94-Base_Données!GC94-Base_Données!GD94</f>
        <v>0</v>
      </c>
      <c r="J92" s="154">
        <f t="shared" si="2"/>
        <v>0</v>
      </c>
      <c r="K92" s="154">
        <f>Base_Données!BK94-Base_Données!GE94</f>
        <v>0</v>
      </c>
      <c r="L92" s="159">
        <f t="shared" si="3"/>
        <v>0</v>
      </c>
      <c r="M92" s="158">
        <f>Base_Données!S94</f>
        <v>0</v>
      </c>
      <c r="N92" s="154">
        <f>Base_Données!T94-(Base_Données!BU94+Base_Données!BZ94+Base_Données!CC94)</f>
        <v>0</v>
      </c>
      <c r="O92" s="154">
        <f>Base_Données!AC94+Base_Données!AL94+Base_Données!BD94-(Base_Données!CI94)</f>
        <v>0</v>
      </c>
      <c r="P92" s="154">
        <f>L92+Base_Données!GJ94+Base_Données!GE94+Base_Données!GB94+Base_Données!FV94+Base_Données!FS94+Base_Données!FO94+Base_Données!FE94+Base_Données!DS94-(Base_Données!BK94+Base_Données!BH94+Base_Données!AU94)</f>
        <v>0</v>
      </c>
      <c r="Q92" s="189">
        <f>P92+Base_Données!AV94-Base_Données!FE94-Base_Données!FO94</f>
        <v>0</v>
      </c>
      <c r="R92" s="329">
        <f>SIG!Q92+Base_Données!BD94+Base_Données!BH94+Base_Données!BL94+Base_Données!BN94-Base_Données!GB94-Base_Données!GJ94-Base_Données!GF94-Base_Données!FV94</f>
        <v>0</v>
      </c>
    </row>
    <row r="93" spans="1:18" customFormat="1" x14ac:dyDescent="0.25">
      <c r="A93" s="328">
        <f>Base_Données!A95</f>
        <v>0</v>
      </c>
      <c r="B93" s="181">
        <f>Base_Données!B95</f>
        <v>0</v>
      </c>
      <c r="C93" s="158">
        <f>Base_Données!C95</f>
        <v>0</v>
      </c>
      <c r="D93" s="156">
        <f>Base_Données!Q95</f>
        <v>0</v>
      </c>
      <c r="E93" s="156">
        <f>Base_Données!BR95</f>
        <v>0</v>
      </c>
      <c r="F93" s="155">
        <f>Base_Données!R95</f>
        <v>0</v>
      </c>
      <c r="G93" s="154">
        <f>Base_Données!BS95</f>
        <v>0</v>
      </c>
      <c r="H93" s="155">
        <f>SIG!F93-SIG!G93</f>
        <v>0</v>
      </c>
      <c r="I93" s="159">
        <f>Base_Données!BI95+Base_Données!BJ95-Base_Données!GC95-Base_Données!GD95</f>
        <v>0</v>
      </c>
      <c r="J93" s="154">
        <f t="shared" si="2"/>
        <v>0</v>
      </c>
      <c r="K93" s="154">
        <f>Base_Données!BK95-Base_Données!GE95</f>
        <v>0</v>
      </c>
      <c r="L93" s="159">
        <f t="shared" si="3"/>
        <v>0</v>
      </c>
      <c r="M93" s="158">
        <f>Base_Données!S95</f>
        <v>0</v>
      </c>
      <c r="N93" s="154">
        <f>Base_Données!T95-(Base_Données!BU95+Base_Données!BZ95+Base_Données!CC95)</f>
        <v>0</v>
      </c>
      <c r="O93" s="154">
        <f>Base_Données!AC95+Base_Données!AL95+Base_Données!BD95-(Base_Données!CI95)</f>
        <v>0</v>
      </c>
      <c r="P93" s="154">
        <f>L93+Base_Données!GJ95+Base_Données!GE95+Base_Données!GB95+Base_Données!FV95+Base_Données!FS95+Base_Données!FO95+Base_Données!FE95+Base_Données!DS95-(Base_Données!BK95+Base_Données!BH95+Base_Données!AU95)</f>
        <v>0</v>
      </c>
      <c r="Q93" s="189">
        <f>P93+Base_Données!AV95-Base_Données!FE95-Base_Données!FO95</f>
        <v>0</v>
      </c>
      <c r="R93" s="329">
        <f>SIG!Q93+Base_Données!BD95+Base_Données!BH95+Base_Données!BL95+Base_Données!BN95-Base_Données!GB95-Base_Données!GJ95-Base_Données!GF95-Base_Données!FV95</f>
        <v>0</v>
      </c>
    </row>
    <row r="94" spans="1:18" customFormat="1" x14ac:dyDescent="0.25">
      <c r="A94" s="328">
        <f>Base_Données!A96</f>
        <v>0</v>
      </c>
      <c r="B94" s="181">
        <f>Base_Données!B96</f>
        <v>0</v>
      </c>
      <c r="C94" s="158">
        <f>Base_Données!C96</f>
        <v>0</v>
      </c>
      <c r="D94" s="156">
        <f>Base_Données!Q96</f>
        <v>0</v>
      </c>
      <c r="E94" s="156">
        <f>Base_Données!BR96</f>
        <v>0</v>
      </c>
      <c r="F94" s="155">
        <f>Base_Données!R96</f>
        <v>0</v>
      </c>
      <c r="G94" s="154">
        <f>Base_Données!BS96</f>
        <v>0</v>
      </c>
      <c r="H94" s="155">
        <f>SIG!F94-SIG!G94</f>
        <v>0</v>
      </c>
      <c r="I94" s="159">
        <f>Base_Données!BI96+Base_Données!BJ96-Base_Données!GC96-Base_Données!GD96</f>
        <v>0</v>
      </c>
      <c r="J94" s="154">
        <f t="shared" si="2"/>
        <v>0</v>
      </c>
      <c r="K94" s="154">
        <f>Base_Données!BK96-Base_Données!GE96</f>
        <v>0</v>
      </c>
      <c r="L94" s="159">
        <f t="shared" si="3"/>
        <v>0</v>
      </c>
      <c r="M94" s="158">
        <f>Base_Données!S96</f>
        <v>0</v>
      </c>
      <c r="N94" s="154">
        <f>Base_Données!T96-(Base_Données!BU96+Base_Données!BZ96+Base_Données!CC96)</f>
        <v>0</v>
      </c>
      <c r="O94" s="154">
        <f>Base_Données!AC96+Base_Données!AL96+Base_Données!BD96-(Base_Données!CI96)</f>
        <v>0</v>
      </c>
      <c r="P94" s="154">
        <f>L94+Base_Données!GJ96+Base_Données!GE96+Base_Données!GB96+Base_Données!FV96+Base_Données!FS96+Base_Données!FO96+Base_Données!FE96+Base_Données!DS96-(Base_Données!BK96+Base_Données!BH96+Base_Données!AU96)</f>
        <v>0</v>
      </c>
      <c r="Q94" s="189">
        <f>P94+Base_Données!AV96-Base_Données!FE96-Base_Données!FO96</f>
        <v>0</v>
      </c>
      <c r="R94" s="329">
        <f>SIG!Q94+Base_Données!BD96+Base_Données!BH96+Base_Données!BL96+Base_Données!BN96-Base_Données!GB96-Base_Données!GJ96-Base_Données!GF96-Base_Données!FV96</f>
        <v>0</v>
      </c>
    </row>
    <row r="95" spans="1:18" customFormat="1" x14ac:dyDescent="0.25">
      <c r="A95" s="328">
        <f>Base_Données!A97</f>
        <v>0</v>
      </c>
      <c r="B95" s="181">
        <f>Base_Données!B97</f>
        <v>0</v>
      </c>
      <c r="C95" s="158">
        <f>Base_Données!C97</f>
        <v>0</v>
      </c>
      <c r="D95" s="156">
        <f>Base_Données!Q97</f>
        <v>0</v>
      </c>
      <c r="E95" s="156">
        <f>Base_Données!BR97</f>
        <v>0</v>
      </c>
      <c r="F95" s="155">
        <f>Base_Données!R97</f>
        <v>0</v>
      </c>
      <c r="G95" s="154">
        <f>Base_Données!BS97</f>
        <v>0</v>
      </c>
      <c r="H95" s="155">
        <f>SIG!F95-SIG!G95</f>
        <v>0</v>
      </c>
      <c r="I95" s="159">
        <f>Base_Données!BI97+Base_Données!BJ97-Base_Données!GC97-Base_Données!GD97</f>
        <v>0</v>
      </c>
      <c r="J95" s="154">
        <f t="shared" si="2"/>
        <v>0</v>
      </c>
      <c r="K95" s="154">
        <f>Base_Données!BK97-Base_Données!GE97</f>
        <v>0</v>
      </c>
      <c r="L95" s="159">
        <f t="shared" si="3"/>
        <v>0</v>
      </c>
      <c r="M95" s="158">
        <f>Base_Données!S97</f>
        <v>0</v>
      </c>
      <c r="N95" s="154">
        <f>Base_Données!T97-(Base_Données!BU97+Base_Données!BZ97+Base_Données!CC97)</f>
        <v>0</v>
      </c>
      <c r="O95" s="154">
        <f>Base_Données!AC97+Base_Données!AL97+Base_Données!BD97-(Base_Données!CI97)</f>
        <v>0</v>
      </c>
      <c r="P95" s="154">
        <f>L95+Base_Données!GJ97+Base_Données!GE97+Base_Données!GB97+Base_Données!FV97+Base_Données!FS97+Base_Données!FO97+Base_Données!FE97+Base_Données!DS97-(Base_Données!BK97+Base_Données!BH97+Base_Données!AU97)</f>
        <v>0</v>
      </c>
      <c r="Q95" s="189">
        <f>P95+Base_Données!AV97-Base_Données!FE97-Base_Données!FO97</f>
        <v>0</v>
      </c>
      <c r="R95" s="329">
        <f>SIG!Q95+Base_Données!BD97+Base_Données!BH97+Base_Données!BL97+Base_Données!BN97-Base_Données!GB97-Base_Données!GJ97-Base_Données!GF97-Base_Données!FV97</f>
        <v>0</v>
      </c>
    </row>
    <row r="96" spans="1:18" customFormat="1" x14ac:dyDescent="0.25">
      <c r="A96" s="328">
        <f>Base_Données!A98</f>
        <v>0</v>
      </c>
      <c r="B96" s="181">
        <f>Base_Données!B98</f>
        <v>0</v>
      </c>
      <c r="C96" s="158">
        <f>Base_Données!C98</f>
        <v>0</v>
      </c>
      <c r="D96" s="156">
        <f>Base_Données!Q98</f>
        <v>0</v>
      </c>
      <c r="E96" s="156">
        <f>Base_Données!BR98</f>
        <v>0</v>
      </c>
      <c r="F96" s="155">
        <f>Base_Données!R98</f>
        <v>0</v>
      </c>
      <c r="G96" s="154">
        <f>Base_Données!BS98</f>
        <v>0</v>
      </c>
      <c r="H96" s="155">
        <f>SIG!F96-SIG!G96</f>
        <v>0</v>
      </c>
      <c r="I96" s="159">
        <f>Base_Données!BI98+Base_Données!BJ98-Base_Données!GC98-Base_Données!GD98</f>
        <v>0</v>
      </c>
      <c r="J96" s="154">
        <f t="shared" si="2"/>
        <v>0</v>
      </c>
      <c r="K96" s="154">
        <f>Base_Données!BK98-Base_Données!GE98</f>
        <v>0</v>
      </c>
      <c r="L96" s="159">
        <f t="shared" si="3"/>
        <v>0</v>
      </c>
      <c r="M96" s="158">
        <f>Base_Données!S98</f>
        <v>0</v>
      </c>
      <c r="N96" s="154">
        <f>Base_Données!T98-(Base_Données!BU98+Base_Données!BZ98+Base_Données!CC98)</f>
        <v>0</v>
      </c>
      <c r="O96" s="154">
        <f>Base_Données!AC98+Base_Données!AL98+Base_Données!BD98-(Base_Données!CI98)</f>
        <v>0</v>
      </c>
      <c r="P96" s="154">
        <f>L96+Base_Données!GJ98+Base_Données!GE98+Base_Données!GB98+Base_Données!FV98+Base_Données!FS98+Base_Données!FO98+Base_Données!FE98+Base_Données!DS98-(Base_Données!BK98+Base_Données!BH98+Base_Données!AU98)</f>
        <v>0</v>
      </c>
      <c r="Q96" s="189">
        <f>P96+Base_Données!AV98-Base_Données!FE98-Base_Données!FO98</f>
        <v>0</v>
      </c>
      <c r="R96" s="329">
        <f>SIG!Q96+Base_Données!BD98+Base_Données!BH98+Base_Données!BL98+Base_Données!BN98-Base_Données!GB98-Base_Données!GJ98-Base_Données!GF98-Base_Données!FV98</f>
        <v>0</v>
      </c>
    </row>
    <row r="97" spans="1:18" customFormat="1" x14ac:dyDescent="0.25">
      <c r="A97" s="328">
        <f>Base_Données!A99</f>
        <v>0</v>
      </c>
      <c r="B97" s="181">
        <f>Base_Données!B99</f>
        <v>0</v>
      </c>
      <c r="C97" s="158">
        <f>Base_Données!C99</f>
        <v>0</v>
      </c>
      <c r="D97" s="156">
        <f>Base_Données!Q99</f>
        <v>0</v>
      </c>
      <c r="E97" s="156">
        <f>Base_Données!BR99</f>
        <v>0</v>
      </c>
      <c r="F97" s="155">
        <f>Base_Données!R99</f>
        <v>0</v>
      </c>
      <c r="G97" s="154">
        <f>Base_Données!BS99</f>
        <v>0</v>
      </c>
      <c r="H97" s="155">
        <f>SIG!F97-SIG!G97</f>
        <v>0</v>
      </c>
      <c r="I97" s="159">
        <f>Base_Données!BI99+Base_Données!BJ99-Base_Données!GC99-Base_Données!GD99</f>
        <v>0</v>
      </c>
      <c r="J97" s="154">
        <f t="shared" si="2"/>
        <v>0</v>
      </c>
      <c r="K97" s="154">
        <f>Base_Données!BK99-Base_Données!GE99</f>
        <v>0</v>
      </c>
      <c r="L97" s="159">
        <f t="shared" si="3"/>
        <v>0</v>
      </c>
      <c r="M97" s="158">
        <f>Base_Données!S99</f>
        <v>0</v>
      </c>
      <c r="N97" s="154">
        <f>Base_Données!T99-(Base_Données!BU99+Base_Données!BZ99+Base_Données!CC99)</f>
        <v>0</v>
      </c>
      <c r="O97" s="154">
        <f>Base_Données!AC99+Base_Données!AL99+Base_Données!BD99-(Base_Données!CI99)</f>
        <v>0</v>
      </c>
      <c r="P97" s="154">
        <f>L97+Base_Données!GJ99+Base_Données!GE99+Base_Données!GB99+Base_Données!FV99+Base_Données!FS99+Base_Données!FO99+Base_Données!FE99+Base_Données!DS99-(Base_Données!BK99+Base_Données!BH99+Base_Données!AU99)</f>
        <v>0</v>
      </c>
      <c r="Q97" s="189">
        <f>P97+Base_Données!AV99-Base_Données!FE99-Base_Données!FO99</f>
        <v>0</v>
      </c>
      <c r="R97" s="329">
        <f>SIG!Q97+Base_Données!BD99+Base_Données!BH99+Base_Données!BL99+Base_Données!BN99-Base_Données!GB99-Base_Données!GJ99-Base_Données!GF99-Base_Données!FV99</f>
        <v>0</v>
      </c>
    </row>
    <row r="98" spans="1:18" customFormat="1" x14ac:dyDescent="0.25">
      <c r="A98" s="328">
        <f>Base_Données!A100</f>
        <v>0</v>
      </c>
      <c r="B98" s="181">
        <f>Base_Données!B100</f>
        <v>0</v>
      </c>
      <c r="C98" s="158">
        <f>Base_Données!C100</f>
        <v>0</v>
      </c>
      <c r="D98" s="156">
        <f>Base_Données!Q100</f>
        <v>0</v>
      </c>
      <c r="E98" s="156">
        <f>Base_Données!BR100</f>
        <v>0</v>
      </c>
      <c r="F98" s="155">
        <f>Base_Données!R100</f>
        <v>0</v>
      </c>
      <c r="G98" s="154">
        <f>Base_Données!BS100</f>
        <v>0</v>
      </c>
      <c r="H98" s="155">
        <f>SIG!F98-SIG!G98</f>
        <v>0</v>
      </c>
      <c r="I98" s="159">
        <f>Base_Données!BI100+Base_Données!BJ100-Base_Données!GC100-Base_Données!GD100</f>
        <v>0</v>
      </c>
      <c r="J98" s="154">
        <f t="shared" si="2"/>
        <v>0</v>
      </c>
      <c r="K98" s="154">
        <f>Base_Données!BK100-Base_Données!GE100</f>
        <v>0</v>
      </c>
      <c r="L98" s="159">
        <f t="shared" si="3"/>
        <v>0</v>
      </c>
      <c r="M98" s="158">
        <f>Base_Données!S100</f>
        <v>0</v>
      </c>
      <c r="N98" s="154">
        <f>Base_Données!T100-(Base_Données!BU100+Base_Données!BZ100+Base_Données!CC100)</f>
        <v>0</v>
      </c>
      <c r="O98" s="154">
        <f>Base_Données!AC100+Base_Données!AL100+Base_Données!BD100-(Base_Données!CI100)</f>
        <v>0</v>
      </c>
      <c r="P98" s="154">
        <f>L98+Base_Données!GJ100+Base_Données!GE100+Base_Données!GB100+Base_Données!FV100+Base_Données!FS100+Base_Données!FO100+Base_Données!FE100+Base_Données!DS100-(Base_Données!BK100+Base_Données!BH100+Base_Données!AU100)</f>
        <v>0</v>
      </c>
      <c r="Q98" s="189">
        <f>P98+Base_Données!AV100-Base_Données!FE100-Base_Données!FO100</f>
        <v>0</v>
      </c>
      <c r="R98" s="329">
        <f>SIG!Q98+Base_Données!BD100+Base_Données!BH100+Base_Données!BL100+Base_Données!BN100-Base_Données!GB100-Base_Données!GJ100-Base_Données!GF100-Base_Données!FV100</f>
        <v>0</v>
      </c>
    </row>
    <row r="99" spans="1:18" customFormat="1" x14ac:dyDescent="0.25">
      <c r="A99" s="328">
        <f>Base_Données!A101</f>
        <v>0</v>
      </c>
      <c r="B99" s="181">
        <f>Base_Données!B101</f>
        <v>0</v>
      </c>
      <c r="C99" s="158">
        <f>Base_Données!C101</f>
        <v>0</v>
      </c>
      <c r="D99" s="156">
        <f>Base_Données!Q101</f>
        <v>0</v>
      </c>
      <c r="E99" s="156">
        <f>Base_Données!BR101</f>
        <v>0</v>
      </c>
      <c r="F99" s="155">
        <f>Base_Données!R101</f>
        <v>0</v>
      </c>
      <c r="G99" s="154">
        <f>Base_Données!BS101</f>
        <v>0</v>
      </c>
      <c r="H99" s="155">
        <f>SIG!F99-SIG!G99</f>
        <v>0</v>
      </c>
      <c r="I99" s="159">
        <f>Base_Données!BI101+Base_Données!BJ101-Base_Données!GC101-Base_Données!GD101</f>
        <v>0</v>
      </c>
      <c r="J99" s="154">
        <f t="shared" si="2"/>
        <v>0</v>
      </c>
      <c r="K99" s="154">
        <f>Base_Données!BK101-Base_Données!GE101</f>
        <v>0</v>
      </c>
      <c r="L99" s="159">
        <f t="shared" si="3"/>
        <v>0</v>
      </c>
      <c r="M99" s="158">
        <f>Base_Données!S101</f>
        <v>0</v>
      </c>
      <c r="N99" s="154">
        <f>Base_Données!T101-(Base_Données!BU101+Base_Données!BZ101+Base_Données!CC101)</f>
        <v>0</v>
      </c>
      <c r="O99" s="154">
        <f>Base_Données!AC101+Base_Données!AL101+Base_Données!BD101-(Base_Données!CI101)</f>
        <v>0</v>
      </c>
      <c r="P99" s="154">
        <f>L99+Base_Données!GJ101+Base_Données!GE101+Base_Données!GB101+Base_Données!FV101+Base_Données!FS101+Base_Données!FO101+Base_Données!FE101+Base_Données!DS101-(Base_Données!BK101+Base_Données!BH101+Base_Données!AU101)</f>
        <v>0</v>
      </c>
      <c r="Q99" s="189">
        <f>P99+Base_Données!AV101-Base_Données!FE101-Base_Données!FO101</f>
        <v>0</v>
      </c>
      <c r="R99" s="329">
        <f>SIG!Q99+Base_Données!BD101+Base_Données!BH101+Base_Données!BL101+Base_Données!BN101-Base_Données!GB101-Base_Données!GJ101-Base_Données!GF101-Base_Données!FV101</f>
        <v>0</v>
      </c>
    </row>
    <row r="100" spans="1:18" customFormat="1" x14ac:dyDescent="0.25">
      <c r="A100" s="328">
        <f>Base_Données!A102</f>
        <v>0</v>
      </c>
      <c r="B100" s="181">
        <f>Base_Données!B102</f>
        <v>0</v>
      </c>
      <c r="C100" s="158">
        <f>Base_Données!C102</f>
        <v>0</v>
      </c>
      <c r="D100" s="156">
        <f>Base_Données!Q102</f>
        <v>0</v>
      </c>
      <c r="E100" s="156">
        <f>Base_Données!BR102</f>
        <v>0</v>
      </c>
      <c r="F100" s="155">
        <f>Base_Données!R102</f>
        <v>0</v>
      </c>
      <c r="G100" s="154">
        <f>Base_Données!BS102</f>
        <v>0</v>
      </c>
      <c r="H100" s="155">
        <f>SIG!F100-SIG!G100</f>
        <v>0</v>
      </c>
      <c r="I100" s="159">
        <f>Base_Données!BI102+Base_Données!BJ102-Base_Données!GC102-Base_Données!GD102</f>
        <v>0</v>
      </c>
      <c r="J100" s="154">
        <f t="shared" si="2"/>
        <v>0</v>
      </c>
      <c r="K100" s="154">
        <f>Base_Données!BK102-Base_Données!GE102</f>
        <v>0</v>
      </c>
      <c r="L100" s="159">
        <f t="shared" si="3"/>
        <v>0</v>
      </c>
      <c r="M100" s="158">
        <f>Base_Données!S102</f>
        <v>0</v>
      </c>
      <c r="N100" s="154">
        <f>Base_Données!T102-(Base_Données!BU102+Base_Données!BZ102+Base_Données!CC102)</f>
        <v>0</v>
      </c>
      <c r="O100" s="154">
        <f>Base_Données!AC102+Base_Données!AL102+Base_Données!BD102-(Base_Données!CI102)</f>
        <v>0</v>
      </c>
      <c r="P100" s="154">
        <f>L100+Base_Données!GJ102+Base_Données!GE102+Base_Données!GB102+Base_Données!FV102+Base_Données!FS102+Base_Données!FO102+Base_Données!FE102+Base_Données!DS102-(Base_Données!BK102+Base_Données!BH102+Base_Données!AU102)</f>
        <v>0</v>
      </c>
      <c r="Q100" s="189">
        <f>P100+Base_Données!AV102-Base_Données!FE102-Base_Données!FO102</f>
        <v>0</v>
      </c>
      <c r="R100" s="329">
        <f>SIG!Q100+Base_Données!BD102+Base_Données!BH102+Base_Données!BL102+Base_Données!BN102-Base_Données!GB102-Base_Données!GJ102-Base_Données!GF102-Base_Données!FV102</f>
        <v>0</v>
      </c>
    </row>
    <row r="101" spans="1:18" customFormat="1" x14ac:dyDescent="0.25">
      <c r="A101" s="328">
        <f>Base_Données!A103</f>
        <v>0</v>
      </c>
      <c r="B101" s="181">
        <f>Base_Données!B103</f>
        <v>0</v>
      </c>
      <c r="C101" s="158">
        <f>Base_Données!C103</f>
        <v>0</v>
      </c>
      <c r="D101" s="156">
        <f>Base_Données!Q103</f>
        <v>0</v>
      </c>
      <c r="E101" s="156">
        <f>Base_Données!BR103</f>
        <v>0</v>
      </c>
      <c r="F101" s="155">
        <f>Base_Données!R103</f>
        <v>0</v>
      </c>
      <c r="G101" s="154">
        <f>Base_Données!BS103</f>
        <v>0</v>
      </c>
      <c r="H101" s="155">
        <f>SIG!F101-SIG!G101</f>
        <v>0</v>
      </c>
      <c r="I101" s="159">
        <f>Base_Données!BI103+Base_Données!BJ103-Base_Données!GC103-Base_Données!GD103</f>
        <v>0</v>
      </c>
      <c r="J101" s="154">
        <f t="shared" si="2"/>
        <v>0</v>
      </c>
      <c r="K101" s="154">
        <f>Base_Données!BK103-Base_Données!GE103</f>
        <v>0</v>
      </c>
      <c r="L101" s="159">
        <f t="shared" si="3"/>
        <v>0</v>
      </c>
      <c r="M101" s="158">
        <f>Base_Données!S103</f>
        <v>0</v>
      </c>
      <c r="N101" s="154">
        <f>Base_Données!T103-(Base_Données!BU103+Base_Données!BZ103+Base_Données!CC103)</f>
        <v>0</v>
      </c>
      <c r="O101" s="154">
        <f>Base_Données!AC103+Base_Données!AL103+Base_Données!BD103-(Base_Données!CI103)</f>
        <v>0</v>
      </c>
      <c r="P101" s="154">
        <f>L101+Base_Données!GJ103+Base_Données!GE103+Base_Données!GB103+Base_Données!FV103+Base_Données!FS103+Base_Données!FO103+Base_Données!FE103+Base_Données!DS103-(Base_Données!BK103+Base_Données!BH103+Base_Données!AU103)</f>
        <v>0</v>
      </c>
      <c r="Q101" s="189">
        <f>P101+Base_Données!AV103-Base_Données!FE103-Base_Données!FO103</f>
        <v>0</v>
      </c>
      <c r="R101" s="329">
        <f>SIG!Q101+Base_Données!BD103+Base_Données!BH103+Base_Données!BL103+Base_Données!BN103-Base_Données!GB103-Base_Données!GJ103-Base_Données!GF103-Base_Données!FV103</f>
        <v>0</v>
      </c>
    </row>
    <row r="102" spans="1:18" customFormat="1" x14ac:dyDescent="0.25">
      <c r="A102" s="328">
        <f>Base_Données!A104</f>
        <v>0</v>
      </c>
      <c r="B102" s="181">
        <f>Base_Données!B104</f>
        <v>0</v>
      </c>
      <c r="C102" s="158">
        <f>Base_Données!C104</f>
        <v>0</v>
      </c>
      <c r="D102" s="156">
        <f>Base_Données!Q104</f>
        <v>0</v>
      </c>
      <c r="E102" s="156">
        <f>Base_Données!BR104</f>
        <v>0</v>
      </c>
      <c r="F102" s="155">
        <f>Base_Données!R104</f>
        <v>0</v>
      </c>
      <c r="G102" s="154">
        <f>Base_Données!BS104</f>
        <v>0</v>
      </c>
      <c r="H102" s="155">
        <f>SIG!F102-SIG!G102</f>
        <v>0</v>
      </c>
      <c r="I102" s="159">
        <f>Base_Données!BI104+Base_Données!BJ104-Base_Données!GC104-Base_Données!GD104</f>
        <v>0</v>
      </c>
      <c r="J102" s="154">
        <f t="shared" si="2"/>
        <v>0</v>
      </c>
      <c r="K102" s="154">
        <f>Base_Données!BK104-Base_Données!GE104</f>
        <v>0</v>
      </c>
      <c r="L102" s="159">
        <f t="shared" si="3"/>
        <v>0</v>
      </c>
      <c r="M102" s="158">
        <f>Base_Données!S104</f>
        <v>0</v>
      </c>
      <c r="N102" s="154">
        <f>Base_Données!T104-(Base_Données!BU104+Base_Données!BZ104+Base_Données!CC104)</f>
        <v>0</v>
      </c>
      <c r="O102" s="154">
        <f>Base_Données!AC104+Base_Données!AL104+Base_Données!BD104-(Base_Données!CI104)</f>
        <v>0</v>
      </c>
      <c r="P102" s="154">
        <f>L102+Base_Données!GJ104+Base_Données!GE104+Base_Données!GB104+Base_Données!FV104+Base_Données!FS104+Base_Données!FO104+Base_Données!FE104+Base_Données!DS104-(Base_Données!BK104+Base_Données!BH104+Base_Données!AU104)</f>
        <v>0</v>
      </c>
      <c r="Q102" s="189">
        <f>P102+Base_Données!AV104-Base_Données!FE104-Base_Données!FO104</f>
        <v>0</v>
      </c>
      <c r="R102" s="329">
        <f>SIG!Q102+Base_Données!BD104+Base_Données!BH104+Base_Données!BL104+Base_Données!BN104-Base_Données!GB104-Base_Données!GJ104-Base_Données!GF104-Base_Données!FV104</f>
        <v>0</v>
      </c>
    </row>
    <row r="103" spans="1:18" customFormat="1" x14ac:dyDescent="0.25">
      <c r="A103" s="328">
        <f>Base_Données!A105</f>
        <v>0</v>
      </c>
      <c r="B103" s="181">
        <f>Base_Données!B105</f>
        <v>0</v>
      </c>
      <c r="C103" s="158">
        <f>Base_Données!C105</f>
        <v>0</v>
      </c>
      <c r="D103" s="156">
        <f>Base_Données!Q105</f>
        <v>0</v>
      </c>
      <c r="E103" s="156">
        <f>Base_Données!BR105</f>
        <v>0</v>
      </c>
      <c r="F103" s="155">
        <f>Base_Données!R105</f>
        <v>0</v>
      </c>
      <c r="G103" s="154">
        <f>Base_Données!BS105</f>
        <v>0</v>
      </c>
      <c r="H103" s="155">
        <f>SIG!F103-SIG!G103</f>
        <v>0</v>
      </c>
      <c r="I103" s="159">
        <f>Base_Données!BI105+Base_Données!BJ105-Base_Données!GC105-Base_Données!GD105</f>
        <v>0</v>
      </c>
      <c r="J103" s="154">
        <f t="shared" si="2"/>
        <v>0</v>
      </c>
      <c r="K103" s="154">
        <f>Base_Données!BK105-Base_Données!GE105</f>
        <v>0</v>
      </c>
      <c r="L103" s="159">
        <f t="shared" si="3"/>
        <v>0</v>
      </c>
      <c r="M103" s="158">
        <f>Base_Données!S105</f>
        <v>0</v>
      </c>
      <c r="N103" s="154">
        <f>Base_Données!T105-(Base_Données!BU105+Base_Données!BZ105+Base_Données!CC105)</f>
        <v>0</v>
      </c>
      <c r="O103" s="154">
        <f>Base_Données!AC105+Base_Données!AL105+Base_Données!BD105-(Base_Données!CI105)</f>
        <v>0</v>
      </c>
      <c r="P103" s="154">
        <f>L103+Base_Données!GJ105+Base_Données!GE105+Base_Données!GB105+Base_Données!FV105+Base_Données!FS105+Base_Données!FO105+Base_Données!FE105+Base_Données!DS105-(Base_Données!BK105+Base_Données!BH105+Base_Données!AU105)</f>
        <v>0</v>
      </c>
      <c r="Q103" s="189">
        <f>P103+Base_Données!AV105-Base_Données!FE105-Base_Données!FO105</f>
        <v>0</v>
      </c>
      <c r="R103" s="329">
        <f>SIG!Q103+Base_Données!BD105+Base_Données!BH105+Base_Données!BL105+Base_Données!BN105-Base_Données!GB105-Base_Données!GJ105-Base_Données!GF105-Base_Données!FV105</f>
        <v>0</v>
      </c>
    </row>
    <row r="104" spans="1:18" customFormat="1" x14ac:dyDescent="0.25">
      <c r="A104" s="328">
        <f>Base_Données!A106</f>
        <v>0</v>
      </c>
      <c r="B104" s="181">
        <f>Base_Données!B106</f>
        <v>0</v>
      </c>
      <c r="C104" s="158">
        <f>Base_Données!C106</f>
        <v>0</v>
      </c>
      <c r="D104" s="156">
        <f>Base_Données!Q106</f>
        <v>0</v>
      </c>
      <c r="E104" s="156">
        <f>Base_Données!BR106</f>
        <v>0</v>
      </c>
      <c r="F104" s="155">
        <f>Base_Données!R106</f>
        <v>0</v>
      </c>
      <c r="G104" s="154">
        <f>Base_Données!BS106</f>
        <v>0</v>
      </c>
      <c r="H104" s="155">
        <f>SIG!F104-SIG!G104</f>
        <v>0</v>
      </c>
      <c r="I104" s="159">
        <f>Base_Données!BI106+Base_Données!BJ106-Base_Données!GC106-Base_Données!GD106</f>
        <v>0</v>
      </c>
      <c r="J104" s="154">
        <f t="shared" si="2"/>
        <v>0</v>
      </c>
      <c r="K104" s="154">
        <f>Base_Données!BK106-Base_Données!GE106</f>
        <v>0</v>
      </c>
      <c r="L104" s="159">
        <f t="shared" si="3"/>
        <v>0</v>
      </c>
      <c r="M104" s="158">
        <f>Base_Données!S106</f>
        <v>0</v>
      </c>
      <c r="N104" s="154">
        <f>Base_Données!T106-(Base_Données!BU106+Base_Données!BZ106+Base_Données!CC106)</f>
        <v>0</v>
      </c>
      <c r="O104" s="154">
        <f>Base_Données!AC106+Base_Données!AL106+Base_Données!BD106-(Base_Données!CI106)</f>
        <v>0</v>
      </c>
      <c r="P104" s="154">
        <f>L104+Base_Données!GJ106+Base_Données!GE106+Base_Données!GB106+Base_Données!FV106+Base_Données!FS106+Base_Données!FO106+Base_Données!FE106+Base_Données!DS106-(Base_Données!BK106+Base_Données!BH106+Base_Données!AU106)</f>
        <v>0</v>
      </c>
      <c r="Q104" s="189">
        <f>P104+Base_Données!AV106-Base_Données!FE106-Base_Données!FO106</f>
        <v>0</v>
      </c>
      <c r="R104" s="329">
        <f>SIG!Q104+Base_Données!BD106+Base_Données!BH106+Base_Données!BL106+Base_Données!BN106-Base_Données!GB106-Base_Données!GJ106-Base_Données!GF106-Base_Données!FV106</f>
        <v>0</v>
      </c>
    </row>
    <row r="105" spans="1:18" customFormat="1" x14ac:dyDescent="0.25">
      <c r="A105" s="328">
        <f>Base_Données!A107</f>
        <v>0</v>
      </c>
      <c r="B105" s="181">
        <f>Base_Données!B107</f>
        <v>0</v>
      </c>
      <c r="C105" s="158">
        <f>Base_Données!C107</f>
        <v>0</v>
      </c>
      <c r="D105" s="156">
        <f>Base_Données!Q107</f>
        <v>0</v>
      </c>
      <c r="E105" s="156">
        <f>Base_Données!BR107</f>
        <v>0</v>
      </c>
      <c r="F105" s="155">
        <f>Base_Données!R107</f>
        <v>0</v>
      </c>
      <c r="G105" s="154">
        <f>Base_Données!BS107</f>
        <v>0</v>
      </c>
      <c r="H105" s="155">
        <f>SIG!F105-SIG!G105</f>
        <v>0</v>
      </c>
      <c r="I105" s="159">
        <f>Base_Données!BI107+Base_Données!BJ107-Base_Données!GC107-Base_Données!GD107</f>
        <v>0</v>
      </c>
      <c r="J105" s="154">
        <f t="shared" si="2"/>
        <v>0</v>
      </c>
      <c r="K105" s="154">
        <f>Base_Données!BK107-Base_Données!GE107</f>
        <v>0</v>
      </c>
      <c r="L105" s="159">
        <f t="shared" si="3"/>
        <v>0</v>
      </c>
      <c r="M105" s="158">
        <f>Base_Données!S107</f>
        <v>0</v>
      </c>
      <c r="N105" s="154">
        <f>Base_Données!T107-(Base_Données!BU107+Base_Données!BZ107+Base_Données!CC107)</f>
        <v>0</v>
      </c>
      <c r="O105" s="154">
        <f>Base_Données!AC107+Base_Données!AL107+Base_Données!BD107-(Base_Données!CI107)</f>
        <v>0</v>
      </c>
      <c r="P105" s="154">
        <f>L105+Base_Données!GJ107+Base_Données!GE107+Base_Données!GB107+Base_Données!FV107+Base_Données!FS107+Base_Données!FO107+Base_Données!FE107+Base_Données!DS107-(Base_Données!BK107+Base_Données!BH107+Base_Données!AU107)</f>
        <v>0</v>
      </c>
      <c r="Q105" s="189">
        <f>P105+Base_Données!AV107-Base_Données!FE107-Base_Données!FO107</f>
        <v>0</v>
      </c>
      <c r="R105" s="329">
        <f>SIG!Q105+Base_Données!BD107+Base_Données!BH107+Base_Données!BL107+Base_Données!BN107-Base_Données!GB107-Base_Données!GJ107-Base_Données!GF107-Base_Données!FV107</f>
        <v>0</v>
      </c>
    </row>
    <row r="106" spans="1:18" customFormat="1" x14ac:dyDescent="0.25">
      <c r="A106" s="328">
        <f>Base_Données!A108</f>
        <v>0</v>
      </c>
      <c r="B106" s="181">
        <f>Base_Données!B108</f>
        <v>0</v>
      </c>
      <c r="C106" s="158">
        <f>Base_Données!C108</f>
        <v>0</v>
      </c>
      <c r="D106" s="156">
        <f>Base_Données!Q108</f>
        <v>0</v>
      </c>
      <c r="E106" s="156">
        <f>Base_Données!BR108</f>
        <v>0</v>
      </c>
      <c r="F106" s="155">
        <f>Base_Données!R108</f>
        <v>0</v>
      </c>
      <c r="G106" s="154">
        <f>Base_Données!BS108</f>
        <v>0</v>
      </c>
      <c r="H106" s="155">
        <f>SIG!F106-SIG!G106</f>
        <v>0</v>
      </c>
      <c r="I106" s="159">
        <f>Base_Données!BI108+Base_Données!BJ108-Base_Données!GC108-Base_Données!GD108</f>
        <v>0</v>
      </c>
      <c r="J106" s="154">
        <f t="shared" si="2"/>
        <v>0</v>
      </c>
      <c r="K106" s="154">
        <f>Base_Données!BK108-Base_Données!GE108</f>
        <v>0</v>
      </c>
      <c r="L106" s="159">
        <f t="shared" si="3"/>
        <v>0</v>
      </c>
      <c r="M106" s="158">
        <f>Base_Données!S108</f>
        <v>0</v>
      </c>
      <c r="N106" s="154">
        <f>Base_Données!T108-(Base_Données!BU108+Base_Données!BZ108+Base_Données!CC108)</f>
        <v>0</v>
      </c>
      <c r="O106" s="154">
        <f>Base_Données!AC108+Base_Données!AL108+Base_Données!BD108-(Base_Données!CI108)</f>
        <v>0</v>
      </c>
      <c r="P106" s="154">
        <f>L106+Base_Données!GJ108+Base_Données!GE108+Base_Données!GB108+Base_Données!FV108+Base_Données!FS108+Base_Données!FO108+Base_Données!FE108+Base_Données!DS108-(Base_Données!BK108+Base_Données!BH108+Base_Données!AU108)</f>
        <v>0</v>
      </c>
      <c r="Q106" s="189">
        <f>P106+Base_Données!AV108-Base_Données!FE108-Base_Données!FO108</f>
        <v>0</v>
      </c>
      <c r="R106" s="329">
        <f>SIG!Q106+Base_Données!BD108+Base_Données!BH108+Base_Données!BL108+Base_Données!BN108-Base_Données!GB108-Base_Données!GJ108-Base_Données!GF108-Base_Données!FV108</f>
        <v>0</v>
      </c>
    </row>
    <row r="107" spans="1:18" customFormat="1" x14ac:dyDescent="0.25">
      <c r="A107" s="328">
        <f>Base_Données!A109</f>
        <v>0</v>
      </c>
      <c r="B107" s="181">
        <f>Base_Données!B109</f>
        <v>0</v>
      </c>
      <c r="C107" s="158">
        <f>Base_Données!C109</f>
        <v>0</v>
      </c>
      <c r="D107" s="156">
        <f>Base_Données!Q109</f>
        <v>0</v>
      </c>
      <c r="E107" s="156">
        <f>Base_Données!BR109</f>
        <v>0</v>
      </c>
      <c r="F107" s="155">
        <f>Base_Données!R109</f>
        <v>0</v>
      </c>
      <c r="G107" s="154">
        <f>Base_Données!BS109</f>
        <v>0</v>
      </c>
      <c r="H107" s="155">
        <f>SIG!F107-SIG!G107</f>
        <v>0</v>
      </c>
      <c r="I107" s="159">
        <f>Base_Données!BI109+Base_Données!BJ109-Base_Données!GC109-Base_Données!GD109</f>
        <v>0</v>
      </c>
      <c r="J107" s="154">
        <f t="shared" si="2"/>
        <v>0</v>
      </c>
      <c r="K107" s="154">
        <f>Base_Données!BK109-Base_Données!GE109</f>
        <v>0</v>
      </c>
      <c r="L107" s="159">
        <f t="shared" si="3"/>
        <v>0</v>
      </c>
      <c r="M107" s="158">
        <f>Base_Données!S109</f>
        <v>0</v>
      </c>
      <c r="N107" s="154">
        <f>Base_Données!T109-(Base_Données!BU109+Base_Données!BZ109+Base_Données!CC109)</f>
        <v>0</v>
      </c>
      <c r="O107" s="154">
        <f>Base_Données!AC109+Base_Données!AL109+Base_Données!BD109-(Base_Données!CI109)</f>
        <v>0</v>
      </c>
      <c r="P107" s="154">
        <f>L107+Base_Données!GJ109+Base_Données!GE109+Base_Données!GB109+Base_Données!FV109+Base_Données!FS109+Base_Données!FO109+Base_Données!FE109+Base_Données!DS109-(Base_Données!BK109+Base_Données!BH109+Base_Données!AU109)</f>
        <v>0</v>
      </c>
      <c r="Q107" s="189">
        <f>P107+Base_Données!AV109-Base_Données!FE109-Base_Données!FO109</f>
        <v>0</v>
      </c>
      <c r="R107" s="329">
        <f>SIG!Q107+Base_Données!BD109+Base_Données!BH109+Base_Données!BL109+Base_Données!BN109-Base_Données!GB109-Base_Données!GJ109-Base_Données!GF109-Base_Données!FV109</f>
        <v>0</v>
      </c>
    </row>
    <row r="108" spans="1:18" customFormat="1" x14ac:dyDescent="0.25">
      <c r="A108" s="328">
        <f>Base_Données!A110</f>
        <v>0</v>
      </c>
      <c r="B108" s="181">
        <f>Base_Données!B110</f>
        <v>0</v>
      </c>
      <c r="C108" s="158">
        <f>Base_Données!C110</f>
        <v>0</v>
      </c>
      <c r="D108" s="156">
        <f>Base_Données!Q110</f>
        <v>0</v>
      </c>
      <c r="E108" s="156">
        <f>Base_Données!BR110</f>
        <v>0</v>
      </c>
      <c r="F108" s="155">
        <f>Base_Données!R110</f>
        <v>0</v>
      </c>
      <c r="G108" s="154">
        <f>Base_Données!BS110</f>
        <v>0</v>
      </c>
      <c r="H108" s="155">
        <f>SIG!F108-SIG!G108</f>
        <v>0</v>
      </c>
      <c r="I108" s="159">
        <f>Base_Données!BI110+Base_Données!BJ110-Base_Données!GC110-Base_Données!GD110</f>
        <v>0</v>
      </c>
      <c r="J108" s="154">
        <f t="shared" si="2"/>
        <v>0</v>
      </c>
      <c r="K108" s="154">
        <f>Base_Données!BK110-Base_Données!GE110</f>
        <v>0</v>
      </c>
      <c r="L108" s="159">
        <f t="shared" si="3"/>
        <v>0</v>
      </c>
      <c r="M108" s="158">
        <f>Base_Données!S110</f>
        <v>0</v>
      </c>
      <c r="N108" s="154">
        <f>Base_Données!T110-(Base_Données!BU110+Base_Données!BZ110+Base_Données!CC110)</f>
        <v>0</v>
      </c>
      <c r="O108" s="154">
        <f>Base_Données!AC110+Base_Données!AL110+Base_Données!BD110-(Base_Données!CI110)</f>
        <v>0</v>
      </c>
      <c r="P108" s="154">
        <f>L108+Base_Données!GJ110+Base_Données!GE110+Base_Données!GB110+Base_Données!FV110+Base_Données!FS110+Base_Données!FO110+Base_Données!FE110+Base_Données!DS110-(Base_Données!BK110+Base_Données!BH110+Base_Données!AU110)</f>
        <v>0</v>
      </c>
      <c r="Q108" s="189">
        <f>P108+Base_Données!AV110-Base_Données!FE110-Base_Données!FO110</f>
        <v>0</v>
      </c>
      <c r="R108" s="329">
        <f>SIG!Q108+Base_Données!BD110+Base_Données!BH110+Base_Données!BL110+Base_Données!BN110-Base_Données!GB110-Base_Données!GJ110-Base_Données!GF110-Base_Données!FV110</f>
        <v>0</v>
      </c>
    </row>
    <row r="109" spans="1:18" customFormat="1" x14ac:dyDescent="0.25">
      <c r="A109" s="328">
        <f>Base_Données!A111</f>
        <v>0</v>
      </c>
      <c r="B109" s="181">
        <f>Base_Données!B111</f>
        <v>0</v>
      </c>
      <c r="C109" s="158">
        <f>Base_Données!C111</f>
        <v>0</v>
      </c>
      <c r="D109" s="156">
        <f>Base_Données!Q111</f>
        <v>0</v>
      </c>
      <c r="E109" s="156">
        <f>Base_Données!BR111</f>
        <v>0</v>
      </c>
      <c r="F109" s="155">
        <f>Base_Données!R111</f>
        <v>0</v>
      </c>
      <c r="G109" s="154">
        <f>Base_Données!BS111</f>
        <v>0</v>
      </c>
      <c r="H109" s="155">
        <f>SIG!F109-SIG!G109</f>
        <v>0</v>
      </c>
      <c r="I109" s="159">
        <f>Base_Données!BI111+Base_Données!BJ111-Base_Données!GC111-Base_Données!GD111</f>
        <v>0</v>
      </c>
      <c r="J109" s="154">
        <f t="shared" si="2"/>
        <v>0</v>
      </c>
      <c r="K109" s="154">
        <f>Base_Données!BK111-Base_Données!GE111</f>
        <v>0</v>
      </c>
      <c r="L109" s="159">
        <f t="shared" si="3"/>
        <v>0</v>
      </c>
      <c r="M109" s="158">
        <f>Base_Données!S111</f>
        <v>0</v>
      </c>
      <c r="N109" s="154">
        <f>Base_Données!T111-(Base_Données!BU111+Base_Données!BZ111+Base_Données!CC111)</f>
        <v>0</v>
      </c>
      <c r="O109" s="154">
        <f>Base_Données!AC111+Base_Données!AL111+Base_Données!BD111-(Base_Données!CI111)</f>
        <v>0</v>
      </c>
      <c r="P109" s="154">
        <f>L109+Base_Données!GJ111+Base_Données!GE111+Base_Données!GB111+Base_Données!FV111+Base_Données!FS111+Base_Données!FO111+Base_Données!FE111+Base_Données!DS111-(Base_Données!BK111+Base_Données!BH111+Base_Données!AU111)</f>
        <v>0</v>
      </c>
      <c r="Q109" s="189">
        <f>P109+Base_Données!AV111-Base_Données!FE111-Base_Données!FO111</f>
        <v>0</v>
      </c>
      <c r="R109" s="329">
        <f>SIG!Q109+Base_Données!BD111+Base_Données!BH111+Base_Données!BL111+Base_Données!BN111-Base_Données!GB111-Base_Données!GJ111-Base_Données!GF111-Base_Données!FV111</f>
        <v>0</v>
      </c>
    </row>
    <row r="110" spans="1:18" customFormat="1" x14ac:dyDescent="0.25">
      <c r="A110" s="328">
        <f>Base_Données!A112</f>
        <v>0</v>
      </c>
      <c r="B110" s="181">
        <f>Base_Données!B112</f>
        <v>0</v>
      </c>
      <c r="C110" s="158">
        <f>Base_Données!C112</f>
        <v>0</v>
      </c>
      <c r="D110" s="156">
        <f>Base_Données!Q112</f>
        <v>0</v>
      </c>
      <c r="E110" s="156">
        <f>Base_Données!BR112</f>
        <v>0</v>
      </c>
      <c r="F110" s="155">
        <f>Base_Données!R112</f>
        <v>0</v>
      </c>
      <c r="G110" s="154">
        <f>Base_Données!BS112</f>
        <v>0</v>
      </c>
      <c r="H110" s="155">
        <f>SIG!F110-SIG!G110</f>
        <v>0</v>
      </c>
      <c r="I110" s="159">
        <f>Base_Données!BI112+Base_Données!BJ112-Base_Données!GC112-Base_Données!GD112</f>
        <v>0</v>
      </c>
      <c r="J110" s="154">
        <f t="shared" si="2"/>
        <v>0</v>
      </c>
      <c r="K110" s="154">
        <f>Base_Données!BK112-Base_Données!GE112</f>
        <v>0</v>
      </c>
      <c r="L110" s="159">
        <f t="shared" si="3"/>
        <v>0</v>
      </c>
      <c r="M110" s="158">
        <f>Base_Données!S112</f>
        <v>0</v>
      </c>
      <c r="N110" s="154">
        <f>Base_Données!T112-(Base_Données!BU112+Base_Données!BZ112+Base_Données!CC112)</f>
        <v>0</v>
      </c>
      <c r="O110" s="154">
        <f>Base_Données!AC112+Base_Données!AL112+Base_Données!BD112-(Base_Données!CI112)</f>
        <v>0</v>
      </c>
      <c r="P110" s="154">
        <f>L110+Base_Données!GJ112+Base_Données!GE112+Base_Données!GB112+Base_Données!FV112+Base_Données!FS112+Base_Données!FO112+Base_Données!FE112+Base_Données!DS112-(Base_Données!BK112+Base_Données!BH112+Base_Données!AU112)</f>
        <v>0</v>
      </c>
      <c r="Q110" s="189">
        <f>P110+Base_Données!AV112-Base_Données!FE112-Base_Données!FO112</f>
        <v>0</v>
      </c>
      <c r="R110" s="329">
        <f>SIG!Q110+Base_Données!BD112+Base_Données!BH112+Base_Données!BL112+Base_Données!BN112-Base_Données!GB112-Base_Données!GJ112-Base_Données!GF112-Base_Données!FV112</f>
        <v>0</v>
      </c>
    </row>
    <row r="111" spans="1:18" customFormat="1" x14ac:dyDescent="0.25">
      <c r="A111" s="328">
        <f>Base_Données!A113</f>
        <v>0</v>
      </c>
      <c r="B111" s="181">
        <f>Base_Données!B113</f>
        <v>0</v>
      </c>
      <c r="C111" s="158">
        <f>Base_Données!C113</f>
        <v>0</v>
      </c>
      <c r="D111" s="156">
        <f>Base_Données!Q113</f>
        <v>0</v>
      </c>
      <c r="E111" s="156">
        <f>Base_Données!BR113</f>
        <v>0</v>
      </c>
      <c r="F111" s="155">
        <f>Base_Données!R113</f>
        <v>0</v>
      </c>
      <c r="G111" s="154">
        <f>Base_Données!BS113</f>
        <v>0</v>
      </c>
      <c r="H111" s="155">
        <f>SIG!F111-SIG!G111</f>
        <v>0</v>
      </c>
      <c r="I111" s="159">
        <f>Base_Données!BI113+Base_Données!BJ113-Base_Données!GC113-Base_Données!GD113</f>
        <v>0</v>
      </c>
      <c r="J111" s="154">
        <f t="shared" si="2"/>
        <v>0</v>
      </c>
      <c r="K111" s="154">
        <f>Base_Données!BK113-Base_Données!GE113</f>
        <v>0</v>
      </c>
      <c r="L111" s="159">
        <f t="shared" si="3"/>
        <v>0</v>
      </c>
      <c r="M111" s="158">
        <f>Base_Données!S113</f>
        <v>0</v>
      </c>
      <c r="N111" s="154">
        <f>Base_Données!T113-(Base_Données!BU113+Base_Données!BZ113+Base_Données!CC113)</f>
        <v>0</v>
      </c>
      <c r="O111" s="154">
        <f>Base_Données!AC113+Base_Données!AL113+Base_Données!BD113-(Base_Données!CI113)</f>
        <v>0</v>
      </c>
      <c r="P111" s="154">
        <f>L111+Base_Données!GJ113+Base_Données!GE113+Base_Données!GB113+Base_Données!FV113+Base_Données!FS113+Base_Données!FO113+Base_Données!FE113+Base_Données!DS113-(Base_Données!BK113+Base_Données!BH113+Base_Données!AU113)</f>
        <v>0</v>
      </c>
      <c r="Q111" s="189">
        <f>P111+Base_Données!AV113-Base_Données!FE113-Base_Données!FO113</f>
        <v>0</v>
      </c>
      <c r="R111" s="329">
        <f>SIG!Q111+Base_Données!BD113+Base_Données!BH113+Base_Données!BL113+Base_Données!BN113-Base_Données!GB113-Base_Données!GJ113-Base_Données!GF113-Base_Données!FV113</f>
        <v>0</v>
      </c>
    </row>
    <row r="112" spans="1:18" customFormat="1" x14ac:dyDescent="0.25">
      <c r="A112" s="328">
        <f>Base_Données!A114</f>
        <v>0</v>
      </c>
      <c r="B112" s="181">
        <f>Base_Données!B114</f>
        <v>0</v>
      </c>
      <c r="C112" s="158">
        <f>Base_Données!C114</f>
        <v>0</v>
      </c>
      <c r="D112" s="156">
        <f>Base_Données!Q114</f>
        <v>0</v>
      </c>
      <c r="E112" s="156">
        <f>Base_Données!BR114</f>
        <v>0</v>
      </c>
      <c r="F112" s="155">
        <f>Base_Données!R114</f>
        <v>0</v>
      </c>
      <c r="G112" s="154">
        <f>Base_Données!BS114</f>
        <v>0</v>
      </c>
      <c r="H112" s="155">
        <f>SIG!F112-SIG!G112</f>
        <v>0</v>
      </c>
      <c r="I112" s="159">
        <f>Base_Données!BI114+Base_Données!BJ114-Base_Données!GC114-Base_Données!GD114</f>
        <v>0</v>
      </c>
      <c r="J112" s="154">
        <f t="shared" si="2"/>
        <v>0</v>
      </c>
      <c r="K112" s="154">
        <f>Base_Données!BK114-Base_Données!GE114</f>
        <v>0</v>
      </c>
      <c r="L112" s="159">
        <f t="shared" si="3"/>
        <v>0</v>
      </c>
      <c r="M112" s="158">
        <f>Base_Données!S114</f>
        <v>0</v>
      </c>
      <c r="N112" s="154">
        <f>Base_Données!T114-(Base_Données!BU114+Base_Données!BZ114+Base_Données!CC114)</f>
        <v>0</v>
      </c>
      <c r="O112" s="154">
        <f>Base_Données!AC114+Base_Données!AL114+Base_Données!BD114-(Base_Données!CI114)</f>
        <v>0</v>
      </c>
      <c r="P112" s="154">
        <f>L112+Base_Données!GJ114+Base_Données!GE114+Base_Données!GB114+Base_Données!FV114+Base_Données!FS114+Base_Données!FO114+Base_Données!FE114+Base_Données!DS114-(Base_Données!BK114+Base_Données!BH114+Base_Données!AU114)</f>
        <v>0</v>
      </c>
      <c r="Q112" s="189">
        <f>P112+Base_Données!AV114-Base_Données!FE114-Base_Données!FO114</f>
        <v>0</v>
      </c>
      <c r="R112" s="329">
        <f>SIG!Q112+Base_Données!BD114+Base_Données!BH114+Base_Données!BL114+Base_Données!BN114-Base_Données!GB114-Base_Données!GJ114-Base_Données!GF114-Base_Données!FV114</f>
        <v>0</v>
      </c>
    </row>
    <row r="113" spans="1:18" customFormat="1" x14ac:dyDescent="0.25">
      <c r="A113" s="328">
        <f>Base_Données!A115</f>
        <v>0</v>
      </c>
      <c r="B113" s="181">
        <f>Base_Données!B115</f>
        <v>0</v>
      </c>
      <c r="C113" s="158">
        <f>Base_Données!C115</f>
        <v>0</v>
      </c>
      <c r="D113" s="156">
        <f>Base_Données!Q115</f>
        <v>0</v>
      </c>
      <c r="E113" s="156">
        <f>Base_Données!BR115</f>
        <v>0</v>
      </c>
      <c r="F113" s="155">
        <f>Base_Données!R115</f>
        <v>0</v>
      </c>
      <c r="G113" s="154">
        <f>Base_Données!BS115</f>
        <v>0</v>
      </c>
      <c r="H113" s="155">
        <f>SIG!F113-SIG!G113</f>
        <v>0</v>
      </c>
      <c r="I113" s="159">
        <f>Base_Données!BI115+Base_Données!BJ115-Base_Données!GC115-Base_Données!GD115</f>
        <v>0</v>
      </c>
      <c r="J113" s="154">
        <f t="shared" si="2"/>
        <v>0</v>
      </c>
      <c r="K113" s="154">
        <f>Base_Données!BK115-Base_Données!GE115</f>
        <v>0</v>
      </c>
      <c r="L113" s="159">
        <f t="shared" si="3"/>
        <v>0</v>
      </c>
      <c r="M113" s="158">
        <f>Base_Données!S115</f>
        <v>0</v>
      </c>
      <c r="N113" s="154">
        <f>Base_Données!T115-(Base_Données!BU115+Base_Données!BZ115+Base_Données!CC115)</f>
        <v>0</v>
      </c>
      <c r="O113" s="154">
        <f>Base_Données!AC115+Base_Données!AL115+Base_Données!BD115-(Base_Données!CI115)</f>
        <v>0</v>
      </c>
      <c r="P113" s="154">
        <f>L113+Base_Données!GJ115+Base_Données!GE115+Base_Données!GB115+Base_Données!FV115+Base_Données!FS115+Base_Données!FO115+Base_Données!FE115+Base_Données!DS115-(Base_Données!BK115+Base_Données!BH115+Base_Données!AU115)</f>
        <v>0</v>
      </c>
      <c r="Q113" s="189">
        <f>P113+Base_Données!AV115-Base_Données!FE115-Base_Données!FO115</f>
        <v>0</v>
      </c>
      <c r="R113" s="329">
        <f>SIG!Q113+Base_Données!BD115+Base_Données!BH115+Base_Données!BL115+Base_Données!BN115-Base_Données!GB115-Base_Données!GJ115-Base_Données!GF115-Base_Données!FV115</f>
        <v>0</v>
      </c>
    </row>
    <row r="114" spans="1:18" customFormat="1" x14ac:dyDescent="0.25">
      <c r="A114" s="328">
        <f>Base_Données!A116</f>
        <v>0</v>
      </c>
      <c r="B114" s="181">
        <f>Base_Données!B116</f>
        <v>0</v>
      </c>
      <c r="C114" s="158">
        <f>Base_Données!C116</f>
        <v>0</v>
      </c>
      <c r="D114" s="156">
        <f>Base_Données!Q116</f>
        <v>0</v>
      </c>
      <c r="E114" s="156">
        <f>Base_Données!BR116</f>
        <v>0</v>
      </c>
      <c r="F114" s="155">
        <f>Base_Données!R116</f>
        <v>0</v>
      </c>
      <c r="G114" s="154">
        <f>Base_Données!BS116</f>
        <v>0</v>
      </c>
      <c r="H114" s="155">
        <f>SIG!F114-SIG!G114</f>
        <v>0</v>
      </c>
      <c r="I114" s="159">
        <f>Base_Données!BI116+Base_Données!BJ116-Base_Données!GC116-Base_Données!GD116</f>
        <v>0</v>
      </c>
      <c r="J114" s="154">
        <f t="shared" si="2"/>
        <v>0</v>
      </c>
      <c r="K114" s="154">
        <f>Base_Données!BK116-Base_Données!GE116</f>
        <v>0</v>
      </c>
      <c r="L114" s="159">
        <f t="shared" si="3"/>
        <v>0</v>
      </c>
      <c r="M114" s="158">
        <f>Base_Données!S116</f>
        <v>0</v>
      </c>
      <c r="N114" s="154">
        <f>Base_Données!T116-(Base_Données!BU116+Base_Données!BZ116+Base_Données!CC116)</f>
        <v>0</v>
      </c>
      <c r="O114" s="154">
        <f>Base_Données!AC116+Base_Données!AL116+Base_Données!BD116-(Base_Données!CI116)</f>
        <v>0</v>
      </c>
      <c r="P114" s="154">
        <f>L114+Base_Données!GJ116+Base_Données!GE116+Base_Données!GB116+Base_Données!FV116+Base_Données!FS116+Base_Données!FO116+Base_Données!FE116+Base_Données!DS116-(Base_Données!BK116+Base_Données!BH116+Base_Données!AU116)</f>
        <v>0</v>
      </c>
      <c r="Q114" s="189">
        <f>P114+Base_Données!AV116-Base_Données!FE116-Base_Données!FO116</f>
        <v>0</v>
      </c>
      <c r="R114" s="329">
        <f>SIG!Q114+Base_Données!BD116+Base_Données!BH116+Base_Données!BL116+Base_Données!BN116-Base_Données!GB116-Base_Données!GJ116-Base_Données!GF116-Base_Données!FV116</f>
        <v>0</v>
      </c>
    </row>
    <row r="115" spans="1:18" customFormat="1" x14ac:dyDescent="0.25">
      <c r="A115" s="328">
        <f>Base_Données!A117</f>
        <v>0</v>
      </c>
      <c r="B115" s="181">
        <f>Base_Données!B117</f>
        <v>0</v>
      </c>
      <c r="C115" s="158">
        <f>Base_Données!C117</f>
        <v>0</v>
      </c>
      <c r="D115" s="156">
        <f>Base_Données!Q117</f>
        <v>0</v>
      </c>
      <c r="E115" s="156">
        <f>Base_Données!BR117</f>
        <v>0</v>
      </c>
      <c r="F115" s="155">
        <f>Base_Données!R117</f>
        <v>0</v>
      </c>
      <c r="G115" s="154">
        <f>Base_Données!BS117</f>
        <v>0</v>
      </c>
      <c r="H115" s="155">
        <f>SIG!F115-SIG!G115</f>
        <v>0</v>
      </c>
      <c r="I115" s="159">
        <f>Base_Données!BI117+Base_Données!BJ117-Base_Données!GC117-Base_Données!GD117</f>
        <v>0</v>
      </c>
      <c r="J115" s="154">
        <f t="shared" si="2"/>
        <v>0</v>
      </c>
      <c r="K115" s="154">
        <f>Base_Données!BK117-Base_Données!GE117</f>
        <v>0</v>
      </c>
      <c r="L115" s="159">
        <f t="shared" si="3"/>
        <v>0</v>
      </c>
      <c r="M115" s="158">
        <f>Base_Données!S117</f>
        <v>0</v>
      </c>
      <c r="N115" s="154">
        <f>Base_Données!T117-(Base_Données!BU117+Base_Données!BZ117+Base_Données!CC117)</f>
        <v>0</v>
      </c>
      <c r="O115" s="154">
        <f>Base_Données!AC117+Base_Données!AL117-(Base_Données!CI117)</f>
        <v>0</v>
      </c>
      <c r="P115" s="154">
        <f>L115+Base_Données!GJ117+Base_Données!GE117+Base_Données!GB117+Base_Données!FV117+Base_Données!FS117+Base_Données!FO117+Base_Données!FE117+Base_Données!DS117-(Base_Données!BK117+Base_Données!BH117+Base_Données!AU117)</f>
        <v>0</v>
      </c>
      <c r="Q115" s="189">
        <f>P115+Base_Données!AV117-Base_Données!FE117-Base_Données!FO117</f>
        <v>0</v>
      </c>
      <c r="R115" s="329">
        <f>SIG!Q115+Base_Données!BD117+Base_Données!BH117+Base_Données!BL117+Base_Données!BN117-Base_Données!GB117-Base_Données!GJ117-Base_Données!GF117-Base_Données!FV117</f>
        <v>0</v>
      </c>
    </row>
    <row r="116" spans="1:18" customFormat="1" x14ac:dyDescent="0.25">
      <c r="A116" s="328">
        <f>Base_Données!A118</f>
        <v>0</v>
      </c>
      <c r="B116" s="181">
        <f>Base_Données!B118</f>
        <v>0</v>
      </c>
      <c r="C116" s="158">
        <f>Base_Données!C118</f>
        <v>0</v>
      </c>
      <c r="D116" s="156">
        <f>Base_Données!Q118</f>
        <v>0</v>
      </c>
      <c r="E116" s="156">
        <f>Base_Données!BR118</f>
        <v>0</v>
      </c>
      <c r="F116" s="155">
        <f>Base_Données!R118</f>
        <v>0</v>
      </c>
      <c r="G116" s="154">
        <f>Base_Données!BS118</f>
        <v>0</v>
      </c>
      <c r="H116" s="155">
        <f>SIG!F116-SIG!G116</f>
        <v>0</v>
      </c>
      <c r="I116" s="159">
        <f>Base_Données!BI118+Base_Données!BJ118-Base_Données!GC118-Base_Données!GD118</f>
        <v>0</v>
      </c>
      <c r="J116" s="154">
        <f t="shared" si="2"/>
        <v>0</v>
      </c>
      <c r="K116" s="154">
        <f>Base_Données!BK118-Base_Données!GE118</f>
        <v>0</v>
      </c>
      <c r="L116" s="159">
        <f t="shared" si="3"/>
        <v>0</v>
      </c>
      <c r="M116" s="158">
        <f>Base_Données!S118</f>
        <v>0</v>
      </c>
      <c r="N116" s="154">
        <f>Base_Données!T118-(Base_Données!BU118+Base_Données!BZ118+Base_Données!CC118)</f>
        <v>0</v>
      </c>
      <c r="O116" s="154">
        <f>Base_Données!AC118+Base_Données!AL118-(Base_Données!CI118)</f>
        <v>0</v>
      </c>
      <c r="P116" s="154">
        <f>L116+Base_Données!GJ118+Base_Données!GE118+Base_Données!GB118+Base_Données!FV118+Base_Données!FS118+Base_Données!FO118+Base_Données!FE118+Base_Données!DS118-(Base_Données!BK118+Base_Données!BH118+Base_Données!AU118)</f>
        <v>0</v>
      </c>
      <c r="Q116" s="189">
        <f>P116+Base_Données!AV118-Base_Données!FE118-Base_Données!FO118</f>
        <v>0</v>
      </c>
      <c r="R116" s="329">
        <f>SIG!Q116+Base_Données!BD118+Base_Données!BH118+Base_Données!BL118+Base_Données!BN118-Base_Données!GB118-Base_Données!GJ118-Base_Données!GF118-Base_Données!FV118</f>
        <v>0</v>
      </c>
    </row>
    <row r="117" spans="1:18" customFormat="1" x14ac:dyDescent="0.25">
      <c r="A117" s="328">
        <f>Base_Données!A119</f>
        <v>0</v>
      </c>
      <c r="B117" s="181">
        <f>Base_Données!B119</f>
        <v>0</v>
      </c>
      <c r="C117" s="158">
        <f>Base_Données!C119</f>
        <v>0</v>
      </c>
      <c r="D117" s="156">
        <f>Base_Données!Q119</f>
        <v>0</v>
      </c>
      <c r="E117" s="156">
        <f>Base_Données!BR119</f>
        <v>0</v>
      </c>
      <c r="F117" s="155">
        <f>Base_Données!R119</f>
        <v>0</v>
      </c>
      <c r="G117" s="154">
        <f>Base_Données!BS119</f>
        <v>0</v>
      </c>
      <c r="H117" s="155">
        <f>SIG!F117-SIG!G117</f>
        <v>0</v>
      </c>
      <c r="I117" s="159">
        <f>Base_Données!BI119+Base_Données!BJ119-Base_Données!GC119-Base_Données!GD119</f>
        <v>0</v>
      </c>
      <c r="J117" s="154">
        <f t="shared" si="2"/>
        <v>0</v>
      </c>
      <c r="K117" s="154">
        <f>Base_Données!BK119-Base_Données!GE119</f>
        <v>0</v>
      </c>
      <c r="L117" s="159">
        <f t="shared" si="3"/>
        <v>0</v>
      </c>
      <c r="M117" s="158">
        <f>Base_Données!S119</f>
        <v>0</v>
      </c>
      <c r="N117" s="154">
        <f>Base_Données!T119-(Base_Données!BU119+Base_Données!BZ119+Base_Données!CC119)</f>
        <v>0</v>
      </c>
      <c r="O117" s="154">
        <f>Base_Données!AC119+Base_Données!AL119-(Base_Données!CI119)</f>
        <v>0</v>
      </c>
      <c r="P117" s="154">
        <f>L117+Base_Données!GJ119+Base_Données!GE119+Base_Données!GB119+Base_Données!FV119+Base_Données!FS119+Base_Données!FO119+Base_Données!FE119+Base_Données!DS119-(Base_Données!BK119+Base_Données!BH119+Base_Données!AU119)</f>
        <v>0</v>
      </c>
      <c r="Q117" s="189">
        <f>P117+Base_Données!AV119-Base_Données!FE119-Base_Données!FO119</f>
        <v>0</v>
      </c>
      <c r="R117" s="329">
        <f>SIG!Q117+Base_Données!BD119+Base_Données!BH119+Base_Données!BL119+Base_Données!BN119-Base_Données!GB119-Base_Données!GJ119-Base_Données!GF119-Base_Données!FV119</f>
        <v>0</v>
      </c>
    </row>
    <row r="118" spans="1:18" customFormat="1" x14ac:dyDescent="0.25">
      <c r="A118" s="328">
        <f>Base_Données!A120</f>
        <v>0</v>
      </c>
      <c r="B118" s="181">
        <f>Base_Données!B120</f>
        <v>0</v>
      </c>
      <c r="C118" s="158">
        <f>Base_Données!C120</f>
        <v>0</v>
      </c>
      <c r="D118" s="156">
        <f>Base_Données!Q120</f>
        <v>0</v>
      </c>
      <c r="E118" s="156">
        <f>Base_Données!BR120</f>
        <v>0</v>
      </c>
      <c r="F118" s="155">
        <f>Base_Données!R120</f>
        <v>0</v>
      </c>
      <c r="G118" s="154">
        <f>Base_Données!BS120</f>
        <v>0</v>
      </c>
      <c r="H118" s="155">
        <f>SIG!F118-SIG!G118</f>
        <v>0</v>
      </c>
      <c r="I118" s="159">
        <f>Base_Données!BI120+Base_Données!BJ120-Base_Données!GC120-Base_Données!GD120</f>
        <v>0</v>
      </c>
      <c r="J118" s="154">
        <f t="shared" si="2"/>
        <v>0</v>
      </c>
      <c r="K118" s="154">
        <f>Base_Données!BK120-Base_Données!GE120</f>
        <v>0</v>
      </c>
      <c r="L118" s="159">
        <f t="shared" si="3"/>
        <v>0</v>
      </c>
      <c r="M118" s="158">
        <f>Base_Données!S120</f>
        <v>0</v>
      </c>
      <c r="N118" s="154">
        <f>Base_Données!T120-(Base_Données!BU120+Base_Données!BZ120+Base_Données!CC120)</f>
        <v>0</v>
      </c>
      <c r="O118" s="154">
        <f>Base_Données!AC120+Base_Données!AL120-(Base_Données!CI120)</f>
        <v>0</v>
      </c>
      <c r="P118" s="154">
        <f>L118+Base_Données!GJ120+Base_Données!GE120+Base_Données!GB120+Base_Données!FV120+Base_Données!FS120+Base_Données!FO120+Base_Données!FE120+Base_Données!DS120-(Base_Données!BK120+Base_Données!BH120+Base_Données!AU120)</f>
        <v>0</v>
      </c>
      <c r="Q118" s="189">
        <f>P118+Base_Données!AV120-Base_Données!FE120-Base_Données!FO120</f>
        <v>0</v>
      </c>
      <c r="R118" s="329">
        <f>SIG!Q118+Base_Données!BD120+Base_Données!BH120+Base_Données!BL120+Base_Données!BN120-Base_Données!GB120-Base_Données!GJ120-Base_Données!GF120-Base_Données!FV120</f>
        <v>0</v>
      </c>
    </row>
    <row r="119" spans="1:18" customFormat="1" x14ac:dyDescent="0.25">
      <c r="A119" s="328">
        <f>Base_Données!A121</f>
        <v>0</v>
      </c>
      <c r="B119" s="181">
        <f>Base_Données!B121</f>
        <v>0</v>
      </c>
      <c r="C119" s="158">
        <f>Base_Données!C121</f>
        <v>0</v>
      </c>
      <c r="D119" s="156">
        <f>Base_Données!Q121</f>
        <v>0</v>
      </c>
      <c r="E119" s="156">
        <f>Base_Données!BR121</f>
        <v>0</v>
      </c>
      <c r="F119" s="155">
        <f>Base_Données!R121</f>
        <v>0</v>
      </c>
      <c r="G119" s="154">
        <f>Base_Données!BS121</f>
        <v>0</v>
      </c>
      <c r="H119" s="155">
        <f>SIG!F119-SIG!G119</f>
        <v>0</v>
      </c>
      <c r="I119" s="159">
        <f>Base_Données!BI121+Base_Données!BJ121-Base_Données!GC121-Base_Données!GD121</f>
        <v>0</v>
      </c>
      <c r="J119" s="154">
        <f t="shared" si="2"/>
        <v>0</v>
      </c>
      <c r="K119" s="154">
        <f>Base_Données!BK121-Base_Données!GE121</f>
        <v>0</v>
      </c>
      <c r="L119" s="159">
        <f t="shared" si="3"/>
        <v>0</v>
      </c>
      <c r="M119" s="158">
        <f>Base_Données!S121</f>
        <v>0</v>
      </c>
      <c r="N119" s="154">
        <f>Base_Données!T121-(Base_Données!BU121+Base_Données!BZ121+Base_Données!CC121)</f>
        <v>0</v>
      </c>
      <c r="O119" s="154">
        <f>Base_Données!AC121+Base_Données!AL121-(Base_Données!CI121)</f>
        <v>0</v>
      </c>
      <c r="P119" s="154">
        <f>L119+Base_Données!GJ121+Base_Données!GE121+Base_Données!GB121+Base_Données!FV121+Base_Données!FS121+Base_Données!FO121+Base_Données!FE121+Base_Données!DS121-(Base_Données!BK121+Base_Données!BH121+Base_Données!AU121)</f>
        <v>0</v>
      </c>
      <c r="Q119" s="189">
        <f>P119+Base_Données!AV121-Base_Données!FE121-Base_Données!FO121</f>
        <v>0</v>
      </c>
      <c r="R119" s="329">
        <f>SIG!Q119+Base_Données!BD121+Base_Données!BH121+Base_Données!BL121+Base_Données!BN121-Base_Données!GB121-Base_Données!GJ121-Base_Données!GF121-Base_Données!FV121</f>
        <v>0</v>
      </c>
    </row>
    <row r="120" spans="1:18" customFormat="1" x14ac:dyDescent="0.25">
      <c r="A120" s="328">
        <f>Base_Données!A122</f>
        <v>0</v>
      </c>
      <c r="B120" s="181">
        <f>Base_Données!B122</f>
        <v>0</v>
      </c>
      <c r="C120" s="158">
        <f>Base_Données!C122</f>
        <v>0</v>
      </c>
      <c r="D120" s="156">
        <f>Base_Données!Q122</f>
        <v>0</v>
      </c>
      <c r="E120" s="156">
        <f>Base_Données!BR122</f>
        <v>0</v>
      </c>
      <c r="F120" s="155">
        <f>Base_Données!R122</f>
        <v>0</v>
      </c>
      <c r="G120" s="154">
        <f>Base_Données!BS122</f>
        <v>0</v>
      </c>
      <c r="H120" s="155">
        <f>SIG!F120-SIG!G120</f>
        <v>0</v>
      </c>
      <c r="I120" s="159">
        <f>Base_Données!BI122+Base_Données!BJ122-Base_Données!GC122-Base_Données!GD122</f>
        <v>0</v>
      </c>
      <c r="J120" s="154">
        <f t="shared" si="2"/>
        <v>0</v>
      </c>
      <c r="K120" s="154">
        <f>Base_Données!BK122-Base_Données!GE122</f>
        <v>0</v>
      </c>
      <c r="L120" s="159">
        <f t="shared" si="3"/>
        <v>0</v>
      </c>
      <c r="M120" s="158">
        <f>Base_Données!S122</f>
        <v>0</v>
      </c>
      <c r="N120" s="154">
        <f>Base_Données!T122-(Base_Données!BU122+Base_Données!BZ122+Base_Données!CC122)</f>
        <v>0</v>
      </c>
      <c r="O120" s="154">
        <f>Base_Données!AC122+Base_Données!AL122-(Base_Données!CI122)</f>
        <v>0</v>
      </c>
      <c r="P120" s="154">
        <f>L120+Base_Données!GJ122+Base_Données!GE122+Base_Données!GB122+Base_Données!FV122+Base_Données!FS122+Base_Données!FO122+Base_Données!FE122+Base_Données!DS122-(Base_Données!BK122+Base_Données!BH122+Base_Données!AU122)</f>
        <v>0</v>
      </c>
      <c r="Q120" s="189">
        <f>P120+Base_Données!AV122-Base_Données!FE122-Base_Données!FO122</f>
        <v>0</v>
      </c>
      <c r="R120" s="329">
        <f>SIG!Q120+Base_Données!BD122+Base_Données!BH122+Base_Données!BL122+Base_Données!BN122-Base_Données!GB122-Base_Données!GJ122-Base_Données!GF122-Base_Données!FV122</f>
        <v>0</v>
      </c>
    </row>
    <row r="121" spans="1:18" customFormat="1" x14ac:dyDescent="0.25">
      <c r="A121" s="328">
        <f>Base_Données!A123</f>
        <v>0</v>
      </c>
      <c r="B121" s="181">
        <f>Base_Données!B123</f>
        <v>0</v>
      </c>
      <c r="C121" s="158">
        <f>Base_Données!C123</f>
        <v>0</v>
      </c>
      <c r="D121" s="156">
        <f>Base_Données!Q123</f>
        <v>0</v>
      </c>
      <c r="E121" s="156">
        <f>Base_Données!BR123</f>
        <v>0</v>
      </c>
      <c r="F121" s="155">
        <f>Base_Données!R123</f>
        <v>0</v>
      </c>
      <c r="G121" s="154">
        <f>Base_Données!BS123</f>
        <v>0</v>
      </c>
      <c r="H121" s="155">
        <f>SIG!F121-SIG!G121</f>
        <v>0</v>
      </c>
      <c r="I121" s="159">
        <f>Base_Données!BI123+Base_Données!BJ123-Base_Données!GC123-Base_Données!GD123</f>
        <v>0</v>
      </c>
      <c r="J121" s="154">
        <f t="shared" si="2"/>
        <v>0</v>
      </c>
      <c r="K121" s="154">
        <f>Base_Données!BK123-Base_Données!GE123</f>
        <v>0</v>
      </c>
      <c r="L121" s="159">
        <f t="shared" si="3"/>
        <v>0</v>
      </c>
      <c r="M121" s="158">
        <f>Base_Données!S123</f>
        <v>0</v>
      </c>
      <c r="N121" s="154">
        <f>Base_Données!T123-(Base_Données!BU123+Base_Données!BZ123+Base_Données!CC123)</f>
        <v>0</v>
      </c>
      <c r="O121" s="154">
        <f>Base_Données!AC123+Base_Données!AL123-(Base_Données!CI123)</f>
        <v>0</v>
      </c>
      <c r="P121" s="154">
        <f>L121+Base_Données!GJ123+Base_Données!GE123+Base_Données!GB123+Base_Données!FV123+Base_Données!FS123+Base_Données!FO123+Base_Données!FE123+Base_Données!DS123-(Base_Données!BK123+Base_Données!BH123+Base_Données!AU123)</f>
        <v>0</v>
      </c>
      <c r="Q121" s="189">
        <f>P121+Base_Données!AV123-Base_Données!FE123-Base_Données!FO123</f>
        <v>0</v>
      </c>
      <c r="R121" s="329">
        <f>SIG!Q121+Base_Données!BD123+Base_Données!BH123+Base_Données!BL123+Base_Données!BN123-Base_Données!GB123-Base_Données!GJ123-Base_Données!GF123-Base_Données!FV123</f>
        <v>0</v>
      </c>
    </row>
    <row r="122" spans="1:18" customFormat="1" x14ac:dyDescent="0.25">
      <c r="A122" s="328">
        <f>Base_Données!A124</f>
        <v>0</v>
      </c>
      <c r="B122" s="181">
        <f>Base_Données!B124</f>
        <v>0</v>
      </c>
      <c r="C122" s="158">
        <f>Base_Données!C124</f>
        <v>0</v>
      </c>
      <c r="D122" s="156">
        <f>Base_Données!Q124</f>
        <v>0</v>
      </c>
      <c r="E122" s="156">
        <f>Base_Données!BR124</f>
        <v>0</v>
      </c>
      <c r="F122" s="155">
        <f>Base_Données!R124</f>
        <v>0</v>
      </c>
      <c r="G122" s="154">
        <f>Base_Données!BS124</f>
        <v>0</v>
      </c>
      <c r="H122" s="155">
        <f>SIG!F122-SIG!G122</f>
        <v>0</v>
      </c>
      <c r="I122" s="159">
        <f>Base_Données!BI124+Base_Données!BJ124-Base_Données!GC124-Base_Données!GD124</f>
        <v>0</v>
      </c>
      <c r="J122" s="154">
        <f t="shared" si="2"/>
        <v>0</v>
      </c>
      <c r="K122" s="154">
        <f>Base_Données!BK124-Base_Données!GE124</f>
        <v>0</v>
      </c>
      <c r="L122" s="159">
        <f t="shared" si="3"/>
        <v>0</v>
      </c>
      <c r="M122" s="158">
        <f>Base_Données!S124</f>
        <v>0</v>
      </c>
      <c r="N122" s="154">
        <f>Base_Données!T124-(Base_Données!BU124+Base_Données!BZ124+Base_Données!CC124)</f>
        <v>0</v>
      </c>
      <c r="O122" s="154">
        <f>Base_Données!AC124+Base_Données!AL124-(Base_Données!CI124)</f>
        <v>0</v>
      </c>
      <c r="P122" s="154">
        <f>L122+Base_Données!GJ124+Base_Données!GE124+Base_Données!GB124+Base_Données!FV124+Base_Données!FS124+Base_Données!FO124+Base_Données!FE124+Base_Données!DS124-(Base_Données!BK124+Base_Données!BH124+Base_Données!AU124)</f>
        <v>0</v>
      </c>
      <c r="Q122" s="189">
        <f>P122+Base_Données!AV124-Base_Données!FE124-Base_Données!FO124</f>
        <v>0</v>
      </c>
      <c r="R122" s="329">
        <f>SIG!Q122+Base_Données!BD124+Base_Données!BH124+Base_Données!BL124+Base_Données!BN124-Base_Données!GB124-Base_Données!GJ124-Base_Données!GF124-Base_Données!FV124</f>
        <v>0</v>
      </c>
    </row>
    <row r="123" spans="1:18" customFormat="1" x14ac:dyDescent="0.25">
      <c r="A123" s="328">
        <f>Base_Données!A125</f>
        <v>0</v>
      </c>
      <c r="B123" s="181">
        <f>Base_Données!B125</f>
        <v>0</v>
      </c>
      <c r="C123" s="158">
        <f>Base_Données!C125</f>
        <v>0</v>
      </c>
      <c r="D123" s="156">
        <f>Base_Données!Q125</f>
        <v>0</v>
      </c>
      <c r="E123" s="156">
        <f>Base_Données!BR125</f>
        <v>0</v>
      </c>
      <c r="F123" s="155">
        <f>Base_Données!R125</f>
        <v>0</v>
      </c>
      <c r="G123" s="154">
        <f>Base_Données!BS125</f>
        <v>0</v>
      </c>
      <c r="H123" s="155">
        <f>SIG!F123-SIG!G123</f>
        <v>0</v>
      </c>
      <c r="I123" s="159">
        <f>Base_Données!BI125+Base_Données!BJ125-Base_Données!GC125-Base_Données!GD125</f>
        <v>0</v>
      </c>
      <c r="J123" s="154">
        <f t="shared" si="2"/>
        <v>0</v>
      </c>
      <c r="K123" s="154">
        <f>Base_Données!BK125-Base_Données!GE125</f>
        <v>0</v>
      </c>
      <c r="L123" s="159">
        <f t="shared" si="3"/>
        <v>0</v>
      </c>
      <c r="M123" s="158">
        <f>Base_Données!S125</f>
        <v>0</v>
      </c>
      <c r="N123" s="154">
        <f>Base_Données!T125-(Base_Données!BU125+Base_Données!BZ125+Base_Données!CC125)</f>
        <v>0</v>
      </c>
      <c r="O123" s="154">
        <f>Base_Données!AC125+Base_Données!AL125-(Base_Données!CI125)</f>
        <v>0</v>
      </c>
      <c r="P123" s="154">
        <f>L123+Base_Données!GJ125+Base_Données!GE125+Base_Données!GB125+Base_Données!FV125+Base_Données!FS125+Base_Données!FO125+Base_Données!FE125+Base_Données!DS125-(Base_Données!BK125+Base_Données!BH125+Base_Données!AU125)</f>
        <v>0</v>
      </c>
      <c r="Q123" s="189">
        <f>P123+Base_Données!AV125-Base_Données!FE125-Base_Données!FO125</f>
        <v>0</v>
      </c>
      <c r="R123" s="329">
        <f>SIG!Q123+Base_Données!BD125+Base_Données!BH125+Base_Données!BL125+Base_Données!BN125-Base_Données!GB125-Base_Données!GJ125-Base_Données!GF125-Base_Données!FV125</f>
        <v>0</v>
      </c>
    </row>
    <row r="124" spans="1:18" customFormat="1" x14ac:dyDescent="0.25">
      <c r="A124" s="328">
        <f>Base_Données!A126</f>
        <v>0</v>
      </c>
      <c r="B124" s="181">
        <f>Base_Données!B126</f>
        <v>0</v>
      </c>
      <c r="C124" s="158">
        <f>Base_Données!C126</f>
        <v>0</v>
      </c>
      <c r="D124" s="156">
        <f>Base_Données!Q126</f>
        <v>0</v>
      </c>
      <c r="E124" s="156">
        <f>Base_Données!BR126</f>
        <v>0</v>
      </c>
      <c r="F124" s="155">
        <f>Base_Données!R126</f>
        <v>0</v>
      </c>
      <c r="G124" s="154">
        <f>Base_Données!BS126</f>
        <v>0</v>
      </c>
      <c r="H124" s="155">
        <f>SIG!F124-SIG!G124</f>
        <v>0</v>
      </c>
      <c r="I124" s="159">
        <f>Base_Données!BI126+Base_Données!BJ126-Base_Données!GC126-Base_Données!GD126</f>
        <v>0</v>
      </c>
      <c r="J124" s="154">
        <f t="shared" si="2"/>
        <v>0</v>
      </c>
      <c r="K124" s="154">
        <f>Base_Données!BK126-Base_Données!GE126</f>
        <v>0</v>
      </c>
      <c r="L124" s="159">
        <f t="shared" si="3"/>
        <v>0</v>
      </c>
      <c r="M124" s="158">
        <f>Base_Données!S126</f>
        <v>0</v>
      </c>
      <c r="N124" s="154">
        <f>Base_Données!T126-(Base_Données!BU126+Base_Données!BZ126+Base_Données!CC126)</f>
        <v>0</v>
      </c>
      <c r="O124" s="154">
        <f>Base_Données!AC126+Base_Données!AL126-(Base_Données!CI126)</f>
        <v>0</v>
      </c>
      <c r="P124" s="154">
        <f>L124+Base_Données!GJ126+Base_Données!GE126+Base_Données!GB126+Base_Données!FV126+Base_Données!FS126+Base_Données!FO126+Base_Données!FE126+Base_Données!DS126-(Base_Données!BK126+Base_Données!BH126+Base_Données!AU126)</f>
        <v>0</v>
      </c>
      <c r="Q124" s="189">
        <f>P124+Base_Données!AV126-Base_Données!FE126-Base_Données!FO126</f>
        <v>0</v>
      </c>
      <c r="R124" s="329">
        <f>SIG!Q124+Base_Données!BD126+Base_Données!BH126+Base_Données!BL126+Base_Données!BN126-Base_Données!GB126-Base_Données!GJ126-Base_Données!GF126-Base_Données!FV126</f>
        <v>0</v>
      </c>
    </row>
    <row r="125" spans="1:18" customFormat="1" x14ac:dyDescent="0.25">
      <c r="A125" s="328">
        <f>Base_Données!A127</f>
        <v>0</v>
      </c>
      <c r="B125" s="181">
        <f>Base_Données!B127</f>
        <v>0</v>
      </c>
      <c r="C125" s="158">
        <f>Base_Données!C127</f>
        <v>0</v>
      </c>
      <c r="D125" s="156">
        <f>Base_Données!Q127</f>
        <v>0</v>
      </c>
      <c r="E125" s="156">
        <f>Base_Données!BR127</f>
        <v>0</v>
      </c>
      <c r="F125" s="155">
        <f>Base_Données!R127</f>
        <v>0</v>
      </c>
      <c r="G125" s="154">
        <f>Base_Données!BS127</f>
        <v>0</v>
      </c>
      <c r="H125" s="155">
        <f>SIG!F125-SIG!G125</f>
        <v>0</v>
      </c>
      <c r="I125" s="159">
        <f>Base_Données!BI127+Base_Données!BJ127-Base_Données!GC127-Base_Données!GD127</f>
        <v>0</v>
      </c>
      <c r="J125" s="154">
        <f t="shared" si="2"/>
        <v>0</v>
      </c>
      <c r="K125" s="154">
        <f>Base_Données!BK127-Base_Données!GE127</f>
        <v>0</v>
      </c>
      <c r="L125" s="159">
        <f t="shared" si="3"/>
        <v>0</v>
      </c>
      <c r="M125" s="158">
        <f>Base_Données!S127</f>
        <v>0</v>
      </c>
      <c r="N125" s="154">
        <f>Base_Données!T127-(Base_Données!BU127+Base_Données!BZ127+Base_Données!CC127)</f>
        <v>0</v>
      </c>
      <c r="O125" s="154">
        <f>Base_Données!AC127+Base_Données!AL127-(Base_Données!CI127)</f>
        <v>0</v>
      </c>
      <c r="P125" s="154">
        <f>L125+Base_Données!GJ127+Base_Données!GE127+Base_Données!GB127+Base_Données!FV127+Base_Données!FS127+Base_Données!FO127+Base_Données!FE127+Base_Données!DS127-(Base_Données!BK127+Base_Données!BH127+Base_Données!AU127)</f>
        <v>0</v>
      </c>
      <c r="Q125" s="189">
        <f>P125+Base_Données!AV127-Base_Données!FE127-Base_Données!FO127</f>
        <v>0</v>
      </c>
      <c r="R125" s="329">
        <f>SIG!Q125+Base_Données!BD127+Base_Données!BH127+Base_Données!BL127+Base_Données!BN127-Base_Données!GB127-Base_Données!GJ127-Base_Données!GF127-Base_Données!FV127</f>
        <v>0</v>
      </c>
    </row>
    <row r="126" spans="1:18" customFormat="1" x14ac:dyDescent="0.25">
      <c r="A126" s="328">
        <f>Base_Données!A128</f>
        <v>0</v>
      </c>
      <c r="B126" s="181">
        <f>Base_Données!B128</f>
        <v>0</v>
      </c>
      <c r="C126" s="158">
        <f>Base_Données!C128</f>
        <v>0</v>
      </c>
      <c r="D126" s="156">
        <f>Base_Données!Q128</f>
        <v>0</v>
      </c>
      <c r="E126" s="156">
        <f>Base_Données!BR128</f>
        <v>0</v>
      </c>
      <c r="F126" s="155">
        <f>Base_Données!R128</f>
        <v>0</v>
      </c>
      <c r="G126" s="154">
        <f>Base_Données!BS128</f>
        <v>0</v>
      </c>
      <c r="H126" s="155">
        <f>SIG!F126-SIG!G126</f>
        <v>0</v>
      </c>
      <c r="I126" s="159">
        <f>Base_Données!BI128+Base_Données!BJ128-Base_Données!GC128-Base_Données!GD128</f>
        <v>0</v>
      </c>
      <c r="J126" s="154">
        <f t="shared" si="2"/>
        <v>0</v>
      </c>
      <c r="K126" s="154">
        <f>Base_Données!BK128-Base_Données!GE128</f>
        <v>0</v>
      </c>
      <c r="L126" s="159">
        <f t="shared" si="3"/>
        <v>0</v>
      </c>
      <c r="M126" s="158">
        <f>Base_Données!S128</f>
        <v>0</v>
      </c>
      <c r="N126" s="154">
        <f>Base_Données!T128-(Base_Données!BU128+Base_Données!BZ128+Base_Données!CC128)</f>
        <v>0</v>
      </c>
      <c r="O126" s="154">
        <f>Base_Données!AC128+Base_Données!AL128-(Base_Données!CI128)</f>
        <v>0</v>
      </c>
      <c r="P126" s="154">
        <f>L126+Base_Données!GJ128+Base_Données!GE128+Base_Données!GB128+Base_Données!FV128+Base_Données!FS128+Base_Données!FO128+Base_Données!FE128+Base_Données!DS128-(Base_Données!BK128+Base_Données!BH128+Base_Données!AU128)</f>
        <v>0</v>
      </c>
      <c r="Q126" s="189">
        <f>P126+Base_Données!AV128-Base_Données!FE128-Base_Données!FO128</f>
        <v>0</v>
      </c>
      <c r="R126" s="329">
        <f>SIG!Q126+Base_Données!BD128+Base_Données!BH128+Base_Données!BL128+Base_Données!BN128-Base_Données!GB128-Base_Données!GJ128-Base_Données!GF128-Base_Données!FV128</f>
        <v>0</v>
      </c>
    </row>
    <row r="127" spans="1:18" customFormat="1" x14ac:dyDescent="0.25">
      <c r="A127" s="328">
        <f>Base_Données!A129</f>
        <v>0</v>
      </c>
      <c r="B127" s="181">
        <f>Base_Données!B129</f>
        <v>0</v>
      </c>
      <c r="C127" s="158">
        <f>Base_Données!C129</f>
        <v>0</v>
      </c>
      <c r="D127" s="156">
        <f>Base_Données!Q129</f>
        <v>0</v>
      </c>
      <c r="E127" s="156">
        <f>Base_Données!BR129</f>
        <v>0</v>
      </c>
      <c r="F127" s="155">
        <f>Base_Données!R129</f>
        <v>0</v>
      </c>
      <c r="G127" s="154">
        <f>Base_Données!BS129</f>
        <v>0</v>
      </c>
      <c r="H127" s="155">
        <f>SIG!F127-SIG!G127</f>
        <v>0</v>
      </c>
      <c r="I127" s="159">
        <f>Base_Données!BI129+Base_Données!BJ129-Base_Données!GC129-Base_Données!GD129</f>
        <v>0</v>
      </c>
      <c r="J127" s="154">
        <f t="shared" si="2"/>
        <v>0</v>
      </c>
      <c r="K127" s="154">
        <f>Base_Données!BK129-Base_Données!GE129</f>
        <v>0</v>
      </c>
      <c r="L127" s="159">
        <f t="shared" si="3"/>
        <v>0</v>
      </c>
      <c r="M127" s="158">
        <f>Base_Données!S129</f>
        <v>0</v>
      </c>
      <c r="N127" s="154">
        <f>Base_Données!T129-(Base_Données!BU129+Base_Données!BZ129+Base_Données!CC129)</f>
        <v>0</v>
      </c>
      <c r="O127" s="154">
        <f>Base_Données!AC129+Base_Données!AL129-(Base_Données!CI129)</f>
        <v>0</v>
      </c>
      <c r="P127" s="154">
        <f>L127+Base_Données!GJ129+Base_Données!GE129+Base_Données!GB129+Base_Données!FV129+Base_Données!FS129+Base_Données!FO129+Base_Données!FE129+Base_Données!DS129-(Base_Données!BK129+Base_Données!BH129+Base_Données!AU129)</f>
        <v>0</v>
      </c>
      <c r="Q127" s="189">
        <f>P127+Base_Données!AV129-Base_Données!FE129-Base_Données!FO129</f>
        <v>0</v>
      </c>
      <c r="R127" s="329">
        <f>SIG!Q127+Base_Données!BD129+Base_Données!BH129+Base_Données!BL129+Base_Données!BN129-Base_Données!GB129-Base_Données!GJ129-Base_Données!GF129-Base_Données!FV129</f>
        <v>0</v>
      </c>
    </row>
    <row r="128" spans="1:18" customFormat="1" x14ac:dyDescent="0.25">
      <c r="A128" s="328">
        <f>Base_Données!A130</f>
        <v>0</v>
      </c>
      <c r="B128" s="181">
        <f>Base_Données!B130</f>
        <v>0</v>
      </c>
      <c r="C128" s="158">
        <f>Base_Données!C130</f>
        <v>0</v>
      </c>
      <c r="D128" s="156">
        <f>Base_Données!Q130</f>
        <v>0</v>
      </c>
      <c r="E128" s="156">
        <f>Base_Données!BR130</f>
        <v>0</v>
      </c>
      <c r="F128" s="155">
        <f>Base_Données!R130</f>
        <v>0</v>
      </c>
      <c r="G128" s="154">
        <f>Base_Données!BS130</f>
        <v>0</v>
      </c>
      <c r="H128" s="155">
        <f>SIG!F128-SIG!G128</f>
        <v>0</v>
      </c>
      <c r="I128" s="159">
        <f>Base_Données!BI130+Base_Données!BJ130-Base_Données!GC130-Base_Données!GD130</f>
        <v>0</v>
      </c>
      <c r="J128" s="154">
        <f t="shared" si="2"/>
        <v>0</v>
      </c>
      <c r="K128" s="154">
        <f>Base_Données!BK130-Base_Données!GE130</f>
        <v>0</v>
      </c>
      <c r="L128" s="159">
        <f t="shared" si="3"/>
        <v>0</v>
      </c>
      <c r="M128" s="158">
        <f>Base_Données!S130</f>
        <v>0</v>
      </c>
      <c r="N128" s="154">
        <f>Base_Données!T130-(Base_Données!BU130+Base_Données!BZ130+Base_Données!CC130)</f>
        <v>0</v>
      </c>
      <c r="O128" s="154">
        <f>Base_Données!AC130+Base_Données!AL130-(Base_Données!CI130)</f>
        <v>0</v>
      </c>
      <c r="P128" s="154">
        <f>L128+Base_Données!GJ130+Base_Données!GE130+Base_Données!GB130+Base_Données!FV130+Base_Données!FS130+Base_Données!FO130+Base_Données!FE130+Base_Données!DS130-(Base_Données!BK130+Base_Données!BH130+Base_Données!AU130)</f>
        <v>0</v>
      </c>
      <c r="Q128" s="189">
        <f>P128+Base_Données!AV130-Base_Données!FE130-Base_Données!FO130</f>
        <v>0</v>
      </c>
      <c r="R128" s="329">
        <f>SIG!Q128+Base_Données!BD130+Base_Données!BH130+Base_Données!BL130+Base_Données!BN130-Base_Données!GB130-Base_Données!GJ130-Base_Données!GF130-Base_Données!FV130</f>
        <v>0</v>
      </c>
    </row>
    <row r="129" spans="1:18" customFormat="1" x14ac:dyDescent="0.25">
      <c r="A129" s="328">
        <f>Base_Données!A131</f>
        <v>0</v>
      </c>
      <c r="B129" s="181">
        <f>Base_Données!B131</f>
        <v>0</v>
      </c>
      <c r="C129" s="158">
        <f>Base_Données!C131</f>
        <v>0</v>
      </c>
      <c r="D129" s="156">
        <f>Base_Données!Q131</f>
        <v>0</v>
      </c>
      <c r="E129" s="156">
        <f>Base_Données!BR131</f>
        <v>0</v>
      </c>
      <c r="F129" s="155">
        <f>Base_Données!R131</f>
        <v>0</v>
      </c>
      <c r="G129" s="154">
        <f>Base_Données!BS131</f>
        <v>0</v>
      </c>
      <c r="H129" s="155">
        <f>SIG!F129-SIG!G129</f>
        <v>0</v>
      </c>
      <c r="I129" s="159">
        <f>Base_Données!BI131+Base_Données!BJ131-Base_Données!GC131-Base_Données!GD131</f>
        <v>0</v>
      </c>
      <c r="J129" s="154">
        <f t="shared" si="2"/>
        <v>0</v>
      </c>
      <c r="K129" s="154">
        <f>Base_Données!BK131-Base_Données!GE131</f>
        <v>0</v>
      </c>
      <c r="L129" s="159">
        <f t="shared" si="3"/>
        <v>0</v>
      </c>
      <c r="M129" s="158">
        <f>Base_Données!S131</f>
        <v>0</v>
      </c>
      <c r="N129" s="154">
        <f>Base_Données!T131-(Base_Données!BU131+Base_Données!BZ131+Base_Données!CC131)</f>
        <v>0</v>
      </c>
      <c r="O129" s="154">
        <f>Base_Données!AC131+Base_Données!AL131-(Base_Données!CI131)</f>
        <v>0</v>
      </c>
      <c r="P129" s="154">
        <f>L129+Base_Données!GJ131+Base_Données!GE131+Base_Données!GB131+Base_Données!FV131+Base_Données!FS131+Base_Données!FO131+Base_Données!FE131+Base_Données!DS131-(Base_Données!BK131+Base_Données!BH131+Base_Données!AU131)</f>
        <v>0</v>
      </c>
      <c r="Q129" s="189">
        <f>P129+Base_Données!AV131-Base_Données!FE131-Base_Données!FO131</f>
        <v>0</v>
      </c>
      <c r="R129" s="329">
        <f>SIG!Q129+Base_Données!BD131+Base_Données!BH131+Base_Données!BL131+Base_Données!BN131-Base_Données!GB131-Base_Données!GJ131-Base_Données!GF131-Base_Données!FV131</f>
        <v>0</v>
      </c>
    </row>
    <row r="130" spans="1:18" customFormat="1" x14ac:dyDescent="0.25">
      <c r="A130" s="328">
        <f>Base_Données!A132</f>
        <v>0</v>
      </c>
      <c r="B130" s="181">
        <f>Base_Données!B132</f>
        <v>0</v>
      </c>
      <c r="C130" s="158">
        <f>Base_Données!C132</f>
        <v>0</v>
      </c>
      <c r="D130" s="156">
        <f>Base_Données!Q132</f>
        <v>0</v>
      </c>
      <c r="E130" s="156">
        <f>Base_Données!BR132</f>
        <v>0</v>
      </c>
      <c r="F130" s="155">
        <f>Base_Données!R132</f>
        <v>0</v>
      </c>
      <c r="G130" s="154">
        <f>Base_Données!BS132</f>
        <v>0</v>
      </c>
      <c r="H130" s="155">
        <f>SIG!F130-SIG!G130</f>
        <v>0</v>
      </c>
      <c r="I130" s="159">
        <f>Base_Données!BI132+Base_Données!BJ132-Base_Données!GC132-Base_Données!GD132</f>
        <v>0</v>
      </c>
      <c r="J130" s="154">
        <f t="shared" si="2"/>
        <v>0</v>
      </c>
      <c r="K130" s="154">
        <f>Base_Données!BK132-Base_Données!GE132</f>
        <v>0</v>
      </c>
      <c r="L130" s="159">
        <f t="shared" si="3"/>
        <v>0</v>
      </c>
      <c r="M130" s="158">
        <f>Base_Données!S132</f>
        <v>0</v>
      </c>
      <c r="N130" s="154">
        <f>Base_Données!T132-(Base_Données!BU132+Base_Données!BZ132+Base_Données!CC132)</f>
        <v>0</v>
      </c>
      <c r="O130" s="154">
        <f>Base_Données!AC132+Base_Données!AL132-(Base_Données!CI132)</f>
        <v>0</v>
      </c>
      <c r="P130" s="154">
        <f>L130+Base_Données!GJ132+Base_Données!GE132+Base_Données!GB132+Base_Données!FV132+Base_Données!FS132+Base_Données!FO132+Base_Données!FE132+Base_Données!DS132-(Base_Données!BK132+Base_Données!BH132+Base_Données!AU132)</f>
        <v>0</v>
      </c>
      <c r="Q130" s="189">
        <f>P130+Base_Données!AV132-Base_Données!FE132-Base_Données!FO132</f>
        <v>0</v>
      </c>
      <c r="R130" s="329">
        <f>SIG!Q130+Base_Données!BD132+Base_Données!BH132+Base_Données!BL132+Base_Données!BN132-Base_Données!GB132-Base_Données!GJ132-Base_Données!GF132-Base_Données!FV132</f>
        <v>0</v>
      </c>
    </row>
    <row r="131" spans="1:18" customFormat="1" x14ac:dyDescent="0.25">
      <c r="A131" s="328">
        <f>Base_Données!A133</f>
        <v>0</v>
      </c>
      <c r="B131" s="181">
        <f>Base_Données!B133</f>
        <v>0</v>
      </c>
      <c r="C131" s="158">
        <f>Base_Données!C133</f>
        <v>0</v>
      </c>
      <c r="D131" s="156">
        <f>Base_Données!Q133</f>
        <v>0</v>
      </c>
      <c r="E131" s="156">
        <f>Base_Données!BR133</f>
        <v>0</v>
      </c>
      <c r="F131" s="155">
        <f>Base_Données!R133</f>
        <v>0</v>
      </c>
      <c r="G131" s="154">
        <f>Base_Données!BS133</f>
        <v>0</v>
      </c>
      <c r="H131" s="155">
        <f>SIG!F131-SIG!G131</f>
        <v>0</v>
      </c>
      <c r="I131" s="159">
        <f>Base_Données!BI133+Base_Données!BJ133-Base_Données!GC133-Base_Données!GD133</f>
        <v>0</v>
      </c>
      <c r="J131" s="154">
        <f t="shared" si="2"/>
        <v>0</v>
      </c>
      <c r="K131" s="154">
        <f>Base_Données!BK133-Base_Données!GE133</f>
        <v>0</v>
      </c>
      <c r="L131" s="159">
        <f t="shared" si="3"/>
        <v>0</v>
      </c>
      <c r="M131" s="158">
        <f>Base_Données!S133</f>
        <v>0</v>
      </c>
      <c r="N131" s="154">
        <f>Base_Données!T133-(Base_Données!BU133+Base_Données!BZ133+Base_Données!CC133)</f>
        <v>0</v>
      </c>
      <c r="O131" s="154">
        <f>Base_Données!AC133+Base_Données!AL133-(Base_Données!CI133)</f>
        <v>0</v>
      </c>
      <c r="P131" s="154">
        <f>L131+Base_Données!GJ133+Base_Données!GE133+Base_Données!GB133+Base_Données!FV133+Base_Données!FS133+Base_Données!FO133+Base_Données!FE133+Base_Données!DS133-(Base_Données!BK133+Base_Données!BH133+Base_Données!AU133)</f>
        <v>0</v>
      </c>
      <c r="Q131" s="189">
        <f>P131+Base_Données!AV133-Base_Données!FE133-Base_Données!FO133</f>
        <v>0</v>
      </c>
      <c r="R131" s="329">
        <f>SIG!Q131+Base_Données!BD133+Base_Données!BH133+Base_Données!BL133+Base_Données!BN133-Base_Données!GB133-Base_Données!GJ133-Base_Données!GF133-Base_Données!FV133</f>
        <v>0</v>
      </c>
    </row>
    <row r="132" spans="1:18" customFormat="1" x14ac:dyDescent="0.25">
      <c r="A132" s="328">
        <f>Base_Données!A134</f>
        <v>0</v>
      </c>
      <c r="B132" s="181">
        <f>Base_Données!B134</f>
        <v>0</v>
      </c>
      <c r="C132" s="158">
        <f>Base_Données!C134</f>
        <v>0</v>
      </c>
      <c r="D132" s="156">
        <f>Base_Données!Q134</f>
        <v>0</v>
      </c>
      <c r="E132" s="156">
        <f>Base_Données!BR134</f>
        <v>0</v>
      </c>
      <c r="F132" s="155">
        <f>Base_Données!R134</f>
        <v>0</v>
      </c>
      <c r="G132" s="154">
        <f>Base_Données!BS134</f>
        <v>0</v>
      </c>
      <c r="H132" s="155">
        <f>SIG!F132-SIG!G132</f>
        <v>0</v>
      </c>
      <c r="I132" s="159">
        <f>Base_Données!BI134+Base_Données!BJ134-Base_Données!GC134-Base_Données!GD134</f>
        <v>0</v>
      </c>
      <c r="J132" s="154">
        <f t="shared" ref="J132:J195" si="4">H132+(I132)</f>
        <v>0</v>
      </c>
      <c r="K132" s="154">
        <f>Base_Données!BK134-Base_Données!GE134</f>
        <v>0</v>
      </c>
      <c r="L132" s="159">
        <f t="shared" ref="L132:L195" si="5">D132-E132</f>
        <v>0</v>
      </c>
      <c r="M132" s="158">
        <f>Base_Données!S134</f>
        <v>0</v>
      </c>
      <c r="N132" s="154">
        <f>Base_Données!T134-(Base_Données!BU134+Base_Données!BZ134+Base_Données!CC134)</f>
        <v>0</v>
      </c>
      <c r="O132" s="154">
        <f>Base_Données!AC134+Base_Données!AL134-(Base_Données!CI134)</f>
        <v>0</v>
      </c>
      <c r="P132" s="154">
        <f>L132+Base_Données!GJ134+Base_Données!GE134+Base_Données!GB134+Base_Données!FV134+Base_Données!FS134+Base_Données!FO134+Base_Données!FE134+Base_Données!DS134-(Base_Données!BK134+Base_Données!BH134+Base_Données!AU134)</f>
        <v>0</v>
      </c>
      <c r="Q132" s="189">
        <f>P132+Base_Données!AV134-Base_Données!FE134-Base_Données!FO134</f>
        <v>0</v>
      </c>
      <c r="R132" s="329">
        <f>SIG!Q132+Base_Données!BD134+Base_Données!BH134+Base_Données!BL134+Base_Données!BN134-Base_Données!GB134-Base_Données!GJ134-Base_Données!GF134-Base_Données!FV134</f>
        <v>0</v>
      </c>
    </row>
    <row r="133" spans="1:18" customFormat="1" x14ac:dyDescent="0.25">
      <c r="A133" s="328">
        <f>Base_Données!A135</f>
        <v>0</v>
      </c>
      <c r="B133" s="181">
        <f>Base_Données!B135</f>
        <v>0</v>
      </c>
      <c r="C133" s="158">
        <f>Base_Données!C135</f>
        <v>0</v>
      </c>
      <c r="D133" s="156">
        <f>Base_Données!Q135</f>
        <v>0</v>
      </c>
      <c r="E133" s="156">
        <f>Base_Données!BR135</f>
        <v>0</v>
      </c>
      <c r="F133" s="155">
        <f>Base_Données!R135</f>
        <v>0</v>
      </c>
      <c r="G133" s="154">
        <f>Base_Données!BS135</f>
        <v>0</v>
      </c>
      <c r="H133" s="155">
        <f>SIG!F133-SIG!G133</f>
        <v>0</v>
      </c>
      <c r="I133" s="159">
        <f>Base_Données!BI135+Base_Données!BJ135-Base_Données!GC135-Base_Données!GD135</f>
        <v>0</v>
      </c>
      <c r="J133" s="154">
        <f t="shared" si="4"/>
        <v>0</v>
      </c>
      <c r="K133" s="154">
        <f>Base_Données!BK135-Base_Données!GE135</f>
        <v>0</v>
      </c>
      <c r="L133" s="159">
        <f t="shared" si="5"/>
        <v>0</v>
      </c>
      <c r="M133" s="158">
        <f>Base_Données!S135</f>
        <v>0</v>
      </c>
      <c r="N133" s="154">
        <f>Base_Données!T135-(Base_Données!BU135+Base_Données!BZ135+Base_Données!CC135)</f>
        <v>0</v>
      </c>
      <c r="O133" s="154">
        <f>Base_Données!AC135+Base_Données!AL135-(Base_Données!CI135)</f>
        <v>0</v>
      </c>
      <c r="P133" s="154">
        <f>L133+Base_Données!GJ135+Base_Données!GE135+Base_Données!GB135+Base_Données!FV135+Base_Données!FS135+Base_Données!FO135+Base_Données!FE135+Base_Données!DS135-(Base_Données!BK135+Base_Données!BH135+Base_Données!AU135)</f>
        <v>0</v>
      </c>
      <c r="Q133" s="189">
        <f>P133+Base_Données!AV135-Base_Données!FE135-Base_Données!FO135</f>
        <v>0</v>
      </c>
      <c r="R133" s="329">
        <f>SIG!Q133+Base_Données!BD135+Base_Données!BH135+Base_Données!BL135+Base_Données!BN135-Base_Données!GB135-Base_Données!GJ135-Base_Données!GF135-Base_Données!FV135</f>
        <v>0</v>
      </c>
    </row>
    <row r="134" spans="1:18" customFormat="1" x14ac:dyDescent="0.25">
      <c r="A134" s="328">
        <f>Base_Données!A136</f>
        <v>0</v>
      </c>
      <c r="B134" s="181">
        <f>Base_Données!B136</f>
        <v>0</v>
      </c>
      <c r="C134" s="158">
        <f>Base_Données!C136</f>
        <v>0</v>
      </c>
      <c r="D134" s="156">
        <f>Base_Données!Q136</f>
        <v>0</v>
      </c>
      <c r="E134" s="156">
        <f>Base_Données!BR136</f>
        <v>0</v>
      </c>
      <c r="F134" s="155">
        <f>Base_Données!R136</f>
        <v>0</v>
      </c>
      <c r="G134" s="154">
        <f>Base_Données!BS136</f>
        <v>0</v>
      </c>
      <c r="H134" s="155">
        <f>SIG!F134-SIG!G134</f>
        <v>0</v>
      </c>
      <c r="I134" s="159">
        <f>Base_Données!BI136+Base_Données!BJ136-Base_Données!GC136-Base_Données!GD136</f>
        <v>0</v>
      </c>
      <c r="J134" s="154">
        <f t="shared" si="4"/>
        <v>0</v>
      </c>
      <c r="K134" s="154">
        <f>Base_Données!BK136-Base_Données!GE136</f>
        <v>0</v>
      </c>
      <c r="L134" s="159">
        <f t="shared" si="5"/>
        <v>0</v>
      </c>
      <c r="M134" s="158">
        <f>Base_Données!S136</f>
        <v>0</v>
      </c>
      <c r="N134" s="154">
        <f>Base_Données!T136-(Base_Données!BU136+Base_Données!BZ136+Base_Données!CC136)</f>
        <v>0</v>
      </c>
      <c r="O134" s="154">
        <f>Base_Données!AC136+Base_Données!AL136-(Base_Données!CI136)</f>
        <v>0</v>
      </c>
      <c r="P134" s="154">
        <f>L134+Base_Données!GJ136+Base_Données!GE136+Base_Données!GB136+Base_Données!FV136+Base_Données!FS136+Base_Données!FO136+Base_Données!FE136+Base_Données!DS136-(Base_Données!BK136+Base_Données!BH136+Base_Données!AU136)</f>
        <v>0</v>
      </c>
      <c r="Q134" s="189">
        <f>P134+Base_Données!AV136-Base_Données!FE136-Base_Données!FO136</f>
        <v>0</v>
      </c>
      <c r="R134" s="329">
        <f>SIG!Q134+Base_Données!BD136+Base_Données!BH136+Base_Données!BL136+Base_Données!BN136-Base_Données!GB136-Base_Données!GJ136-Base_Données!GF136-Base_Données!FV136</f>
        <v>0</v>
      </c>
    </row>
    <row r="135" spans="1:18" customFormat="1" x14ac:dyDescent="0.25">
      <c r="A135" s="328">
        <f>Base_Données!A137</f>
        <v>0</v>
      </c>
      <c r="B135" s="181">
        <f>Base_Données!B137</f>
        <v>0</v>
      </c>
      <c r="C135" s="158">
        <f>Base_Données!C137</f>
        <v>0</v>
      </c>
      <c r="D135" s="156">
        <f>Base_Données!Q137</f>
        <v>0</v>
      </c>
      <c r="E135" s="156">
        <f>Base_Données!BR137</f>
        <v>0</v>
      </c>
      <c r="F135" s="155">
        <f>Base_Données!R137</f>
        <v>0</v>
      </c>
      <c r="G135" s="154">
        <f>Base_Données!BS137</f>
        <v>0</v>
      </c>
      <c r="H135" s="155">
        <f>SIG!F135-SIG!G135</f>
        <v>0</v>
      </c>
      <c r="I135" s="159">
        <f>Base_Données!BI137+Base_Données!BJ137-Base_Données!GC137-Base_Données!GD137</f>
        <v>0</v>
      </c>
      <c r="J135" s="154">
        <f t="shared" si="4"/>
        <v>0</v>
      </c>
      <c r="K135" s="154">
        <f>Base_Données!BK137-Base_Données!GE137</f>
        <v>0</v>
      </c>
      <c r="L135" s="159">
        <f t="shared" si="5"/>
        <v>0</v>
      </c>
      <c r="M135" s="158">
        <f>Base_Données!S137</f>
        <v>0</v>
      </c>
      <c r="N135" s="154">
        <f>Base_Données!T137-(Base_Données!BU137+Base_Données!BZ137+Base_Données!CC137)</f>
        <v>0</v>
      </c>
      <c r="O135" s="154">
        <f>Base_Données!AC137+Base_Données!AL137-(Base_Données!CI137)</f>
        <v>0</v>
      </c>
      <c r="P135" s="154">
        <f>L135+Base_Données!GJ137+Base_Données!GE137+Base_Données!GB137+Base_Données!FV137+Base_Données!FS137+Base_Données!FO137+Base_Données!FE137+Base_Données!DS137-(Base_Données!BK137+Base_Données!BH137+Base_Données!AU137)</f>
        <v>0</v>
      </c>
      <c r="Q135" s="189">
        <f>P135+Base_Données!AV137-Base_Données!FE137-Base_Données!FO137</f>
        <v>0</v>
      </c>
      <c r="R135" s="329">
        <f>SIG!Q135+Base_Données!BD137+Base_Données!BH137+Base_Données!BL137+Base_Données!BN137-Base_Données!GB137-Base_Données!GJ137-Base_Données!GF137-Base_Données!FV137</f>
        <v>0</v>
      </c>
    </row>
    <row r="136" spans="1:18" customFormat="1" x14ac:dyDescent="0.25">
      <c r="A136" s="328">
        <f>Base_Données!A138</f>
        <v>0</v>
      </c>
      <c r="B136" s="181">
        <f>Base_Données!B138</f>
        <v>0</v>
      </c>
      <c r="C136" s="158">
        <f>Base_Données!C138</f>
        <v>0</v>
      </c>
      <c r="D136" s="156">
        <f>Base_Données!Q138</f>
        <v>0</v>
      </c>
      <c r="E136" s="156">
        <f>Base_Données!BR138</f>
        <v>0</v>
      </c>
      <c r="F136" s="155">
        <f>Base_Données!R138</f>
        <v>0</v>
      </c>
      <c r="G136" s="154">
        <f>Base_Données!BS138</f>
        <v>0</v>
      </c>
      <c r="H136" s="155">
        <f>SIG!F136-SIG!G136</f>
        <v>0</v>
      </c>
      <c r="I136" s="159">
        <f>Base_Données!BI138+Base_Données!BJ138-Base_Données!GC138-Base_Données!GD138</f>
        <v>0</v>
      </c>
      <c r="J136" s="154">
        <f t="shared" si="4"/>
        <v>0</v>
      </c>
      <c r="K136" s="154">
        <f>Base_Données!BK138-Base_Données!GE138</f>
        <v>0</v>
      </c>
      <c r="L136" s="159">
        <f t="shared" si="5"/>
        <v>0</v>
      </c>
      <c r="M136" s="158">
        <f>Base_Données!S138</f>
        <v>0</v>
      </c>
      <c r="N136" s="154">
        <f>Base_Données!T138-(Base_Données!BU138+Base_Données!BZ138+Base_Données!CC138)</f>
        <v>0</v>
      </c>
      <c r="O136" s="154">
        <f>Base_Données!AC138+Base_Données!AL138-(Base_Données!CI138)</f>
        <v>0</v>
      </c>
      <c r="P136" s="154">
        <f>L136+Base_Données!GJ138+Base_Données!GE138+Base_Données!GB138+Base_Données!FV138+Base_Données!FS138+Base_Données!FO138+Base_Données!FE138+Base_Données!DS138-(Base_Données!BK138+Base_Données!BH138+Base_Données!AU138)</f>
        <v>0</v>
      </c>
      <c r="Q136" s="189">
        <f>P136+Base_Données!AV138-Base_Données!FE138-Base_Données!FO138</f>
        <v>0</v>
      </c>
      <c r="R136" s="329">
        <f>SIG!Q136+Base_Données!BD138+Base_Données!BH138+Base_Données!BL138+Base_Données!BN138-Base_Données!GB138-Base_Données!GJ138-Base_Données!GF138-Base_Données!FV138</f>
        <v>0</v>
      </c>
    </row>
    <row r="137" spans="1:18" customFormat="1" x14ac:dyDescent="0.25">
      <c r="A137" s="328">
        <f>Base_Données!A139</f>
        <v>0</v>
      </c>
      <c r="B137" s="181">
        <f>Base_Données!B139</f>
        <v>0</v>
      </c>
      <c r="C137" s="158">
        <f>Base_Données!C139</f>
        <v>0</v>
      </c>
      <c r="D137" s="156">
        <f>Base_Données!Q139</f>
        <v>0</v>
      </c>
      <c r="E137" s="156">
        <f>Base_Données!BR139</f>
        <v>0</v>
      </c>
      <c r="F137" s="155">
        <f>Base_Données!R139</f>
        <v>0</v>
      </c>
      <c r="G137" s="154">
        <f>Base_Données!BS139</f>
        <v>0</v>
      </c>
      <c r="H137" s="155">
        <f>SIG!F137-SIG!G137</f>
        <v>0</v>
      </c>
      <c r="I137" s="159">
        <f>Base_Données!BI139+Base_Données!BJ139-Base_Données!GC139-Base_Données!GD139</f>
        <v>0</v>
      </c>
      <c r="J137" s="154">
        <f t="shared" si="4"/>
        <v>0</v>
      </c>
      <c r="K137" s="154">
        <f>Base_Données!BK139-Base_Données!GE139</f>
        <v>0</v>
      </c>
      <c r="L137" s="159">
        <f t="shared" si="5"/>
        <v>0</v>
      </c>
      <c r="M137" s="158">
        <f>Base_Données!S139</f>
        <v>0</v>
      </c>
      <c r="N137" s="154">
        <f>Base_Données!T139-(Base_Données!BU139+Base_Données!BZ139+Base_Données!CC139)</f>
        <v>0</v>
      </c>
      <c r="O137" s="154">
        <f>Base_Données!AC139+Base_Données!AL139-(Base_Données!CI139)</f>
        <v>0</v>
      </c>
      <c r="P137" s="154">
        <f>L137+Base_Données!GJ139+Base_Données!GE139+Base_Données!GB139+Base_Données!FV139+Base_Données!FS139+Base_Données!FO139+Base_Données!FE139+Base_Données!DS139-(Base_Données!BK139+Base_Données!BH139+Base_Données!AU139)</f>
        <v>0</v>
      </c>
      <c r="Q137" s="189">
        <f>P137+Base_Données!AV139-Base_Données!FE139-Base_Données!FO139</f>
        <v>0</v>
      </c>
      <c r="R137" s="329">
        <f>SIG!Q137+Base_Données!BD139+Base_Données!BH139+Base_Données!BL139+Base_Données!BN139-Base_Données!GB139-Base_Données!GJ139-Base_Données!GF139-Base_Données!FV139</f>
        <v>0</v>
      </c>
    </row>
    <row r="138" spans="1:18" customFormat="1" x14ac:dyDescent="0.25">
      <c r="A138" s="328">
        <f>Base_Données!A140</f>
        <v>0</v>
      </c>
      <c r="B138" s="181">
        <f>Base_Données!B140</f>
        <v>0</v>
      </c>
      <c r="C138" s="158">
        <f>Base_Données!C140</f>
        <v>0</v>
      </c>
      <c r="D138" s="156">
        <f>Base_Données!Q140</f>
        <v>0</v>
      </c>
      <c r="E138" s="156">
        <f>Base_Données!BR140</f>
        <v>0</v>
      </c>
      <c r="F138" s="155">
        <f>Base_Données!R140</f>
        <v>0</v>
      </c>
      <c r="G138" s="154">
        <f>Base_Données!BS140</f>
        <v>0</v>
      </c>
      <c r="H138" s="155">
        <f>SIG!F138-SIG!G138</f>
        <v>0</v>
      </c>
      <c r="I138" s="159">
        <f>Base_Données!BI140+Base_Données!BJ140-Base_Données!GC140-Base_Données!GD140</f>
        <v>0</v>
      </c>
      <c r="J138" s="154">
        <f t="shared" si="4"/>
        <v>0</v>
      </c>
      <c r="K138" s="154">
        <f>Base_Données!BK140-Base_Données!GE140</f>
        <v>0</v>
      </c>
      <c r="L138" s="159">
        <f t="shared" si="5"/>
        <v>0</v>
      </c>
      <c r="M138" s="158">
        <f>Base_Données!S140</f>
        <v>0</v>
      </c>
      <c r="N138" s="154">
        <f>Base_Données!T140-(Base_Données!BU140+Base_Données!BZ140+Base_Données!CC140)</f>
        <v>0</v>
      </c>
      <c r="O138" s="154">
        <f>Base_Données!AC140+Base_Données!AL140-(Base_Données!CI140)</f>
        <v>0</v>
      </c>
      <c r="P138" s="154">
        <f>L138+Base_Données!GJ140+Base_Données!GE140+Base_Données!GB140+Base_Données!FV140+Base_Données!FS140+Base_Données!FO140+Base_Données!FE140+Base_Données!DS140-(Base_Données!BK140+Base_Données!BH140+Base_Données!AU140)</f>
        <v>0</v>
      </c>
      <c r="Q138" s="189">
        <f>P138+Base_Données!AV140-Base_Données!FE140-Base_Données!FO140</f>
        <v>0</v>
      </c>
      <c r="R138" s="329">
        <f>SIG!Q138+Base_Données!BD140+Base_Données!BH140+Base_Données!BL140+Base_Données!BN140-Base_Données!GB140-Base_Données!GJ140-Base_Données!GF140-Base_Données!FV140</f>
        <v>0</v>
      </c>
    </row>
    <row r="139" spans="1:18" customFormat="1" x14ac:dyDescent="0.25">
      <c r="A139" s="328">
        <f>Base_Données!A141</f>
        <v>0</v>
      </c>
      <c r="B139" s="181">
        <f>Base_Données!B141</f>
        <v>0</v>
      </c>
      <c r="C139" s="158">
        <f>Base_Données!C141</f>
        <v>0</v>
      </c>
      <c r="D139" s="156">
        <f>Base_Données!Q141</f>
        <v>0</v>
      </c>
      <c r="E139" s="156">
        <f>Base_Données!BR141</f>
        <v>0</v>
      </c>
      <c r="F139" s="155">
        <f>Base_Données!R141</f>
        <v>0</v>
      </c>
      <c r="G139" s="154">
        <f>Base_Données!BS141</f>
        <v>0</v>
      </c>
      <c r="H139" s="155">
        <f>SIG!F139-SIG!G139</f>
        <v>0</v>
      </c>
      <c r="I139" s="159">
        <f>Base_Données!BI141+Base_Données!BJ141-Base_Données!GC141-Base_Données!GD141</f>
        <v>0</v>
      </c>
      <c r="J139" s="154">
        <f t="shared" si="4"/>
        <v>0</v>
      </c>
      <c r="K139" s="154">
        <f>Base_Données!BK141-Base_Données!GE141</f>
        <v>0</v>
      </c>
      <c r="L139" s="159">
        <f t="shared" si="5"/>
        <v>0</v>
      </c>
      <c r="M139" s="158">
        <f>Base_Données!S141</f>
        <v>0</v>
      </c>
      <c r="N139" s="154">
        <f>Base_Données!T141-(Base_Données!BU141+Base_Données!BZ141+Base_Données!CC141)</f>
        <v>0</v>
      </c>
      <c r="O139" s="154">
        <f>Base_Données!AC141+Base_Données!AL141-(Base_Données!CI141)</f>
        <v>0</v>
      </c>
      <c r="P139" s="154">
        <f>L139+Base_Données!GJ141+Base_Données!GE141+Base_Données!GB141+Base_Données!FV141+Base_Données!FS141+Base_Données!FO141+Base_Données!FE141+Base_Données!DS141-(Base_Données!BK141+Base_Données!BH141+Base_Données!AU141)</f>
        <v>0</v>
      </c>
      <c r="Q139" s="189">
        <f>P139+Base_Données!AV141-Base_Données!FE141-Base_Données!FO141</f>
        <v>0</v>
      </c>
      <c r="R139" s="329">
        <f>SIG!Q139+Base_Données!BD141+Base_Données!BH141+Base_Données!BL141+Base_Données!BN141-Base_Données!GB141-Base_Données!GJ141-Base_Données!GF141-Base_Données!FV141</f>
        <v>0</v>
      </c>
    </row>
    <row r="140" spans="1:18" customFormat="1" x14ac:dyDescent="0.25">
      <c r="A140" s="328">
        <f>Base_Données!A142</f>
        <v>0</v>
      </c>
      <c r="B140" s="181">
        <f>Base_Données!B142</f>
        <v>0</v>
      </c>
      <c r="C140" s="158">
        <f>Base_Données!C142</f>
        <v>0</v>
      </c>
      <c r="D140" s="156">
        <f>Base_Données!Q142</f>
        <v>0</v>
      </c>
      <c r="E140" s="156">
        <f>Base_Données!BR142</f>
        <v>0</v>
      </c>
      <c r="F140" s="155">
        <f>Base_Données!R142</f>
        <v>0</v>
      </c>
      <c r="G140" s="154">
        <f>Base_Données!BS142</f>
        <v>0</v>
      </c>
      <c r="H140" s="155">
        <f>SIG!F140-SIG!G140</f>
        <v>0</v>
      </c>
      <c r="I140" s="159">
        <f>Base_Données!BI142+Base_Données!BJ142-Base_Données!GC142-Base_Données!GD142</f>
        <v>0</v>
      </c>
      <c r="J140" s="154">
        <f t="shared" si="4"/>
        <v>0</v>
      </c>
      <c r="K140" s="154">
        <f>Base_Données!BK142-Base_Données!GE142</f>
        <v>0</v>
      </c>
      <c r="L140" s="159">
        <f t="shared" si="5"/>
        <v>0</v>
      </c>
      <c r="M140" s="158">
        <f>Base_Données!S142</f>
        <v>0</v>
      </c>
      <c r="N140" s="154">
        <f>Base_Données!T142-(Base_Données!BU142+Base_Données!BZ142+Base_Données!CC142)</f>
        <v>0</v>
      </c>
      <c r="O140" s="154">
        <f>Base_Données!AC142+Base_Données!AL142-(Base_Données!CI142)</f>
        <v>0</v>
      </c>
      <c r="P140" s="154">
        <f>L140+Base_Données!GJ142+Base_Données!GE142+Base_Données!GB142+Base_Données!FV142+Base_Données!FS142+Base_Données!FO142+Base_Données!FE142+Base_Données!DS142-(Base_Données!BK142+Base_Données!BH142+Base_Données!AU142)</f>
        <v>0</v>
      </c>
      <c r="Q140" s="189">
        <f>P140+Base_Données!AV142-Base_Données!FE142-Base_Données!FO142</f>
        <v>0</v>
      </c>
      <c r="R140" s="329">
        <f>SIG!Q140+Base_Données!BD142+Base_Données!BH142+Base_Données!BL142+Base_Données!BN142-Base_Données!GB142-Base_Données!GJ142-Base_Données!GF142-Base_Données!FV142</f>
        <v>0</v>
      </c>
    </row>
    <row r="141" spans="1:18" customFormat="1" x14ac:dyDescent="0.25">
      <c r="A141" s="328">
        <f>Base_Données!A143</f>
        <v>0</v>
      </c>
      <c r="B141" s="181">
        <f>Base_Données!B143</f>
        <v>0</v>
      </c>
      <c r="C141" s="158">
        <f>Base_Données!C143</f>
        <v>0</v>
      </c>
      <c r="D141" s="156">
        <f>Base_Données!Q143</f>
        <v>0</v>
      </c>
      <c r="E141" s="156">
        <f>Base_Données!BR143</f>
        <v>0</v>
      </c>
      <c r="F141" s="155">
        <f>Base_Données!R143</f>
        <v>0</v>
      </c>
      <c r="G141" s="154">
        <f>Base_Données!BS143</f>
        <v>0</v>
      </c>
      <c r="H141" s="155">
        <f>SIG!F141-SIG!G141</f>
        <v>0</v>
      </c>
      <c r="I141" s="159">
        <f>Base_Données!BI143+Base_Données!BJ143-Base_Données!GC143-Base_Données!GD143</f>
        <v>0</v>
      </c>
      <c r="J141" s="154">
        <f t="shared" si="4"/>
        <v>0</v>
      </c>
      <c r="K141" s="154">
        <f>Base_Données!BK143-Base_Données!GE143</f>
        <v>0</v>
      </c>
      <c r="L141" s="159">
        <f t="shared" si="5"/>
        <v>0</v>
      </c>
      <c r="M141" s="158">
        <f>Base_Données!S143</f>
        <v>0</v>
      </c>
      <c r="N141" s="154">
        <f>Base_Données!T143-(Base_Données!BU143+Base_Données!BZ143+Base_Données!CC143)</f>
        <v>0</v>
      </c>
      <c r="O141" s="154">
        <f>Base_Données!AC143+Base_Données!AL143-(Base_Données!CI143)</f>
        <v>0</v>
      </c>
      <c r="P141" s="154">
        <f>L141+Base_Données!GJ143+Base_Données!GE143+Base_Données!GB143+Base_Données!FV143+Base_Données!FS143+Base_Données!FO143+Base_Données!FE143+Base_Données!DS143-(Base_Données!BK143+Base_Données!BH143+Base_Données!AU143)</f>
        <v>0</v>
      </c>
      <c r="Q141" s="189">
        <f>P141+Base_Données!AV143-Base_Données!FE143-Base_Données!FO143</f>
        <v>0</v>
      </c>
      <c r="R141" s="329">
        <f>SIG!Q141+Base_Données!BD143+Base_Données!BH143+Base_Données!BL143+Base_Données!BN143-Base_Données!GB143-Base_Données!GJ143-Base_Données!GF143-Base_Données!FV143</f>
        <v>0</v>
      </c>
    </row>
    <row r="142" spans="1:18" customFormat="1" x14ac:dyDescent="0.25">
      <c r="A142" s="328">
        <f>Base_Données!A144</f>
        <v>0</v>
      </c>
      <c r="B142" s="181">
        <f>Base_Données!B144</f>
        <v>0</v>
      </c>
      <c r="C142" s="158">
        <f>Base_Données!C144</f>
        <v>0</v>
      </c>
      <c r="D142" s="156">
        <f>Base_Données!Q144</f>
        <v>0</v>
      </c>
      <c r="E142" s="156">
        <f>Base_Données!BR144</f>
        <v>0</v>
      </c>
      <c r="F142" s="155">
        <f>Base_Données!R144</f>
        <v>0</v>
      </c>
      <c r="G142" s="154">
        <f>Base_Données!BS144</f>
        <v>0</v>
      </c>
      <c r="H142" s="155">
        <f>SIG!F142-SIG!G142</f>
        <v>0</v>
      </c>
      <c r="I142" s="159">
        <f>Base_Données!BI144+Base_Données!BJ144-Base_Données!GC144-Base_Données!GD144</f>
        <v>0</v>
      </c>
      <c r="J142" s="154">
        <f t="shared" si="4"/>
        <v>0</v>
      </c>
      <c r="K142" s="154">
        <f>Base_Données!BK144-Base_Données!GE144</f>
        <v>0</v>
      </c>
      <c r="L142" s="159">
        <f t="shared" si="5"/>
        <v>0</v>
      </c>
      <c r="M142" s="158">
        <f>Base_Données!S144</f>
        <v>0</v>
      </c>
      <c r="N142" s="154">
        <f>Base_Données!T144-(Base_Données!BU144+Base_Données!BZ144+Base_Données!CC144)</f>
        <v>0</v>
      </c>
      <c r="O142" s="154">
        <f>Base_Données!AC144+Base_Données!AL144-(Base_Données!CI144)</f>
        <v>0</v>
      </c>
      <c r="P142" s="154">
        <f>L142+Base_Données!GJ144+Base_Données!GE144+Base_Données!GB144+Base_Données!FV144+Base_Données!FS144+Base_Données!FO144+Base_Données!FE144+Base_Données!DS144-(Base_Données!BK144+Base_Données!BH144+Base_Données!AU144)</f>
        <v>0</v>
      </c>
      <c r="Q142" s="189">
        <f>P142+Base_Données!AV144-Base_Données!FE144-Base_Données!FO144</f>
        <v>0</v>
      </c>
      <c r="R142" s="329">
        <f>SIG!Q142+Base_Données!BD144+Base_Données!BH144+Base_Données!BL144+Base_Données!BN144-Base_Données!GB144-Base_Données!GJ144-Base_Données!GF144-Base_Données!FV144</f>
        <v>0</v>
      </c>
    </row>
    <row r="143" spans="1:18" customFormat="1" x14ac:dyDescent="0.25">
      <c r="A143" s="328">
        <f>Base_Données!A145</f>
        <v>0</v>
      </c>
      <c r="B143" s="181">
        <f>Base_Données!B145</f>
        <v>0</v>
      </c>
      <c r="C143" s="158">
        <f>Base_Données!C145</f>
        <v>0</v>
      </c>
      <c r="D143" s="156">
        <f>Base_Données!Q145</f>
        <v>0</v>
      </c>
      <c r="E143" s="156">
        <f>Base_Données!BR145</f>
        <v>0</v>
      </c>
      <c r="F143" s="155">
        <f>Base_Données!R145</f>
        <v>0</v>
      </c>
      <c r="G143" s="154">
        <f>Base_Données!BS145</f>
        <v>0</v>
      </c>
      <c r="H143" s="155">
        <f>SIG!F143-SIG!G143</f>
        <v>0</v>
      </c>
      <c r="I143" s="159">
        <f>Base_Données!BI145+Base_Données!BJ145-Base_Données!GC145-Base_Données!GD145</f>
        <v>0</v>
      </c>
      <c r="J143" s="154">
        <f t="shared" si="4"/>
        <v>0</v>
      </c>
      <c r="K143" s="154">
        <f>Base_Données!BK145-Base_Données!GE145</f>
        <v>0</v>
      </c>
      <c r="L143" s="159">
        <f t="shared" si="5"/>
        <v>0</v>
      </c>
      <c r="M143" s="158">
        <f>Base_Données!S145</f>
        <v>0</v>
      </c>
      <c r="N143" s="154">
        <f>Base_Données!T145-(Base_Données!BU145+Base_Données!BZ145+Base_Données!CC145)</f>
        <v>0</v>
      </c>
      <c r="O143" s="154">
        <f>Base_Données!AC145+Base_Données!AL145-(Base_Données!CI145)</f>
        <v>0</v>
      </c>
      <c r="P143" s="154">
        <f>L143+Base_Données!GJ145+Base_Données!GE145+Base_Données!GB145+Base_Données!FV145+Base_Données!FS145+Base_Données!FO145+Base_Données!FE145+Base_Données!DS145-(Base_Données!BK145+Base_Données!BH145+Base_Données!AU145)</f>
        <v>0</v>
      </c>
      <c r="Q143" s="189">
        <f>P143+Base_Données!AV145-Base_Données!FE145-Base_Données!FO145</f>
        <v>0</v>
      </c>
      <c r="R143" s="329">
        <f>SIG!Q143+Base_Données!BD145+Base_Données!BH145+Base_Données!BL145+Base_Données!BN145-Base_Données!GB145-Base_Données!GJ145-Base_Données!GF145-Base_Données!FV145</f>
        <v>0</v>
      </c>
    </row>
    <row r="144" spans="1:18" customFormat="1" x14ac:dyDescent="0.25">
      <c r="A144" s="328">
        <f>Base_Données!A146</f>
        <v>0</v>
      </c>
      <c r="B144" s="181">
        <f>Base_Données!B146</f>
        <v>0</v>
      </c>
      <c r="C144" s="158">
        <f>Base_Données!C146</f>
        <v>0</v>
      </c>
      <c r="D144" s="156">
        <f>Base_Données!Q146</f>
        <v>0</v>
      </c>
      <c r="E144" s="156">
        <f>Base_Données!BR146</f>
        <v>0</v>
      </c>
      <c r="F144" s="155">
        <f>Base_Données!R146</f>
        <v>0</v>
      </c>
      <c r="G144" s="154">
        <f>Base_Données!BS146</f>
        <v>0</v>
      </c>
      <c r="H144" s="155">
        <f>SIG!F144-SIG!G144</f>
        <v>0</v>
      </c>
      <c r="I144" s="159">
        <f>Base_Données!BI146+Base_Données!BJ146-Base_Données!GC146-Base_Données!GD146</f>
        <v>0</v>
      </c>
      <c r="J144" s="154">
        <f t="shared" si="4"/>
        <v>0</v>
      </c>
      <c r="K144" s="154">
        <f>Base_Données!BK146-Base_Données!GE146</f>
        <v>0</v>
      </c>
      <c r="L144" s="159">
        <f t="shared" si="5"/>
        <v>0</v>
      </c>
      <c r="M144" s="158">
        <f>Base_Données!S146</f>
        <v>0</v>
      </c>
      <c r="N144" s="154">
        <f>Base_Données!T146-(Base_Données!BU146+Base_Données!BZ146+Base_Données!CC146)</f>
        <v>0</v>
      </c>
      <c r="O144" s="154">
        <f>Base_Données!AC146+Base_Données!AL146-(Base_Données!CI146)</f>
        <v>0</v>
      </c>
      <c r="P144" s="154">
        <f>L144+Base_Données!GJ146+Base_Données!GE146+Base_Données!GB146+Base_Données!FV146+Base_Données!FS146+Base_Données!FO146+Base_Données!FE146+Base_Données!DS146-(Base_Données!BK146+Base_Données!BH146+Base_Données!AU146)</f>
        <v>0</v>
      </c>
      <c r="Q144" s="189">
        <f>P144+Base_Données!AV146-Base_Données!FE146-Base_Données!FO146</f>
        <v>0</v>
      </c>
      <c r="R144" s="329">
        <f>SIG!Q144+Base_Données!BD146+Base_Données!BH146+Base_Données!BL146+Base_Données!BN146-Base_Données!GB146-Base_Données!GJ146-Base_Données!GF146-Base_Données!FV146</f>
        <v>0</v>
      </c>
    </row>
    <row r="145" spans="1:18" customFormat="1" x14ac:dyDescent="0.25">
      <c r="A145" s="328">
        <f>Base_Données!A147</f>
        <v>0</v>
      </c>
      <c r="B145" s="181">
        <f>Base_Données!B147</f>
        <v>0</v>
      </c>
      <c r="C145" s="158">
        <f>Base_Données!C147</f>
        <v>0</v>
      </c>
      <c r="D145" s="156">
        <f>Base_Données!Q147</f>
        <v>0</v>
      </c>
      <c r="E145" s="156">
        <f>Base_Données!BR147</f>
        <v>0</v>
      </c>
      <c r="F145" s="155">
        <f>Base_Données!R147</f>
        <v>0</v>
      </c>
      <c r="G145" s="154">
        <f>Base_Données!BS147</f>
        <v>0</v>
      </c>
      <c r="H145" s="155">
        <f>SIG!F145-SIG!G145</f>
        <v>0</v>
      </c>
      <c r="I145" s="159">
        <f>Base_Données!BI147+Base_Données!BJ147-Base_Données!GC147-Base_Données!GD147</f>
        <v>0</v>
      </c>
      <c r="J145" s="154">
        <f t="shared" si="4"/>
        <v>0</v>
      </c>
      <c r="K145" s="154">
        <f>Base_Données!BK147-Base_Données!GE147</f>
        <v>0</v>
      </c>
      <c r="L145" s="159">
        <f t="shared" si="5"/>
        <v>0</v>
      </c>
      <c r="M145" s="158">
        <f>Base_Données!S147</f>
        <v>0</v>
      </c>
      <c r="N145" s="154">
        <f>Base_Données!T147-(Base_Données!BU147+Base_Données!BZ147+Base_Données!CC147)</f>
        <v>0</v>
      </c>
      <c r="O145" s="154">
        <f>Base_Données!AC147+Base_Données!AL147-(Base_Données!CI147)</f>
        <v>0</v>
      </c>
      <c r="P145" s="154">
        <f>L145+Base_Données!GJ147+Base_Données!GE147+Base_Données!GB147+Base_Données!FV147+Base_Données!FS147+Base_Données!FO147+Base_Données!FE147+Base_Données!DS147-(Base_Données!BK147+Base_Données!BH147+Base_Données!AU147)</f>
        <v>0</v>
      </c>
      <c r="Q145" s="189">
        <f>P145+Base_Données!AV147-Base_Données!FE147-Base_Données!FO147</f>
        <v>0</v>
      </c>
      <c r="R145" s="329">
        <f>SIG!Q145+Base_Données!BD147+Base_Données!BH147+Base_Données!BL147+Base_Données!BN147-Base_Données!GB147-Base_Données!GJ147-Base_Données!GF147-Base_Données!FV147</f>
        <v>0</v>
      </c>
    </row>
    <row r="146" spans="1:18" customFormat="1" x14ac:dyDescent="0.25">
      <c r="A146" s="328">
        <f>Base_Données!A148</f>
        <v>0</v>
      </c>
      <c r="B146" s="181">
        <f>Base_Données!B148</f>
        <v>0</v>
      </c>
      <c r="C146" s="158">
        <f>Base_Données!C148</f>
        <v>0</v>
      </c>
      <c r="D146" s="156">
        <f>Base_Données!Q148</f>
        <v>0</v>
      </c>
      <c r="E146" s="156">
        <f>Base_Données!BR148</f>
        <v>0</v>
      </c>
      <c r="F146" s="155">
        <f>Base_Données!R148</f>
        <v>0</v>
      </c>
      <c r="G146" s="154">
        <f>Base_Données!BS148</f>
        <v>0</v>
      </c>
      <c r="H146" s="155">
        <f>SIG!F146-SIG!G146</f>
        <v>0</v>
      </c>
      <c r="I146" s="159">
        <f>Base_Données!BI148+Base_Données!BJ148-Base_Données!GC148-Base_Données!GD148</f>
        <v>0</v>
      </c>
      <c r="J146" s="154">
        <f t="shared" si="4"/>
        <v>0</v>
      </c>
      <c r="K146" s="154">
        <f>Base_Données!BK148-Base_Données!GE148</f>
        <v>0</v>
      </c>
      <c r="L146" s="159">
        <f t="shared" si="5"/>
        <v>0</v>
      </c>
      <c r="M146" s="158">
        <f>Base_Données!S148</f>
        <v>0</v>
      </c>
      <c r="N146" s="154">
        <f>Base_Données!T148-(Base_Données!BU148+Base_Données!BZ148+Base_Données!CC148)</f>
        <v>0</v>
      </c>
      <c r="O146" s="154">
        <f>Base_Données!AC148+Base_Données!AL148-(Base_Données!CI148)</f>
        <v>0</v>
      </c>
      <c r="P146" s="154">
        <f>L146+Base_Données!GJ148+Base_Données!GE148+Base_Données!GB148+Base_Données!FV148+Base_Données!FS148+Base_Données!FO148+Base_Données!FE148+Base_Données!DS148-(Base_Données!BK148+Base_Données!BH148+Base_Données!AU148)</f>
        <v>0</v>
      </c>
      <c r="Q146" s="189">
        <f>P146+Base_Données!AV148-Base_Données!FE148-Base_Données!FO148</f>
        <v>0</v>
      </c>
      <c r="R146" s="329">
        <f>SIG!Q146+Base_Données!BD148+Base_Données!BH148+Base_Données!BL148+Base_Données!BN148-Base_Données!GB148-Base_Données!GJ148-Base_Données!GF148-Base_Données!FV148</f>
        <v>0</v>
      </c>
    </row>
    <row r="147" spans="1:18" customFormat="1" x14ac:dyDescent="0.25">
      <c r="A147" s="328">
        <f>Base_Données!A149</f>
        <v>0</v>
      </c>
      <c r="B147" s="181">
        <f>Base_Données!B149</f>
        <v>0</v>
      </c>
      <c r="C147" s="158">
        <f>Base_Données!C149</f>
        <v>0</v>
      </c>
      <c r="D147" s="156">
        <f>Base_Données!Q149</f>
        <v>0</v>
      </c>
      <c r="E147" s="156">
        <f>Base_Données!BR149</f>
        <v>0</v>
      </c>
      <c r="F147" s="155">
        <f>Base_Données!R149</f>
        <v>0</v>
      </c>
      <c r="G147" s="154">
        <f>Base_Données!BS149</f>
        <v>0</v>
      </c>
      <c r="H147" s="155">
        <f>SIG!F147-SIG!G147</f>
        <v>0</v>
      </c>
      <c r="I147" s="159">
        <f>Base_Données!BI149+Base_Données!BJ149-Base_Données!GC149-Base_Données!GD149</f>
        <v>0</v>
      </c>
      <c r="J147" s="154">
        <f t="shared" si="4"/>
        <v>0</v>
      </c>
      <c r="K147" s="154">
        <f>Base_Données!BK149-Base_Données!GE149</f>
        <v>0</v>
      </c>
      <c r="L147" s="159">
        <f t="shared" si="5"/>
        <v>0</v>
      </c>
      <c r="M147" s="158">
        <f>Base_Données!S149</f>
        <v>0</v>
      </c>
      <c r="N147" s="154">
        <f>Base_Données!T149-(Base_Données!BU149+Base_Données!BZ149+Base_Données!CC149)</f>
        <v>0</v>
      </c>
      <c r="O147" s="154">
        <f>Base_Données!AC149+Base_Données!AL149-(Base_Données!CI149)</f>
        <v>0</v>
      </c>
      <c r="P147" s="154">
        <f>L147+Base_Données!GJ149+Base_Données!GE149+Base_Données!GB149+Base_Données!FV149+Base_Données!FS149+Base_Données!FO149+Base_Données!FE149+Base_Données!DS149-(Base_Données!BK149+Base_Données!BH149+Base_Données!AU149)</f>
        <v>0</v>
      </c>
      <c r="Q147" s="189">
        <f>P147+Base_Données!AV149-Base_Données!FE149-Base_Données!FO149</f>
        <v>0</v>
      </c>
      <c r="R147" s="329">
        <f>SIG!Q147+Base_Données!BD149+Base_Données!BH149+Base_Données!BL149+Base_Données!BN149-Base_Données!GB149-Base_Données!GJ149-Base_Données!GF149-Base_Données!FV149</f>
        <v>0</v>
      </c>
    </row>
    <row r="148" spans="1:18" customFormat="1" x14ac:dyDescent="0.25">
      <c r="A148" s="328">
        <f>Base_Données!A150</f>
        <v>0</v>
      </c>
      <c r="B148" s="181">
        <f>Base_Données!B150</f>
        <v>0</v>
      </c>
      <c r="C148" s="158">
        <f>Base_Données!C150</f>
        <v>0</v>
      </c>
      <c r="D148" s="156">
        <f>Base_Données!Q150</f>
        <v>0</v>
      </c>
      <c r="E148" s="156">
        <f>Base_Données!BR150</f>
        <v>0</v>
      </c>
      <c r="F148" s="155">
        <f>Base_Données!R150</f>
        <v>0</v>
      </c>
      <c r="G148" s="154">
        <f>Base_Données!BS150</f>
        <v>0</v>
      </c>
      <c r="H148" s="155">
        <f>SIG!F148-SIG!G148</f>
        <v>0</v>
      </c>
      <c r="I148" s="159">
        <f>Base_Données!BI150+Base_Données!BJ150-Base_Données!GC150-Base_Données!GD150</f>
        <v>0</v>
      </c>
      <c r="J148" s="154">
        <f t="shared" si="4"/>
        <v>0</v>
      </c>
      <c r="K148" s="154">
        <f>Base_Données!BK150-Base_Données!GE150</f>
        <v>0</v>
      </c>
      <c r="L148" s="159">
        <f t="shared" si="5"/>
        <v>0</v>
      </c>
      <c r="M148" s="158">
        <f>Base_Données!S150</f>
        <v>0</v>
      </c>
      <c r="N148" s="154">
        <f>Base_Données!T150-(Base_Données!BU150+Base_Données!BZ150+Base_Données!CC150)</f>
        <v>0</v>
      </c>
      <c r="O148" s="154">
        <f>Base_Données!AC150+Base_Données!AL150-(Base_Données!CI150)</f>
        <v>0</v>
      </c>
      <c r="P148" s="154">
        <f>L148+Base_Données!GJ150+Base_Données!GE150+Base_Données!GB150+Base_Données!FV150+Base_Données!FS150+Base_Données!FO150+Base_Données!FE150+Base_Données!DS150-(Base_Données!BK150+Base_Données!BH150+Base_Données!AU150)</f>
        <v>0</v>
      </c>
      <c r="Q148" s="189">
        <f>P148+Base_Données!AV150-Base_Données!FE150-Base_Données!FO150</f>
        <v>0</v>
      </c>
      <c r="R148" s="329">
        <f>SIG!Q148+Base_Données!BD150+Base_Données!BH150+Base_Données!BL150+Base_Données!BN150-Base_Données!GB150-Base_Données!GJ150-Base_Données!GF150-Base_Données!FV150</f>
        <v>0</v>
      </c>
    </row>
    <row r="149" spans="1:18" customFormat="1" x14ac:dyDescent="0.25">
      <c r="A149" s="328">
        <f>Base_Données!A151</f>
        <v>0</v>
      </c>
      <c r="B149" s="181">
        <f>Base_Données!B151</f>
        <v>0</v>
      </c>
      <c r="C149" s="158">
        <f>Base_Données!C151</f>
        <v>0</v>
      </c>
      <c r="D149" s="156">
        <f>Base_Données!Q151</f>
        <v>0</v>
      </c>
      <c r="E149" s="156">
        <f>Base_Données!BR151</f>
        <v>0</v>
      </c>
      <c r="F149" s="155">
        <f>Base_Données!R151</f>
        <v>0</v>
      </c>
      <c r="G149" s="154">
        <f>Base_Données!BS151</f>
        <v>0</v>
      </c>
      <c r="H149" s="155">
        <f>SIG!F149-SIG!G149</f>
        <v>0</v>
      </c>
      <c r="I149" s="159">
        <f>Base_Données!BI151+Base_Données!BJ151-Base_Données!GC151-Base_Données!GD151</f>
        <v>0</v>
      </c>
      <c r="J149" s="154">
        <f t="shared" si="4"/>
        <v>0</v>
      </c>
      <c r="K149" s="154">
        <f>Base_Données!BK151-Base_Données!GE151</f>
        <v>0</v>
      </c>
      <c r="L149" s="159">
        <f t="shared" si="5"/>
        <v>0</v>
      </c>
      <c r="M149" s="158">
        <f>Base_Données!S151</f>
        <v>0</v>
      </c>
      <c r="N149" s="154">
        <f>Base_Données!T151-(Base_Données!BU151+Base_Données!BZ151+Base_Données!CC151)</f>
        <v>0</v>
      </c>
      <c r="O149" s="154">
        <f>Base_Données!AC151+Base_Données!AL151-(Base_Données!CI151)</f>
        <v>0</v>
      </c>
      <c r="P149" s="154">
        <f>L149+Base_Données!GJ151+Base_Données!GE151+Base_Données!GB151+Base_Données!FV151+Base_Données!FS151+Base_Données!FO151+Base_Données!FE151+Base_Données!DS151-(Base_Données!BK151+Base_Données!BH151+Base_Données!AU151)</f>
        <v>0</v>
      </c>
      <c r="Q149" s="189">
        <f>P149+Base_Données!AV151-Base_Données!FE151-Base_Données!FO151</f>
        <v>0</v>
      </c>
      <c r="R149" s="329">
        <f>SIG!Q149+Base_Données!BD151+Base_Données!BH151+Base_Données!BL151+Base_Données!BN151-Base_Données!GB151-Base_Données!GJ151-Base_Données!GF151-Base_Données!FV151</f>
        <v>0</v>
      </c>
    </row>
    <row r="150" spans="1:18" customFormat="1" x14ac:dyDescent="0.25">
      <c r="A150" s="328">
        <f>Base_Données!A152</f>
        <v>0</v>
      </c>
      <c r="B150" s="181">
        <f>Base_Données!B152</f>
        <v>0</v>
      </c>
      <c r="C150" s="158">
        <f>Base_Données!C152</f>
        <v>0</v>
      </c>
      <c r="D150" s="156">
        <f>Base_Données!Q152</f>
        <v>0</v>
      </c>
      <c r="E150" s="156">
        <f>Base_Données!BR152</f>
        <v>0</v>
      </c>
      <c r="F150" s="155">
        <f>Base_Données!R152</f>
        <v>0</v>
      </c>
      <c r="G150" s="154">
        <f>Base_Données!BS152</f>
        <v>0</v>
      </c>
      <c r="H150" s="155">
        <f>SIG!F150-SIG!G150</f>
        <v>0</v>
      </c>
      <c r="I150" s="159">
        <f>Base_Données!BI152+Base_Données!BJ152-Base_Données!GC152-Base_Données!GD152</f>
        <v>0</v>
      </c>
      <c r="J150" s="154">
        <f t="shared" si="4"/>
        <v>0</v>
      </c>
      <c r="K150" s="154">
        <f>Base_Données!BK152-Base_Données!GE152</f>
        <v>0</v>
      </c>
      <c r="L150" s="159">
        <f t="shared" si="5"/>
        <v>0</v>
      </c>
      <c r="M150" s="158">
        <f>Base_Données!S152</f>
        <v>0</v>
      </c>
      <c r="N150" s="154">
        <f>Base_Données!T152-(Base_Données!BU152+Base_Données!BZ152+Base_Données!CC152)</f>
        <v>0</v>
      </c>
      <c r="O150" s="154">
        <f>Base_Données!AC152+Base_Données!AL152-(Base_Données!CI152)</f>
        <v>0</v>
      </c>
      <c r="P150" s="154">
        <f>L150+Base_Données!GJ152+Base_Données!GE152+Base_Données!GB152+Base_Données!FV152+Base_Données!FS152+Base_Données!FO152+Base_Données!FE152+Base_Données!DS152-(Base_Données!BK152+Base_Données!BH152+Base_Données!AU152)</f>
        <v>0</v>
      </c>
      <c r="Q150" s="189">
        <f>P150+Base_Données!AV152-Base_Données!FE152-Base_Données!FO152</f>
        <v>0</v>
      </c>
      <c r="R150" s="329">
        <f>SIG!Q150+Base_Données!BD152+Base_Données!BH152+Base_Données!BL152+Base_Données!BN152-Base_Données!GB152-Base_Données!GJ152-Base_Données!GF152-Base_Données!FV152</f>
        <v>0</v>
      </c>
    </row>
    <row r="151" spans="1:18" customFormat="1" x14ac:dyDescent="0.25">
      <c r="A151" s="328">
        <f>Base_Données!A153</f>
        <v>0</v>
      </c>
      <c r="B151" s="181">
        <f>Base_Données!B153</f>
        <v>0</v>
      </c>
      <c r="C151" s="158">
        <f>Base_Données!C153</f>
        <v>0</v>
      </c>
      <c r="D151" s="156">
        <f>Base_Données!Q153</f>
        <v>0</v>
      </c>
      <c r="E151" s="156">
        <f>Base_Données!BR153</f>
        <v>0</v>
      </c>
      <c r="F151" s="155">
        <f>Base_Données!R153</f>
        <v>0</v>
      </c>
      <c r="G151" s="154">
        <f>Base_Données!BS153</f>
        <v>0</v>
      </c>
      <c r="H151" s="155">
        <f>SIG!F151-SIG!G151</f>
        <v>0</v>
      </c>
      <c r="I151" s="159">
        <f>Base_Données!BI153+Base_Données!BJ153-Base_Données!GC153-Base_Données!GD153</f>
        <v>0</v>
      </c>
      <c r="J151" s="154">
        <f t="shared" si="4"/>
        <v>0</v>
      </c>
      <c r="K151" s="154">
        <f>Base_Données!BK153-Base_Données!GE153</f>
        <v>0</v>
      </c>
      <c r="L151" s="159">
        <f t="shared" si="5"/>
        <v>0</v>
      </c>
      <c r="M151" s="158">
        <f>Base_Données!S153</f>
        <v>0</v>
      </c>
      <c r="N151" s="154">
        <f>Base_Données!T153-(Base_Données!BU153+Base_Données!BZ153+Base_Données!CC153)</f>
        <v>0</v>
      </c>
      <c r="O151" s="154">
        <f>Base_Données!AC153+Base_Données!AL153-(Base_Données!CI153)</f>
        <v>0</v>
      </c>
      <c r="P151" s="154">
        <f>L151+Base_Données!GJ153+Base_Données!GE153+Base_Données!GB153+Base_Données!FV153+Base_Données!FS153+Base_Données!FO153+Base_Données!FE153+Base_Données!DS153-(Base_Données!BK153+Base_Données!BH153+Base_Données!AU153)</f>
        <v>0</v>
      </c>
      <c r="Q151" s="189">
        <f>P151+Base_Données!AV153-Base_Données!FE153-Base_Données!FO153</f>
        <v>0</v>
      </c>
      <c r="R151" s="329">
        <f>SIG!Q151+Base_Données!BD153+Base_Données!BH153+Base_Données!BL153+Base_Données!BN153-Base_Données!GB153-Base_Données!GJ153-Base_Données!GF153-Base_Données!FV153</f>
        <v>0</v>
      </c>
    </row>
    <row r="152" spans="1:18" customFormat="1" x14ac:dyDescent="0.25">
      <c r="A152" s="328">
        <f>Base_Données!A154</f>
        <v>0</v>
      </c>
      <c r="B152" s="181">
        <f>Base_Données!B154</f>
        <v>0</v>
      </c>
      <c r="C152" s="158">
        <f>Base_Données!C154</f>
        <v>0</v>
      </c>
      <c r="D152" s="156">
        <f>Base_Données!Q154</f>
        <v>0</v>
      </c>
      <c r="E152" s="156">
        <f>Base_Données!BR154</f>
        <v>0</v>
      </c>
      <c r="F152" s="155">
        <f>Base_Données!R154</f>
        <v>0</v>
      </c>
      <c r="G152" s="154">
        <f>Base_Données!BS154</f>
        <v>0</v>
      </c>
      <c r="H152" s="155">
        <f>SIG!F152-SIG!G152</f>
        <v>0</v>
      </c>
      <c r="I152" s="159">
        <f>Base_Données!BI154+Base_Données!BJ154-Base_Données!GC154-Base_Données!GD154</f>
        <v>0</v>
      </c>
      <c r="J152" s="154">
        <f t="shared" si="4"/>
        <v>0</v>
      </c>
      <c r="K152" s="154">
        <f>Base_Données!BK154-Base_Données!GE154</f>
        <v>0</v>
      </c>
      <c r="L152" s="159">
        <f t="shared" si="5"/>
        <v>0</v>
      </c>
      <c r="M152" s="158">
        <f>Base_Données!S154</f>
        <v>0</v>
      </c>
      <c r="N152" s="154">
        <f>Base_Données!T154-(Base_Données!BU154+Base_Données!BZ154+Base_Données!CC154)</f>
        <v>0</v>
      </c>
      <c r="O152" s="154">
        <f>Base_Données!AC154+Base_Données!AL154-(Base_Données!CI154)</f>
        <v>0</v>
      </c>
      <c r="P152" s="154">
        <f>L152+Base_Données!GJ154+Base_Données!GE154+Base_Données!GB154+Base_Données!FV154+Base_Données!FS154+Base_Données!FO154+Base_Données!FE154+Base_Données!DS154-(Base_Données!BK154+Base_Données!BH154+Base_Données!AU154)</f>
        <v>0</v>
      </c>
      <c r="Q152" s="189">
        <f>P152+Base_Données!AV154-Base_Données!FE154-Base_Données!FO154</f>
        <v>0</v>
      </c>
      <c r="R152" s="329">
        <f>SIG!Q152+Base_Données!BD154+Base_Données!BH154+Base_Données!BL154+Base_Données!BN154-Base_Données!GB154-Base_Données!GJ154-Base_Données!GF154-Base_Données!FV154</f>
        <v>0</v>
      </c>
    </row>
    <row r="153" spans="1:18" customFormat="1" x14ac:dyDescent="0.25">
      <c r="A153" s="328">
        <f>Base_Données!A155</f>
        <v>0</v>
      </c>
      <c r="B153" s="181">
        <f>Base_Données!B155</f>
        <v>0</v>
      </c>
      <c r="C153" s="158">
        <f>Base_Données!C155</f>
        <v>0</v>
      </c>
      <c r="D153" s="156">
        <f>Base_Données!Q155</f>
        <v>0</v>
      </c>
      <c r="E153" s="156">
        <f>Base_Données!BR155</f>
        <v>0</v>
      </c>
      <c r="F153" s="155">
        <f>Base_Données!R155</f>
        <v>0</v>
      </c>
      <c r="G153" s="154">
        <f>Base_Données!BS155</f>
        <v>0</v>
      </c>
      <c r="H153" s="155">
        <f>SIG!F153-SIG!G153</f>
        <v>0</v>
      </c>
      <c r="I153" s="159">
        <f>Base_Données!BI155+Base_Données!BJ155-Base_Données!GC155-Base_Données!GD155</f>
        <v>0</v>
      </c>
      <c r="J153" s="154">
        <f t="shared" si="4"/>
        <v>0</v>
      </c>
      <c r="K153" s="154">
        <f>Base_Données!BK155-Base_Données!GE155</f>
        <v>0</v>
      </c>
      <c r="L153" s="159">
        <f t="shared" si="5"/>
        <v>0</v>
      </c>
      <c r="M153" s="158">
        <f>Base_Données!S155</f>
        <v>0</v>
      </c>
      <c r="N153" s="154">
        <f>Base_Données!T155-(Base_Données!BU155+Base_Données!BZ155+Base_Données!CC155)</f>
        <v>0</v>
      </c>
      <c r="O153" s="154">
        <f>Base_Données!AC155+Base_Données!AL155-(Base_Données!CI155)</f>
        <v>0</v>
      </c>
      <c r="P153" s="154">
        <f>L153+Base_Données!GJ155+Base_Données!GE155+Base_Données!GB155+Base_Données!FV155+Base_Données!FS155+Base_Données!FO155+Base_Données!FE155+Base_Données!DS155-(Base_Données!BK155+Base_Données!BH155+Base_Données!AU155)</f>
        <v>0</v>
      </c>
      <c r="Q153" s="189">
        <f>P153+Base_Données!AV155-Base_Données!FE155-Base_Données!FO155</f>
        <v>0</v>
      </c>
      <c r="R153" s="329">
        <f>SIG!Q153+Base_Données!BD155+Base_Données!BH155+Base_Données!BL155+Base_Données!BN155-Base_Données!GB155-Base_Données!GJ155-Base_Données!GF155-Base_Données!FV155</f>
        <v>0</v>
      </c>
    </row>
    <row r="154" spans="1:18" customFormat="1" x14ac:dyDescent="0.25">
      <c r="A154" s="328">
        <f>Base_Données!A156</f>
        <v>0</v>
      </c>
      <c r="B154" s="181">
        <f>Base_Données!B156</f>
        <v>0</v>
      </c>
      <c r="C154" s="158">
        <f>Base_Données!C156</f>
        <v>0</v>
      </c>
      <c r="D154" s="156">
        <f>Base_Données!Q156</f>
        <v>0</v>
      </c>
      <c r="E154" s="156">
        <f>Base_Données!BR156</f>
        <v>0</v>
      </c>
      <c r="F154" s="155">
        <f>Base_Données!R156</f>
        <v>0</v>
      </c>
      <c r="G154" s="154">
        <f>Base_Données!BS156</f>
        <v>0</v>
      </c>
      <c r="H154" s="155">
        <f>SIG!F154-SIG!G154</f>
        <v>0</v>
      </c>
      <c r="I154" s="159">
        <f>Base_Données!BI156+Base_Données!BJ156-Base_Données!GC156-Base_Données!GD156</f>
        <v>0</v>
      </c>
      <c r="J154" s="154">
        <f t="shared" si="4"/>
        <v>0</v>
      </c>
      <c r="K154" s="154">
        <f>Base_Données!BK156-Base_Données!GE156</f>
        <v>0</v>
      </c>
      <c r="L154" s="159">
        <f t="shared" si="5"/>
        <v>0</v>
      </c>
      <c r="M154" s="158">
        <f>Base_Données!S156</f>
        <v>0</v>
      </c>
      <c r="N154" s="154">
        <f>Base_Données!T156-(Base_Données!BU156+Base_Données!BZ156+Base_Données!CC156)</f>
        <v>0</v>
      </c>
      <c r="O154" s="154">
        <f>Base_Données!AC156+Base_Données!AL156-(Base_Données!CI156)</f>
        <v>0</v>
      </c>
      <c r="P154" s="154">
        <f>L154+Base_Données!GJ156+Base_Données!GE156+Base_Données!GB156+Base_Données!FV156+Base_Données!FS156+Base_Données!FO156+Base_Données!FE156+Base_Données!DS156-(Base_Données!BK156+Base_Données!BH156+Base_Données!AU156)</f>
        <v>0</v>
      </c>
      <c r="Q154" s="189">
        <f>P154+Base_Données!AV156-Base_Données!FE156-Base_Données!FO156</f>
        <v>0</v>
      </c>
      <c r="R154" s="329">
        <f>SIG!Q154+Base_Données!BD156+Base_Données!BH156+Base_Données!BL156+Base_Données!BN156-Base_Données!GB156-Base_Données!GJ156-Base_Données!GF156-Base_Données!FV156</f>
        <v>0</v>
      </c>
    </row>
    <row r="155" spans="1:18" customFormat="1" x14ac:dyDescent="0.25">
      <c r="A155" s="328">
        <f>Base_Données!A157</f>
        <v>0</v>
      </c>
      <c r="B155" s="181">
        <f>Base_Données!B157</f>
        <v>0</v>
      </c>
      <c r="C155" s="158">
        <f>Base_Données!C157</f>
        <v>0</v>
      </c>
      <c r="D155" s="156">
        <f>Base_Données!Q157</f>
        <v>0</v>
      </c>
      <c r="E155" s="156">
        <f>Base_Données!BR157</f>
        <v>0</v>
      </c>
      <c r="F155" s="155">
        <f>Base_Données!R157</f>
        <v>0</v>
      </c>
      <c r="G155" s="154">
        <f>Base_Données!BS157</f>
        <v>0</v>
      </c>
      <c r="H155" s="155">
        <f>SIG!F155-SIG!G155</f>
        <v>0</v>
      </c>
      <c r="I155" s="159">
        <f>Base_Données!BI157+Base_Données!BJ157-Base_Données!GC157-Base_Données!GD157</f>
        <v>0</v>
      </c>
      <c r="J155" s="154">
        <f t="shared" si="4"/>
        <v>0</v>
      </c>
      <c r="K155" s="154">
        <f>Base_Données!BK157-Base_Données!GE157</f>
        <v>0</v>
      </c>
      <c r="L155" s="159">
        <f t="shared" si="5"/>
        <v>0</v>
      </c>
      <c r="M155" s="158">
        <f>Base_Données!S157</f>
        <v>0</v>
      </c>
      <c r="N155" s="154">
        <f>Base_Données!T157-(Base_Données!BU157+Base_Données!BZ157+Base_Données!CC157)</f>
        <v>0</v>
      </c>
      <c r="O155" s="154">
        <f>Base_Données!AC157+Base_Données!AL157-(Base_Données!CI157)</f>
        <v>0</v>
      </c>
      <c r="P155" s="154">
        <f>L155+Base_Données!GJ157+Base_Données!GE157+Base_Données!GB157+Base_Données!FV157+Base_Données!FS157+Base_Données!FO157+Base_Données!FE157+Base_Données!DS157-(Base_Données!BK157+Base_Données!BH157+Base_Données!AU157)</f>
        <v>0</v>
      </c>
      <c r="Q155" s="189">
        <f>P155+Base_Données!AV157-Base_Données!FE157-Base_Données!FO157</f>
        <v>0</v>
      </c>
      <c r="R155" s="329">
        <f>SIG!Q155+Base_Données!BD157+Base_Données!BH157+Base_Données!BL157+Base_Données!BN157-Base_Données!GB157-Base_Données!GJ157-Base_Données!GF157-Base_Données!FV157</f>
        <v>0</v>
      </c>
    </row>
    <row r="156" spans="1:18" customFormat="1" x14ac:dyDescent="0.25">
      <c r="A156" s="328">
        <f>Base_Données!A158</f>
        <v>0</v>
      </c>
      <c r="B156" s="181">
        <f>Base_Données!B158</f>
        <v>0</v>
      </c>
      <c r="C156" s="158">
        <f>Base_Données!C158</f>
        <v>0</v>
      </c>
      <c r="D156" s="156">
        <f>Base_Données!Q158</f>
        <v>0</v>
      </c>
      <c r="E156" s="156">
        <f>Base_Données!BR158</f>
        <v>0</v>
      </c>
      <c r="F156" s="155">
        <f>Base_Données!R158</f>
        <v>0</v>
      </c>
      <c r="G156" s="154">
        <f>Base_Données!BS158</f>
        <v>0</v>
      </c>
      <c r="H156" s="155">
        <f>SIG!F156-SIG!G156</f>
        <v>0</v>
      </c>
      <c r="I156" s="159">
        <f>Base_Données!BI158+Base_Données!BJ158-Base_Données!GC158-Base_Données!GD158</f>
        <v>0</v>
      </c>
      <c r="J156" s="154">
        <f t="shared" si="4"/>
        <v>0</v>
      </c>
      <c r="K156" s="154">
        <f>Base_Données!BK158-Base_Données!GE158</f>
        <v>0</v>
      </c>
      <c r="L156" s="159">
        <f t="shared" si="5"/>
        <v>0</v>
      </c>
      <c r="M156" s="158">
        <f>Base_Données!S158</f>
        <v>0</v>
      </c>
      <c r="N156" s="154">
        <f>Base_Données!T158-(Base_Données!BU158+Base_Données!BZ158+Base_Données!CC158)</f>
        <v>0</v>
      </c>
      <c r="O156" s="154">
        <f>Base_Données!AC158+Base_Données!AL158-(Base_Données!CI158)</f>
        <v>0</v>
      </c>
      <c r="P156" s="154">
        <f>L156+Base_Données!GJ158+Base_Données!GE158+Base_Données!GB158+Base_Données!FV158+Base_Données!FS158+Base_Données!FO158+Base_Données!FE158+Base_Données!DS158-(Base_Données!BK158+Base_Données!BH158+Base_Données!AU158)</f>
        <v>0</v>
      </c>
      <c r="Q156" s="189">
        <f>P156+Base_Données!AV158-Base_Données!FE158-Base_Données!FO158</f>
        <v>0</v>
      </c>
      <c r="R156" s="329">
        <f>SIG!Q156+Base_Données!BD158+Base_Données!BH158+Base_Données!BL158+Base_Données!BN158-Base_Données!GB158-Base_Données!GJ158-Base_Données!GF158-Base_Données!FV158</f>
        <v>0</v>
      </c>
    </row>
    <row r="157" spans="1:18" customFormat="1" x14ac:dyDescent="0.25">
      <c r="A157" s="328">
        <f>Base_Données!A159</f>
        <v>0</v>
      </c>
      <c r="B157" s="181">
        <f>Base_Données!B159</f>
        <v>0</v>
      </c>
      <c r="C157" s="158">
        <f>Base_Données!C159</f>
        <v>0</v>
      </c>
      <c r="D157" s="156">
        <f>Base_Données!Q159</f>
        <v>0</v>
      </c>
      <c r="E157" s="156">
        <f>Base_Données!BR159</f>
        <v>0</v>
      </c>
      <c r="F157" s="155">
        <f>Base_Données!R159</f>
        <v>0</v>
      </c>
      <c r="G157" s="154">
        <f>Base_Données!BS159</f>
        <v>0</v>
      </c>
      <c r="H157" s="155">
        <f>SIG!F157-SIG!G157</f>
        <v>0</v>
      </c>
      <c r="I157" s="159">
        <f>Base_Données!BI159+Base_Données!BJ159-Base_Données!GC159-Base_Données!GD159</f>
        <v>0</v>
      </c>
      <c r="J157" s="154">
        <f t="shared" si="4"/>
        <v>0</v>
      </c>
      <c r="K157" s="154">
        <f>Base_Données!BK159-Base_Données!GE159</f>
        <v>0</v>
      </c>
      <c r="L157" s="159">
        <f t="shared" si="5"/>
        <v>0</v>
      </c>
      <c r="M157" s="158">
        <f>Base_Données!S159</f>
        <v>0</v>
      </c>
      <c r="N157" s="154">
        <f>Base_Données!T159-(Base_Données!BU159+Base_Données!BZ159+Base_Données!CC159)</f>
        <v>0</v>
      </c>
      <c r="O157" s="154">
        <f>Base_Données!AC159+Base_Données!AL159-(Base_Données!CI159)</f>
        <v>0</v>
      </c>
      <c r="P157" s="154">
        <f>L157+Base_Données!GJ159+Base_Données!GE159+Base_Données!GB159+Base_Données!FV159+Base_Données!FS159+Base_Données!FO159+Base_Données!FE159+Base_Données!DS159-(Base_Données!BK159+Base_Données!BH159+Base_Données!AU159)</f>
        <v>0</v>
      </c>
      <c r="Q157" s="189">
        <f>P157+Base_Données!AV159-Base_Données!FE159-Base_Données!FO159</f>
        <v>0</v>
      </c>
      <c r="R157" s="329">
        <f>SIG!Q157+Base_Données!BD159+Base_Données!BH159+Base_Données!BL159+Base_Données!BN159-Base_Données!GB159-Base_Données!GJ159-Base_Données!GF159-Base_Données!FV159</f>
        <v>0</v>
      </c>
    </row>
    <row r="158" spans="1:18" customFormat="1" x14ac:dyDescent="0.25">
      <c r="A158" s="328">
        <f>Base_Données!A160</f>
        <v>0</v>
      </c>
      <c r="B158" s="181">
        <f>Base_Données!B160</f>
        <v>0</v>
      </c>
      <c r="C158" s="158">
        <f>Base_Données!C160</f>
        <v>0</v>
      </c>
      <c r="D158" s="156">
        <f>Base_Données!Q160</f>
        <v>0</v>
      </c>
      <c r="E158" s="156">
        <f>Base_Données!BR160</f>
        <v>0</v>
      </c>
      <c r="F158" s="155">
        <f>Base_Données!R160</f>
        <v>0</v>
      </c>
      <c r="G158" s="154">
        <f>Base_Données!BS160</f>
        <v>0</v>
      </c>
      <c r="H158" s="155">
        <f>SIG!F158-SIG!G158</f>
        <v>0</v>
      </c>
      <c r="I158" s="159">
        <f>Base_Données!BI160+Base_Données!BJ160-Base_Données!GC160-Base_Données!GD160</f>
        <v>0</v>
      </c>
      <c r="J158" s="154">
        <f t="shared" si="4"/>
        <v>0</v>
      </c>
      <c r="K158" s="154">
        <f>Base_Données!BK160-Base_Données!GE160</f>
        <v>0</v>
      </c>
      <c r="L158" s="159">
        <f t="shared" si="5"/>
        <v>0</v>
      </c>
      <c r="M158" s="158">
        <f>Base_Données!S160</f>
        <v>0</v>
      </c>
      <c r="N158" s="154">
        <f>Base_Données!T160-(Base_Données!BU160+Base_Données!BZ160+Base_Données!CC160)</f>
        <v>0</v>
      </c>
      <c r="O158" s="154">
        <f>Base_Données!AC160+Base_Données!AL160-(Base_Données!CI160)</f>
        <v>0</v>
      </c>
      <c r="P158" s="154">
        <f>L158+Base_Données!GJ160+Base_Données!GE160+Base_Données!GB160+Base_Données!FV160+Base_Données!FS160+Base_Données!FO160+Base_Données!FE160+Base_Données!DS160-(Base_Données!BK160+Base_Données!BH160+Base_Données!AU160)</f>
        <v>0</v>
      </c>
      <c r="Q158" s="189">
        <f>P158+Base_Données!AV160-Base_Données!FE160-Base_Données!FO160</f>
        <v>0</v>
      </c>
      <c r="R158" s="329">
        <f>SIG!Q158+Base_Données!BD160+Base_Données!BH160+Base_Données!BL160+Base_Données!BN160-Base_Données!GB160-Base_Données!GJ160-Base_Données!GF160-Base_Données!FV160</f>
        <v>0</v>
      </c>
    </row>
    <row r="159" spans="1:18" customFormat="1" x14ac:dyDescent="0.25">
      <c r="A159" s="328">
        <f>Base_Données!A161</f>
        <v>0</v>
      </c>
      <c r="B159" s="181">
        <f>Base_Données!B161</f>
        <v>0</v>
      </c>
      <c r="C159" s="158">
        <f>Base_Données!C161</f>
        <v>0</v>
      </c>
      <c r="D159" s="156">
        <f>Base_Données!Q161</f>
        <v>0</v>
      </c>
      <c r="E159" s="156">
        <f>Base_Données!BR161</f>
        <v>0</v>
      </c>
      <c r="F159" s="155">
        <f>Base_Données!R161</f>
        <v>0</v>
      </c>
      <c r="G159" s="154">
        <f>Base_Données!BS161</f>
        <v>0</v>
      </c>
      <c r="H159" s="155">
        <f>SIG!F159-SIG!G159</f>
        <v>0</v>
      </c>
      <c r="I159" s="159">
        <f>Base_Données!BI161+Base_Données!BJ161-Base_Données!GC161-Base_Données!GD161</f>
        <v>0</v>
      </c>
      <c r="J159" s="154">
        <f t="shared" si="4"/>
        <v>0</v>
      </c>
      <c r="K159" s="154">
        <f>Base_Données!BK161-Base_Données!GE161</f>
        <v>0</v>
      </c>
      <c r="L159" s="159">
        <f t="shared" si="5"/>
        <v>0</v>
      </c>
      <c r="M159" s="158">
        <f>Base_Données!S161</f>
        <v>0</v>
      </c>
      <c r="N159" s="154">
        <f>Base_Données!T161-(Base_Données!BU161+Base_Données!BZ161+Base_Données!CC161)</f>
        <v>0</v>
      </c>
      <c r="O159" s="154">
        <f>Base_Données!AC161+Base_Données!AL161-(Base_Données!CI161)</f>
        <v>0</v>
      </c>
      <c r="P159" s="154">
        <f>L159+Base_Données!GJ161+Base_Données!GE161+Base_Données!GB161+Base_Données!FV161+Base_Données!FS161+Base_Données!FO161+Base_Données!FE161+Base_Données!DS161-(Base_Données!BK161+Base_Données!BH161+Base_Données!AU161)</f>
        <v>0</v>
      </c>
      <c r="Q159" s="189">
        <f>P159+Base_Données!AV161-Base_Données!FE161-Base_Données!FO161</f>
        <v>0</v>
      </c>
      <c r="R159" s="329">
        <f>SIG!Q159+Base_Données!BD161+Base_Données!BH161+Base_Données!BL161+Base_Données!BN161-Base_Données!GB161-Base_Données!GJ161-Base_Données!GF161-Base_Données!FV161</f>
        <v>0</v>
      </c>
    </row>
    <row r="160" spans="1:18" customFormat="1" x14ac:dyDescent="0.25">
      <c r="A160" s="328">
        <f>Base_Données!A162</f>
        <v>0</v>
      </c>
      <c r="B160" s="181">
        <f>Base_Données!B162</f>
        <v>0</v>
      </c>
      <c r="C160" s="158">
        <f>Base_Données!C162</f>
        <v>0</v>
      </c>
      <c r="D160" s="156">
        <f>Base_Données!Q162</f>
        <v>0</v>
      </c>
      <c r="E160" s="156">
        <f>Base_Données!BR162</f>
        <v>0</v>
      </c>
      <c r="F160" s="155">
        <f>Base_Données!R162</f>
        <v>0</v>
      </c>
      <c r="G160" s="154">
        <f>Base_Données!BS162</f>
        <v>0</v>
      </c>
      <c r="H160" s="155">
        <f>SIG!F160-SIG!G160</f>
        <v>0</v>
      </c>
      <c r="I160" s="159">
        <f>Base_Données!BI162+Base_Données!BJ162-Base_Données!GC162-Base_Données!GD162</f>
        <v>0</v>
      </c>
      <c r="J160" s="154">
        <f t="shared" si="4"/>
        <v>0</v>
      </c>
      <c r="K160" s="154">
        <f>Base_Données!BK162-Base_Données!GE162</f>
        <v>0</v>
      </c>
      <c r="L160" s="159">
        <f t="shared" si="5"/>
        <v>0</v>
      </c>
      <c r="M160" s="158">
        <f>Base_Données!S162</f>
        <v>0</v>
      </c>
      <c r="N160" s="154">
        <f>Base_Données!T162-(Base_Données!BU162+Base_Données!BZ162+Base_Données!CC162)</f>
        <v>0</v>
      </c>
      <c r="O160" s="154">
        <f>Base_Données!AC162+Base_Données!AL162-(Base_Données!CI162)</f>
        <v>0</v>
      </c>
      <c r="P160" s="154">
        <f>L160+Base_Données!GJ162+Base_Données!GE162+Base_Données!GB162+Base_Données!FV162+Base_Données!FS162+Base_Données!FO162+Base_Données!FE162+Base_Données!DS162-(Base_Données!BK162+Base_Données!BH162+Base_Données!AU162)</f>
        <v>0</v>
      </c>
      <c r="Q160" s="189">
        <f>P160+Base_Données!AV162-Base_Données!FE162-Base_Données!FO162</f>
        <v>0</v>
      </c>
      <c r="R160" s="329">
        <f>SIG!Q160+Base_Données!BD162+Base_Données!BH162+Base_Données!BL162+Base_Données!BN162-Base_Données!GB162-Base_Données!GJ162-Base_Données!GF162-Base_Données!FV162</f>
        <v>0</v>
      </c>
    </row>
    <row r="161" spans="1:18" customFormat="1" x14ac:dyDescent="0.25">
      <c r="A161" s="328">
        <f>Base_Données!A163</f>
        <v>0</v>
      </c>
      <c r="B161" s="181">
        <f>Base_Données!B163</f>
        <v>0</v>
      </c>
      <c r="C161" s="158">
        <f>Base_Données!C163</f>
        <v>0</v>
      </c>
      <c r="D161" s="156">
        <f>Base_Données!Q163</f>
        <v>0</v>
      </c>
      <c r="E161" s="156">
        <f>Base_Données!BR163</f>
        <v>0</v>
      </c>
      <c r="F161" s="155">
        <f>Base_Données!R163</f>
        <v>0</v>
      </c>
      <c r="G161" s="154">
        <f>Base_Données!BS163</f>
        <v>0</v>
      </c>
      <c r="H161" s="155">
        <f>SIG!F161-SIG!G161</f>
        <v>0</v>
      </c>
      <c r="I161" s="159">
        <f>Base_Données!BI163+Base_Données!BJ163-Base_Données!GC163-Base_Données!GD163</f>
        <v>0</v>
      </c>
      <c r="J161" s="154">
        <f t="shared" si="4"/>
        <v>0</v>
      </c>
      <c r="K161" s="154">
        <f>Base_Données!BK163-Base_Données!GE163</f>
        <v>0</v>
      </c>
      <c r="L161" s="159">
        <f t="shared" si="5"/>
        <v>0</v>
      </c>
      <c r="M161" s="158">
        <f>Base_Données!S163</f>
        <v>0</v>
      </c>
      <c r="N161" s="154">
        <f>Base_Données!T163-(Base_Données!BU163+Base_Données!BZ163+Base_Données!CC163)</f>
        <v>0</v>
      </c>
      <c r="O161" s="154">
        <f>Base_Données!AC163+Base_Données!AL163-(Base_Données!CI163)</f>
        <v>0</v>
      </c>
      <c r="P161" s="154">
        <f>L161+Base_Données!GJ163+Base_Données!GE163+Base_Données!GB163+Base_Données!FV163+Base_Données!FS163+Base_Données!FO163+Base_Données!FE163+Base_Données!DS163-(Base_Données!BK163+Base_Données!BH163+Base_Données!AU163)</f>
        <v>0</v>
      </c>
      <c r="Q161" s="189">
        <f>P161+Base_Données!AV163-Base_Données!FE163-Base_Données!FO163</f>
        <v>0</v>
      </c>
      <c r="R161" s="329">
        <f>SIG!Q161+Base_Données!BD163+Base_Données!BH163+Base_Données!BL163+Base_Données!BN163-Base_Données!GB163-Base_Données!GJ163-Base_Données!GF163-Base_Données!FV163</f>
        <v>0</v>
      </c>
    </row>
    <row r="162" spans="1:18" customFormat="1" x14ac:dyDescent="0.25">
      <c r="A162" s="328">
        <f>Base_Données!A164</f>
        <v>0</v>
      </c>
      <c r="B162" s="181">
        <f>Base_Données!B164</f>
        <v>0</v>
      </c>
      <c r="C162" s="158">
        <f>Base_Données!C164</f>
        <v>0</v>
      </c>
      <c r="D162" s="156">
        <f>Base_Données!Q164</f>
        <v>0</v>
      </c>
      <c r="E162" s="156">
        <f>Base_Données!BR164</f>
        <v>0</v>
      </c>
      <c r="F162" s="155">
        <f>Base_Données!R164</f>
        <v>0</v>
      </c>
      <c r="G162" s="154">
        <f>Base_Données!BS164</f>
        <v>0</v>
      </c>
      <c r="H162" s="155">
        <f>SIG!F162-SIG!G162</f>
        <v>0</v>
      </c>
      <c r="I162" s="159">
        <f>Base_Données!BI164+Base_Données!BJ164-Base_Données!GC164-Base_Données!GD164</f>
        <v>0</v>
      </c>
      <c r="J162" s="154">
        <f t="shared" si="4"/>
        <v>0</v>
      </c>
      <c r="K162" s="154">
        <f>Base_Données!BK164-Base_Données!GE164</f>
        <v>0</v>
      </c>
      <c r="L162" s="159">
        <f t="shared" si="5"/>
        <v>0</v>
      </c>
      <c r="M162" s="158">
        <f>Base_Données!S164</f>
        <v>0</v>
      </c>
      <c r="N162" s="154">
        <f>Base_Données!T164-(Base_Données!BU164+Base_Données!BZ164+Base_Données!CC164)</f>
        <v>0</v>
      </c>
      <c r="O162" s="154">
        <f>Base_Données!AC164+Base_Données!AL164-(Base_Données!CI164)</f>
        <v>0</v>
      </c>
      <c r="P162" s="154">
        <f>L162+Base_Données!GJ164+Base_Données!GE164+Base_Données!GB164+Base_Données!FV164+Base_Données!FS164+Base_Données!FO164+Base_Données!FE164+Base_Données!DS164-(Base_Données!BK164+Base_Données!BH164+Base_Données!AU164)</f>
        <v>0</v>
      </c>
      <c r="Q162" s="189">
        <f>P162+Base_Données!AV164-Base_Données!FE164-Base_Données!FO164</f>
        <v>0</v>
      </c>
      <c r="R162" s="329">
        <f>SIG!Q162+Base_Données!BD164+Base_Données!BH164+Base_Données!BL164+Base_Données!BN164-Base_Données!GB164-Base_Données!GJ164-Base_Données!GF164-Base_Données!FV164</f>
        <v>0</v>
      </c>
    </row>
    <row r="163" spans="1:18" customFormat="1" x14ac:dyDescent="0.25">
      <c r="A163" s="328">
        <f>Base_Données!A165</f>
        <v>0</v>
      </c>
      <c r="B163" s="181">
        <f>Base_Données!B165</f>
        <v>0</v>
      </c>
      <c r="C163" s="158">
        <f>Base_Données!C165</f>
        <v>0</v>
      </c>
      <c r="D163" s="156">
        <f>Base_Données!Q165</f>
        <v>0</v>
      </c>
      <c r="E163" s="156">
        <f>Base_Données!BR165</f>
        <v>0</v>
      </c>
      <c r="F163" s="155">
        <f>Base_Données!R165</f>
        <v>0</v>
      </c>
      <c r="G163" s="154">
        <f>Base_Données!BS165</f>
        <v>0</v>
      </c>
      <c r="H163" s="155">
        <f>SIG!F163-SIG!G163</f>
        <v>0</v>
      </c>
      <c r="I163" s="159">
        <f>Base_Données!BI165+Base_Données!BJ165-Base_Données!GC165-Base_Données!GD165</f>
        <v>0</v>
      </c>
      <c r="J163" s="154">
        <f t="shared" si="4"/>
        <v>0</v>
      </c>
      <c r="K163" s="154">
        <f>Base_Données!BK165-Base_Données!GE165</f>
        <v>0</v>
      </c>
      <c r="L163" s="159">
        <f t="shared" si="5"/>
        <v>0</v>
      </c>
      <c r="M163" s="158">
        <f>Base_Données!S165</f>
        <v>0</v>
      </c>
      <c r="N163" s="154">
        <f>Base_Données!T165-(Base_Données!BU165+Base_Données!BZ165+Base_Données!CC165)</f>
        <v>0</v>
      </c>
      <c r="O163" s="154">
        <f>Base_Données!AC165+Base_Données!AL165-(Base_Données!CI165)</f>
        <v>0</v>
      </c>
      <c r="P163" s="154">
        <f>L163+Base_Données!GJ165+Base_Données!GE165+Base_Données!GB165+Base_Données!FV165+Base_Données!FS165+Base_Données!FO165+Base_Données!FE165+Base_Données!DS165-(Base_Données!BK165+Base_Données!BH165+Base_Données!AU165)</f>
        <v>0</v>
      </c>
      <c r="Q163" s="189">
        <f>P163+Base_Données!AV165-Base_Données!FE165-Base_Données!FO165</f>
        <v>0</v>
      </c>
      <c r="R163" s="329">
        <f>SIG!Q163+Base_Données!BD165+Base_Données!BH165+Base_Données!BL165+Base_Données!BN165-Base_Données!GB165-Base_Données!GJ165-Base_Données!GF165-Base_Données!FV165</f>
        <v>0</v>
      </c>
    </row>
    <row r="164" spans="1:18" customFormat="1" x14ac:dyDescent="0.25">
      <c r="A164" s="328">
        <f>Base_Données!A166</f>
        <v>0</v>
      </c>
      <c r="B164" s="181">
        <f>Base_Données!B166</f>
        <v>0</v>
      </c>
      <c r="C164" s="158">
        <f>Base_Données!C166</f>
        <v>0</v>
      </c>
      <c r="D164" s="156">
        <f>Base_Données!Q166</f>
        <v>0</v>
      </c>
      <c r="E164" s="156">
        <f>Base_Données!BR166</f>
        <v>0</v>
      </c>
      <c r="F164" s="155">
        <f>Base_Données!R166</f>
        <v>0</v>
      </c>
      <c r="G164" s="154">
        <f>Base_Données!BS166</f>
        <v>0</v>
      </c>
      <c r="H164" s="155">
        <f>SIG!F164-SIG!G164</f>
        <v>0</v>
      </c>
      <c r="I164" s="159">
        <f>Base_Données!BI166+Base_Données!BJ166-Base_Données!GC166-Base_Données!GD166</f>
        <v>0</v>
      </c>
      <c r="J164" s="154">
        <f t="shared" si="4"/>
        <v>0</v>
      </c>
      <c r="K164" s="154">
        <f>Base_Données!BK166-Base_Données!GE166</f>
        <v>0</v>
      </c>
      <c r="L164" s="159">
        <f t="shared" si="5"/>
        <v>0</v>
      </c>
      <c r="M164" s="158">
        <f>Base_Données!S166</f>
        <v>0</v>
      </c>
      <c r="N164" s="154">
        <f>Base_Données!T166-(Base_Données!BU166+Base_Données!BZ166+Base_Données!CC166)</f>
        <v>0</v>
      </c>
      <c r="O164" s="154">
        <f>Base_Données!AC166+Base_Données!AL166-(Base_Données!CI166)</f>
        <v>0</v>
      </c>
      <c r="P164" s="154">
        <f>L164+Base_Données!GJ166+Base_Données!GE166+Base_Données!GB166+Base_Données!FV166+Base_Données!FS166+Base_Données!FO166+Base_Données!FE166+Base_Données!DS166-(Base_Données!BK166+Base_Données!BH166+Base_Données!AU166)</f>
        <v>0</v>
      </c>
      <c r="Q164" s="189">
        <f>P164+Base_Données!AV166-Base_Données!FE166-Base_Données!FO166</f>
        <v>0</v>
      </c>
      <c r="R164" s="329">
        <f>SIG!Q164+Base_Données!BD166+Base_Données!BH166+Base_Données!BL166+Base_Données!BN166-Base_Données!GB166-Base_Données!GJ166-Base_Données!GF166-Base_Données!FV166</f>
        <v>0</v>
      </c>
    </row>
    <row r="165" spans="1:18" customFormat="1" x14ac:dyDescent="0.25">
      <c r="A165" s="328">
        <f>Base_Données!A167</f>
        <v>0</v>
      </c>
      <c r="B165" s="181">
        <f>Base_Données!B167</f>
        <v>0</v>
      </c>
      <c r="C165" s="158">
        <f>Base_Données!C167</f>
        <v>0</v>
      </c>
      <c r="D165" s="156">
        <f>Base_Données!Q167</f>
        <v>0</v>
      </c>
      <c r="E165" s="156">
        <f>Base_Données!BR167</f>
        <v>0</v>
      </c>
      <c r="F165" s="155">
        <f>Base_Données!R167</f>
        <v>0</v>
      </c>
      <c r="G165" s="154">
        <f>Base_Données!BS167</f>
        <v>0</v>
      </c>
      <c r="H165" s="155">
        <f>SIG!F165-SIG!G165</f>
        <v>0</v>
      </c>
      <c r="I165" s="159">
        <f>Base_Données!BI167+Base_Données!BJ167-Base_Données!GC167-Base_Données!GD167</f>
        <v>0</v>
      </c>
      <c r="J165" s="154">
        <f t="shared" si="4"/>
        <v>0</v>
      </c>
      <c r="K165" s="154">
        <f>Base_Données!BK167-Base_Données!GE167</f>
        <v>0</v>
      </c>
      <c r="L165" s="159">
        <f t="shared" si="5"/>
        <v>0</v>
      </c>
      <c r="M165" s="158">
        <f>Base_Données!S167</f>
        <v>0</v>
      </c>
      <c r="N165" s="154">
        <f>Base_Données!T167-(Base_Données!BU167+Base_Données!BZ167+Base_Données!CC167)</f>
        <v>0</v>
      </c>
      <c r="O165" s="154">
        <f>Base_Données!AC167+Base_Données!AL167-(Base_Données!CI167)</f>
        <v>0</v>
      </c>
      <c r="P165" s="154">
        <f>L165+Base_Données!GJ167+Base_Données!GE167+Base_Données!GB167+Base_Données!FV167+Base_Données!FS167+Base_Données!FO167+Base_Données!FE167+Base_Données!DS167-(Base_Données!BK167+Base_Données!BH167+Base_Données!AU167)</f>
        <v>0</v>
      </c>
      <c r="Q165" s="189">
        <f>P165+Base_Données!AV167-Base_Données!FE167-Base_Données!FO167</f>
        <v>0</v>
      </c>
      <c r="R165" s="329">
        <f>SIG!Q165+Base_Données!BD167+Base_Données!BH167+Base_Données!BL167+Base_Données!BN167-Base_Données!GB167-Base_Données!GJ167-Base_Données!GF167-Base_Données!FV167</f>
        <v>0</v>
      </c>
    </row>
    <row r="166" spans="1:18" customFormat="1" x14ac:dyDescent="0.25">
      <c r="A166" s="328">
        <f>Base_Données!A168</f>
        <v>0</v>
      </c>
      <c r="B166" s="181">
        <f>Base_Données!B168</f>
        <v>0</v>
      </c>
      <c r="C166" s="158">
        <f>Base_Données!C168</f>
        <v>0</v>
      </c>
      <c r="D166" s="156">
        <f>Base_Données!Q168</f>
        <v>0</v>
      </c>
      <c r="E166" s="156">
        <f>Base_Données!BR168</f>
        <v>0</v>
      </c>
      <c r="F166" s="155">
        <f>Base_Données!R168</f>
        <v>0</v>
      </c>
      <c r="G166" s="154">
        <f>Base_Données!BS168</f>
        <v>0</v>
      </c>
      <c r="H166" s="155">
        <f>SIG!F166-SIG!G166</f>
        <v>0</v>
      </c>
      <c r="I166" s="159">
        <f>Base_Données!BI168+Base_Données!BJ168-Base_Données!GC168-Base_Données!GD168</f>
        <v>0</v>
      </c>
      <c r="J166" s="154">
        <f t="shared" si="4"/>
        <v>0</v>
      </c>
      <c r="K166" s="154">
        <f>Base_Données!BK168-Base_Données!GE168</f>
        <v>0</v>
      </c>
      <c r="L166" s="159">
        <f t="shared" si="5"/>
        <v>0</v>
      </c>
      <c r="M166" s="158">
        <f>Base_Données!S168</f>
        <v>0</v>
      </c>
      <c r="N166" s="154">
        <f>Base_Données!T168-(Base_Données!BU168+Base_Données!BZ168+Base_Données!CC168)</f>
        <v>0</v>
      </c>
      <c r="O166" s="154">
        <f>Base_Données!AC168+Base_Données!AL168-(Base_Données!CI168)</f>
        <v>0</v>
      </c>
      <c r="P166" s="154">
        <f>L166+Base_Données!GJ168+Base_Données!GE168+Base_Données!GB168+Base_Données!FV168+Base_Données!FS168+Base_Données!FO168+Base_Données!FE168+Base_Données!DS168-(Base_Données!BK168+Base_Données!BH168+Base_Données!AU168)</f>
        <v>0</v>
      </c>
      <c r="Q166" s="189">
        <f>P166+Base_Données!AV168-Base_Données!FE168-Base_Données!FO168</f>
        <v>0</v>
      </c>
      <c r="R166" s="329">
        <f>SIG!Q166+Base_Données!BD168+Base_Données!BH168+Base_Données!BL168+Base_Données!BN168-Base_Données!GB168-Base_Données!GJ168-Base_Données!GF168-Base_Données!FV168</f>
        <v>0</v>
      </c>
    </row>
    <row r="167" spans="1:18" customFormat="1" x14ac:dyDescent="0.25">
      <c r="A167" s="328">
        <f>Base_Données!A169</f>
        <v>0</v>
      </c>
      <c r="B167" s="181">
        <f>Base_Données!B169</f>
        <v>0</v>
      </c>
      <c r="C167" s="158">
        <f>Base_Données!C169</f>
        <v>0</v>
      </c>
      <c r="D167" s="156">
        <f>Base_Données!Q169</f>
        <v>0</v>
      </c>
      <c r="E167" s="156">
        <f>Base_Données!BR169</f>
        <v>0</v>
      </c>
      <c r="F167" s="155">
        <f>Base_Données!R169</f>
        <v>0</v>
      </c>
      <c r="G167" s="154">
        <f>Base_Données!BS169</f>
        <v>0</v>
      </c>
      <c r="H167" s="155">
        <f>SIG!F167-SIG!G167</f>
        <v>0</v>
      </c>
      <c r="I167" s="159">
        <f>Base_Données!BI169+Base_Données!BJ169-Base_Données!GC169-Base_Données!GD169</f>
        <v>0</v>
      </c>
      <c r="J167" s="154">
        <f t="shared" si="4"/>
        <v>0</v>
      </c>
      <c r="K167" s="154">
        <f>Base_Données!BK169-Base_Données!GE169</f>
        <v>0</v>
      </c>
      <c r="L167" s="159">
        <f t="shared" si="5"/>
        <v>0</v>
      </c>
      <c r="M167" s="158">
        <f>Base_Données!S169</f>
        <v>0</v>
      </c>
      <c r="N167" s="154">
        <f>Base_Données!T169-(Base_Données!BU169+Base_Données!BZ169+Base_Données!CC169)</f>
        <v>0</v>
      </c>
      <c r="O167" s="154">
        <f>Base_Données!AC169+Base_Données!AL169-(Base_Données!CI169)</f>
        <v>0</v>
      </c>
      <c r="P167" s="154">
        <f>L167+Base_Données!GJ169+Base_Données!GE169+Base_Données!GB169+Base_Données!FV169+Base_Données!FS169+Base_Données!FO169+Base_Données!FE169+Base_Données!DS169-(Base_Données!BK169+Base_Données!BH169+Base_Données!AU169)</f>
        <v>0</v>
      </c>
      <c r="Q167" s="189">
        <f>P167+Base_Données!AV169-Base_Données!FE169-Base_Données!FO169</f>
        <v>0</v>
      </c>
      <c r="R167" s="329">
        <f>SIG!Q167+Base_Données!BD169+Base_Données!BH169+Base_Données!BL169+Base_Données!BN169-Base_Données!GB169-Base_Données!GJ169-Base_Données!GF169-Base_Données!FV169</f>
        <v>0</v>
      </c>
    </row>
    <row r="168" spans="1:18" customFormat="1" x14ac:dyDescent="0.25">
      <c r="A168" s="328">
        <f>Base_Données!A170</f>
        <v>0</v>
      </c>
      <c r="B168" s="181">
        <f>Base_Données!B170</f>
        <v>0</v>
      </c>
      <c r="C168" s="158">
        <f>Base_Données!C170</f>
        <v>0</v>
      </c>
      <c r="D168" s="156">
        <f>Base_Données!Q170</f>
        <v>0</v>
      </c>
      <c r="E168" s="156">
        <f>Base_Données!BR170</f>
        <v>0</v>
      </c>
      <c r="F168" s="155">
        <f>Base_Données!R170</f>
        <v>0</v>
      </c>
      <c r="G168" s="154">
        <f>Base_Données!BS170</f>
        <v>0</v>
      </c>
      <c r="H168" s="155">
        <f>SIG!F168-SIG!G168</f>
        <v>0</v>
      </c>
      <c r="I168" s="159">
        <f>Base_Données!BI170+Base_Données!BJ170-Base_Données!GC170-Base_Données!GD170</f>
        <v>0</v>
      </c>
      <c r="J168" s="154">
        <f t="shared" si="4"/>
        <v>0</v>
      </c>
      <c r="K168" s="154">
        <f>Base_Données!BK170-Base_Données!GE170</f>
        <v>0</v>
      </c>
      <c r="L168" s="159">
        <f t="shared" si="5"/>
        <v>0</v>
      </c>
      <c r="M168" s="158">
        <f>Base_Données!S170</f>
        <v>0</v>
      </c>
      <c r="N168" s="154">
        <f>Base_Données!T170-(Base_Données!BU170+Base_Données!BZ170+Base_Données!CC170)</f>
        <v>0</v>
      </c>
      <c r="O168" s="154">
        <f>Base_Données!AC170+Base_Données!AL170-(Base_Données!CI170)</f>
        <v>0</v>
      </c>
      <c r="P168" s="154">
        <f>L168+Base_Données!GJ170+Base_Données!GE170+Base_Données!GB170+Base_Données!FV170+Base_Données!FS170+Base_Données!FO170+Base_Données!FE170+Base_Données!DS170-(Base_Données!BK170+Base_Données!BH170+Base_Données!AU170)</f>
        <v>0</v>
      </c>
      <c r="Q168" s="189">
        <f>P168+Base_Données!AV170-Base_Données!FE170-Base_Données!FO170</f>
        <v>0</v>
      </c>
      <c r="R168" s="329">
        <f>SIG!Q168+Base_Données!BD170+Base_Données!BH170+Base_Données!BL170+Base_Données!BN170-Base_Données!GB170-Base_Données!GJ170-Base_Données!GF170-Base_Données!FV170</f>
        <v>0</v>
      </c>
    </row>
    <row r="169" spans="1:18" customFormat="1" x14ac:dyDescent="0.25">
      <c r="A169" s="328">
        <f>Base_Données!A171</f>
        <v>0</v>
      </c>
      <c r="B169" s="181">
        <f>Base_Données!B171</f>
        <v>0</v>
      </c>
      <c r="C169" s="158">
        <f>Base_Données!C171</f>
        <v>0</v>
      </c>
      <c r="D169" s="156">
        <f>Base_Données!Q171</f>
        <v>0</v>
      </c>
      <c r="E169" s="156">
        <f>Base_Données!BR171</f>
        <v>0</v>
      </c>
      <c r="F169" s="155">
        <f>Base_Données!R171</f>
        <v>0</v>
      </c>
      <c r="G169" s="154">
        <f>Base_Données!BS171</f>
        <v>0</v>
      </c>
      <c r="H169" s="155">
        <f>SIG!F169-SIG!G169</f>
        <v>0</v>
      </c>
      <c r="I169" s="159">
        <f>Base_Données!BI171+Base_Données!BJ171-Base_Données!GC171-Base_Données!GD171</f>
        <v>0</v>
      </c>
      <c r="J169" s="154">
        <f t="shared" si="4"/>
        <v>0</v>
      </c>
      <c r="K169" s="154">
        <f>Base_Données!BK171-Base_Données!GE171</f>
        <v>0</v>
      </c>
      <c r="L169" s="159">
        <f t="shared" si="5"/>
        <v>0</v>
      </c>
      <c r="M169" s="158">
        <f>Base_Données!S171</f>
        <v>0</v>
      </c>
      <c r="N169" s="154">
        <f>Base_Données!T171-(Base_Données!BU171+Base_Données!BZ171+Base_Données!CC171)</f>
        <v>0</v>
      </c>
      <c r="O169" s="154">
        <f>Base_Données!AC171+Base_Données!AL171-(Base_Données!CI171)</f>
        <v>0</v>
      </c>
      <c r="P169" s="154">
        <f>L169+Base_Données!GJ171+Base_Données!GE171+Base_Données!GB171+Base_Données!FV171+Base_Données!FS171+Base_Données!FO171+Base_Données!FE171+Base_Données!DS171-(Base_Données!BK171+Base_Données!BH171+Base_Données!AU171)</f>
        <v>0</v>
      </c>
      <c r="Q169" s="189">
        <f>P169+Base_Données!AV171-Base_Données!FE171-Base_Données!FO171</f>
        <v>0</v>
      </c>
      <c r="R169" s="329">
        <f>SIG!Q169+Base_Données!BD171+Base_Données!BH171+Base_Données!BL171+Base_Données!BN171-Base_Données!GB171-Base_Données!GJ171-Base_Données!GF171-Base_Données!FV171</f>
        <v>0</v>
      </c>
    </row>
    <row r="170" spans="1:18" customFormat="1" x14ac:dyDescent="0.25">
      <c r="A170" s="328">
        <f>Base_Données!A172</f>
        <v>0</v>
      </c>
      <c r="B170" s="181">
        <f>Base_Données!B172</f>
        <v>0</v>
      </c>
      <c r="C170" s="158">
        <f>Base_Données!C172</f>
        <v>0</v>
      </c>
      <c r="D170" s="156">
        <f>Base_Données!Q172</f>
        <v>0</v>
      </c>
      <c r="E170" s="156">
        <f>Base_Données!BR172</f>
        <v>0</v>
      </c>
      <c r="F170" s="155">
        <f>Base_Données!R172</f>
        <v>0</v>
      </c>
      <c r="G170" s="154">
        <f>Base_Données!BS172</f>
        <v>0</v>
      </c>
      <c r="H170" s="155">
        <f>SIG!F170-SIG!G170</f>
        <v>0</v>
      </c>
      <c r="I170" s="159">
        <f>Base_Données!BI172+Base_Données!BJ172-Base_Données!GC172-Base_Données!GD172</f>
        <v>0</v>
      </c>
      <c r="J170" s="154">
        <f t="shared" si="4"/>
        <v>0</v>
      </c>
      <c r="K170" s="154">
        <f>Base_Données!BK172-Base_Données!GE172</f>
        <v>0</v>
      </c>
      <c r="L170" s="159">
        <f t="shared" si="5"/>
        <v>0</v>
      </c>
      <c r="M170" s="158">
        <f>Base_Données!S172</f>
        <v>0</v>
      </c>
      <c r="N170" s="154">
        <f>Base_Données!T172-(Base_Données!BU172+Base_Données!BZ172+Base_Données!CC172)</f>
        <v>0</v>
      </c>
      <c r="O170" s="154">
        <f>Base_Données!AC172+Base_Données!AL172-(Base_Données!CI172)</f>
        <v>0</v>
      </c>
      <c r="P170" s="154">
        <f>L170+Base_Données!GJ172+Base_Données!GE172+Base_Données!GB172+Base_Données!FV172+Base_Données!FS172+Base_Données!FO172+Base_Données!FE172+Base_Données!DS172-(Base_Données!BK172+Base_Données!BH172+Base_Données!AU172)</f>
        <v>0</v>
      </c>
      <c r="Q170" s="189">
        <f>P170+Base_Données!AV172-Base_Données!FE172-Base_Données!FO172</f>
        <v>0</v>
      </c>
      <c r="R170" s="329">
        <f>SIG!Q170+Base_Données!BD172+Base_Données!BH172+Base_Données!BL172+Base_Données!BN172-Base_Données!GB172-Base_Données!GJ172-Base_Données!GF172-Base_Données!FV172</f>
        <v>0</v>
      </c>
    </row>
    <row r="171" spans="1:18" customFormat="1" x14ac:dyDescent="0.25">
      <c r="A171" s="328">
        <f>Base_Données!A173</f>
        <v>0</v>
      </c>
      <c r="B171" s="181">
        <f>Base_Données!B173</f>
        <v>0</v>
      </c>
      <c r="C171" s="158">
        <f>Base_Données!C173</f>
        <v>0</v>
      </c>
      <c r="D171" s="156">
        <f>Base_Données!Q173</f>
        <v>0</v>
      </c>
      <c r="E171" s="156">
        <f>Base_Données!BR173</f>
        <v>0</v>
      </c>
      <c r="F171" s="155">
        <f>Base_Données!R173</f>
        <v>0</v>
      </c>
      <c r="G171" s="154">
        <f>Base_Données!BS173</f>
        <v>0</v>
      </c>
      <c r="H171" s="155">
        <f>SIG!F171-SIG!G171</f>
        <v>0</v>
      </c>
      <c r="I171" s="159">
        <f>Base_Données!BI173+Base_Données!BJ173-Base_Données!GC173-Base_Données!GD173</f>
        <v>0</v>
      </c>
      <c r="J171" s="154">
        <f t="shared" si="4"/>
        <v>0</v>
      </c>
      <c r="K171" s="154">
        <f>Base_Données!BK173-Base_Données!GE173</f>
        <v>0</v>
      </c>
      <c r="L171" s="159">
        <f t="shared" si="5"/>
        <v>0</v>
      </c>
      <c r="M171" s="158">
        <f>Base_Données!S173</f>
        <v>0</v>
      </c>
      <c r="N171" s="154">
        <f>Base_Données!T173-(Base_Données!BU173+Base_Données!BZ173+Base_Données!CC173)</f>
        <v>0</v>
      </c>
      <c r="O171" s="154">
        <f>Base_Données!AC173+Base_Données!AL173-(Base_Données!CI173)</f>
        <v>0</v>
      </c>
      <c r="P171" s="154">
        <f>L171+Base_Données!GJ173+Base_Données!GE173+Base_Données!GB173+Base_Données!FV173+Base_Données!FS173+Base_Données!FO173+Base_Données!FE173+Base_Données!DS173-(Base_Données!BK173+Base_Données!BH173+Base_Données!AU173)</f>
        <v>0</v>
      </c>
      <c r="Q171" s="189">
        <f>P171+Base_Données!AV173-Base_Données!FE173-Base_Données!FO173</f>
        <v>0</v>
      </c>
      <c r="R171" s="329">
        <f>SIG!Q171+Base_Données!BD173+Base_Données!BH173+Base_Données!BL173+Base_Données!BN173-Base_Données!GB173-Base_Données!GJ173-Base_Données!GF173-Base_Données!FV173</f>
        <v>0</v>
      </c>
    </row>
    <row r="172" spans="1:18" customFormat="1" x14ac:dyDescent="0.25">
      <c r="A172" s="328">
        <f>Base_Données!A174</f>
        <v>0</v>
      </c>
      <c r="B172" s="181">
        <f>Base_Données!B174</f>
        <v>0</v>
      </c>
      <c r="C172" s="158">
        <f>Base_Données!C174</f>
        <v>0</v>
      </c>
      <c r="D172" s="156">
        <f>Base_Données!Q174</f>
        <v>0</v>
      </c>
      <c r="E172" s="156">
        <f>Base_Données!BR174</f>
        <v>0</v>
      </c>
      <c r="F172" s="155">
        <f>Base_Données!R174</f>
        <v>0</v>
      </c>
      <c r="G172" s="154">
        <f>Base_Données!BS174</f>
        <v>0</v>
      </c>
      <c r="H172" s="155">
        <f>SIG!F172-SIG!G172</f>
        <v>0</v>
      </c>
      <c r="I172" s="159">
        <f>Base_Données!BI174+Base_Données!BJ174-Base_Données!GC174-Base_Données!GD174</f>
        <v>0</v>
      </c>
      <c r="J172" s="154">
        <f t="shared" si="4"/>
        <v>0</v>
      </c>
      <c r="K172" s="154">
        <f>Base_Données!BK174-Base_Données!GE174</f>
        <v>0</v>
      </c>
      <c r="L172" s="159">
        <f t="shared" si="5"/>
        <v>0</v>
      </c>
      <c r="M172" s="158">
        <f>Base_Données!S174</f>
        <v>0</v>
      </c>
      <c r="N172" s="154">
        <f>Base_Données!T174-(Base_Données!BU174+Base_Données!BZ174+Base_Données!CC174)</f>
        <v>0</v>
      </c>
      <c r="O172" s="154">
        <f>Base_Données!AC174+Base_Données!AL174-(Base_Données!CI174)</f>
        <v>0</v>
      </c>
      <c r="P172" s="154">
        <f>L172+Base_Données!GJ174+Base_Données!GE174+Base_Données!GB174+Base_Données!FV174+Base_Données!FS174+Base_Données!FO174+Base_Données!FE174+Base_Données!DS174-(Base_Données!BK174+Base_Données!BH174+Base_Données!AU174)</f>
        <v>0</v>
      </c>
      <c r="Q172" s="189">
        <f>P172+Base_Données!AV174-Base_Données!FE174-Base_Données!FO174</f>
        <v>0</v>
      </c>
      <c r="R172" s="329">
        <f>SIG!Q172+Base_Données!BD174+Base_Données!BH174+Base_Données!BL174+Base_Données!BN174-Base_Données!GB174-Base_Données!GJ174-Base_Données!GF174-Base_Données!FV174</f>
        <v>0</v>
      </c>
    </row>
    <row r="173" spans="1:18" customFormat="1" x14ac:dyDescent="0.25">
      <c r="A173" s="328">
        <f>Base_Données!A175</f>
        <v>0</v>
      </c>
      <c r="B173" s="181">
        <f>Base_Données!B175</f>
        <v>0</v>
      </c>
      <c r="C173" s="158">
        <f>Base_Données!C175</f>
        <v>0</v>
      </c>
      <c r="D173" s="156">
        <f>Base_Données!Q175</f>
        <v>0</v>
      </c>
      <c r="E173" s="156">
        <f>Base_Données!BR175</f>
        <v>0</v>
      </c>
      <c r="F173" s="155">
        <f>Base_Données!R175</f>
        <v>0</v>
      </c>
      <c r="G173" s="154">
        <f>Base_Données!BS175</f>
        <v>0</v>
      </c>
      <c r="H173" s="155">
        <f>SIG!F173-SIG!G173</f>
        <v>0</v>
      </c>
      <c r="I173" s="159">
        <f>Base_Données!BI175+Base_Données!BJ175-Base_Données!GC175-Base_Données!GD175</f>
        <v>0</v>
      </c>
      <c r="J173" s="154">
        <f t="shared" si="4"/>
        <v>0</v>
      </c>
      <c r="K173" s="154">
        <f>Base_Données!BK175-Base_Données!GE175</f>
        <v>0</v>
      </c>
      <c r="L173" s="159">
        <f t="shared" si="5"/>
        <v>0</v>
      </c>
      <c r="M173" s="158">
        <f>Base_Données!S175</f>
        <v>0</v>
      </c>
      <c r="N173" s="154">
        <f>Base_Données!T175-(Base_Données!BU175+Base_Données!BZ175+Base_Données!CC175)</f>
        <v>0</v>
      </c>
      <c r="O173" s="154">
        <f>Base_Données!AC175+Base_Données!AL175-(Base_Données!CI175)</f>
        <v>0</v>
      </c>
      <c r="P173" s="154">
        <f>L173+Base_Données!GJ175+Base_Données!GE175+Base_Données!GB175+Base_Données!FV175+Base_Données!FS175+Base_Données!FO175+Base_Données!FE175+Base_Données!DS175-(Base_Données!BK175+Base_Données!BH175+Base_Données!AU175)</f>
        <v>0</v>
      </c>
      <c r="Q173" s="189">
        <f>P173+Base_Données!AV175-Base_Données!FE175-Base_Données!FO175</f>
        <v>0</v>
      </c>
      <c r="R173" s="329">
        <f>SIG!Q173+Base_Données!BD175+Base_Données!BH175+Base_Données!BL175+Base_Données!BN175-Base_Données!GB175-Base_Données!GJ175-Base_Données!GF175-Base_Données!FV175</f>
        <v>0</v>
      </c>
    </row>
    <row r="174" spans="1:18" customFormat="1" x14ac:dyDescent="0.25">
      <c r="A174" s="328">
        <f>Base_Données!A176</f>
        <v>0</v>
      </c>
      <c r="B174" s="181">
        <f>Base_Données!B176</f>
        <v>0</v>
      </c>
      <c r="C174" s="158">
        <f>Base_Données!C176</f>
        <v>0</v>
      </c>
      <c r="D174" s="156">
        <f>Base_Données!Q176</f>
        <v>0</v>
      </c>
      <c r="E174" s="156">
        <f>Base_Données!BR176</f>
        <v>0</v>
      </c>
      <c r="F174" s="155">
        <f>Base_Données!R176</f>
        <v>0</v>
      </c>
      <c r="G174" s="154">
        <f>Base_Données!BS176</f>
        <v>0</v>
      </c>
      <c r="H174" s="155">
        <f>SIG!F174-SIG!G174</f>
        <v>0</v>
      </c>
      <c r="I174" s="159">
        <f>Base_Données!BI176+Base_Données!BJ176-Base_Données!GC176-Base_Données!GD176</f>
        <v>0</v>
      </c>
      <c r="J174" s="154">
        <f t="shared" si="4"/>
        <v>0</v>
      </c>
      <c r="K174" s="154">
        <f>Base_Données!BK176-Base_Données!GE176</f>
        <v>0</v>
      </c>
      <c r="L174" s="159">
        <f t="shared" si="5"/>
        <v>0</v>
      </c>
      <c r="M174" s="158">
        <f>Base_Données!S176</f>
        <v>0</v>
      </c>
      <c r="N174" s="154">
        <f>Base_Données!T176-(Base_Données!BU176+Base_Données!BZ176+Base_Données!CC176)</f>
        <v>0</v>
      </c>
      <c r="O174" s="154">
        <f>Base_Données!AC176+Base_Données!AL176-(Base_Données!CI176)</f>
        <v>0</v>
      </c>
      <c r="P174" s="154">
        <f>L174+Base_Données!GJ176+Base_Données!GE176+Base_Données!GB176+Base_Données!FV176+Base_Données!FS176+Base_Données!FO176+Base_Données!FE176+Base_Données!DS176-(Base_Données!BK176+Base_Données!BH176+Base_Données!AU176)</f>
        <v>0</v>
      </c>
      <c r="Q174" s="189">
        <f>P174+Base_Données!AV176-Base_Données!FE176-Base_Données!FO176</f>
        <v>0</v>
      </c>
      <c r="R174" s="329">
        <f>SIG!Q174+Base_Données!BD176+Base_Données!BH176+Base_Données!BL176+Base_Données!BN176-Base_Données!GB176-Base_Données!GJ176-Base_Données!GF176-Base_Données!FV176</f>
        <v>0</v>
      </c>
    </row>
    <row r="175" spans="1:18" customFormat="1" x14ac:dyDescent="0.25">
      <c r="A175" s="328">
        <f>Base_Données!A177</f>
        <v>0</v>
      </c>
      <c r="B175" s="181">
        <f>Base_Données!B177</f>
        <v>0</v>
      </c>
      <c r="C175" s="158">
        <f>Base_Données!C177</f>
        <v>0</v>
      </c>
      <c r="D175" s="156">
        <f>Base_Données!Q177</f>
        <v>0</v>
      </c>
      <c r="E175" s="156">
        <f>Base_Données!BR177</f>
        <v>0</v>
      </c>
      <c r="F175" s="155">
        <f>Base_Données!R177</f>
        <v>0</v>
      </c>
      <c r="G175" s="154">
        <f>Base_Données!BS177</f>
        <v>0</v>
      </c>
      <c r="H175" s="155">
        <f>SIG!F175-SIG!G175</f>
        <v>0</v>
      </c>
      <c r="I175" s="159">
        <f>Base_Données!BI177+Base_Données!BJ177-Base_Données!GC177-Base_Données!GD177</f>
        <v>0</v>
      </c>
      <c r="J175" s="154">
        <f t="shared" si="4"/>
        <v>0</v>
      </c>
      <c r="K175" s="154">
        <f>Base_Données!BK177-Base_Données!GE177</f>
        <v>0</v>
      </c>
      <c r="L175" s="159">
        <f t="shared" si="5"/>
        <v>0</v>
      </c>
      <c r="M175" s="158">
        <f>Base_Données!S177</f>
        <v>0</v>
      </c>
      <c r="N175" s="154">
        <f>Base_Données!T177-(Base_Données!BU177+Base_Données!BZ177+Base_Données!CC177)</f>
        <v>0</v>
      </c>
      <c r="O175" s="154">
        <f>Base_Données!AC177+Base_Données!AL177-(Base_Données!CI177)</f>
        <v>0</v>
      </c>
      <c r="P175" s="154">
        <f>L175+Base_Données!GJ177+Base_Données!GE177+Base_Données!GB177+Base_Données!FV177+Base_Données!FS177+Base_Données!FO177+Base_Données!FE177+Base_Données!DS177-(Base_Données!BK177+Base_Données!BH177+Base_Données!AU177)</f>
        <v>0</v>
      </c>
      <c r="Q175" s="189">
        <f>P175+Base_Données!AV177-Base_Données!FE177-Base_Données!FO177</f>
        <v>0</v>
      </c>
      <c r="R175" s="329">
        <f>SIG!Q175+Base_Données!BD177+Base_Données!BH177+Base_Données!BL177+Base_Données!BN177-Base_Données!GB177-Base_Données!GJ177-Base_Données!GF177-Base_Données!FV177</f>
        <v>0</v>
      </c>
    </row>
    <row r="176" spans="1:18" customFormat="1" x14ac:dyDescent="0.25">
      <c r="A176" s="328">
        <f>Base_Données!A178</f>
        <v>0</v>
      </c>
      <c r="B176" s="181">
        <f>Base_Données!B178</f>
        <v>0</v>
      </c>
      <c r="C176" s="158">
        <f>Base_Données!C178</f>
        <v>0</v>
      </c>
      <c r="D176" s="156">
        <f>Base_Données!Q178</f>
        <v>0</v>
      </c>
      <c r="E176" s="156">
        <f>Base_Données!BR178</f>
        <v>0</v>
      </c>
      <c r="F176" s="155">
        <f>Base_Données!R178</f>
        <v>0</v>
      </c>
      <c r="G176" s="154">
        <f>Base_Données!BS178</f>
        <v>0</v>
      </c>
      <c r="H176" s="155">
        <f>SIG!F176-SIG!G176</f>
        <v>0</v>
      </c>
      <c r="I176" s="159">
        <f>Base_Données!BI178+Base_Données!BJ178-Base_Données!GC178-Base_Données!GD178</f>
        <v>0</v>
      </c>
      <c r="J176" s="154">
        <f t="shared" si="4"/>
        <v>0</v>
      </c>
      <c r="K176" s="154">
        <f>Base_Données!BK178-Base_Données!GE178</f>
        <v>0</v>
      </c>
      <c r="L176" s="159">
        <f t="shared" si="5"/>
        <v>0</v>
      </c>
      <c r="M176" s="158">
        <f>Base_Données!S178</f>
        <v>0</v>
      </c>
      <c r="N176" s="154">
        <f>Base_Données!T178-(Base_Données!BU178+Base_Données!BZ178+Base_Données!CC178)</f>
        <v>0</v>
      </c>
      <c r="O176" s="154">
        <f>Base_Données!AC178+Base_Données!AL178-(Base_Données!CI178)</f>
        <v>0</v>
      </c>
      <c r="P176" s="154">
        <f>L176+Base_Données!GJ178+Base_Données!GE178+Base_Données!GB178+Base_Données!FV178+Base_Données!FS178+Base_Données!FO178+Base_Données!FE178+Base_Données!DS178-(Base_Données!BK178+Base_Données!BH178+Base_Données!AU178)</f>
        <v>0</v>
      </c>
      <c r="Q176" s="189">
        <f>P176+Base_Données!AV178-Base_Données!FE178-Base_Données!FO178</f>
        <v>0</v>
      </c>
      <c r="R176" s="329">
        <f>SIG!Q176+Base_Données!BD178+Base_Données!BH178+Base_Données!BL178+Base_Données!BN178-Base_Données!GB178-Base_Données!GJ178-Base_Données!GF178-Base_Données!FV178</f>
        <v>0</v>
      </c>
    </row>
    <row r="177" spans="1:18" customFormat="1" x14ac:dyDescent="0.25">
      <c r="A177" s="328">
        <f>Base_Données!A179</f>
        <v>0</v>
      </c>
      <c r="B177" s="181">
        <f>Base_Données!B179</f>
        <v>0</v>
      </c>
      <c r="C177" s="158">
        <f>Base_Données!C179</f>
        <v>0</v>
      </c>
      <c r="D177" s="156">
        <f>Base_Données!Q179</f>
        <v>0</v>
      </c>
      <c r="E177" s="156">
        <f>Base_Données!BR179</f>
        <v>0</v>
      </c>
      <c r="F177" s="155">
        <f>Base_Données!R179</f>
        <v>0</v>
      </c>
      <c r="G177" s="154">
        <f>Base_Données!BS179</f>
        <v>0</v>
      </c>
      <c r="H177" s="155">
        <f>SIG!F177-SIG!G177</f>
        <v>0</v>
      </c>
      <c r="I177" s="159">
        <f>Base_Données!BI179+Base_Données!BJ179-Base_Données!GC179-Base_Données!GD179</f>
        <v>0</v>
      </c>
      <c r="J177" s="154">
        <f t="shared" si="4"/>
        <v>0</v>
      </c>
      <c r="K177" s="154">
        <f>Base_Données!BK179-Base_Données!GE179</f>
        <v>0</v>
      </c>
      <c r="L177" s="159">
        <f t="shared" si="5"/>
        <v>0</v>
      </c>
      <c r="M177" s="158">
        <f>Base_Données!S179</f>
        <v>0</v>
      </c>
      <c r="N177" s="154">
        <f>Base_Données!T179-(Base_Données!BU179+Base_Données!BZ179+Base_Données!CC179)</f>
        <v>0</v>
      </c>
      <c r="O177" s="154">
        <f>Base_Données!AC179+Base_Données!AL179-(Base_Données!CI179)</f>
        <v>0</v>
      </c>
      <c r="P177" s="154">
        <f>L177+Base_Données!GJ179+Base_Données!GE179+Base_Données!GB179+Base_Données!FV179+Base_Données!FS179+Base_Données!FO179+Base_Données!FE179+Base_Données!DS179-(Base_Données!BK179+Base_Données!BH179+Base_Données!AU179)</f>
        <v>0</v>
      </c>
      <c r="Q177" s="189">
        <f>P177+Base_Données!AV179-Base_Données!FE179-Base_Données!FO179</f>
        <v>0</v>
      </c>
      <c r="R177" s="329">
        <f>SIG!Q177+Base_Données!BD179+Base_Données!BH179+Base_Données!BL179+Base_Données!BN179-Base_Données!GB179-Base_Données!GJ179-Base_Données!GF179-Base_Données!FV179</f>
        <v>0</v>
      </c>
    </row>
    <row r="178" spans="1:18" customFormat="1" x14ac:dyDescent="0.25">
      <c r="A178" s="328">
        <f>Base_Données!A180</f>
        <v>0</v>
      </c>
      <c r="B178" s="181">
        <f>Base_Données!B180</f>
        <v>0</v>
      </c>
      <c r="C178" s="158">
        <f>Base_Données!C180</f>
        <v>0</v>
      </c>
      <c r="D178" s="156">
        <f>Base_Données!Q180</f>
        <v>0</v>
      </c>
      <c r="E178" s="156">
        <f>Base_Données!BR180</f>
        <v>0</v>
      </c>
      <c r="F178" s="155">
        <f>Base_Données!R180</f>
        <v>0</v>
      </c>
      <c r="G178" s="154">
        <f>Base_Données!BS180</f>
        <v>0</v>
      </c>
      <c r="H178" s="155">
        <f>SIG!F178-SIG!G178</f>
        <v>0</v>
      </c>
      <c r="I178" s="159">
        <f>Base_Données!BI180+Base_Données!BJ180-Base_Données!GC180-Base_Données!GD180</f>
        <v>0</v>
      </c>
      <c r="J178" s="154">
        <f t="shared" si="4"/>
        <v>0</v>
      </c>
      <c r="K178" s="154">
        <f>Base_Données!BK180-Base_Données!GE180</f>
        <v>0</v>
      </c>
      <c r="L178" s="159">
        <f t="shared" si="5"/>
        <v>0</v>
      </c>
      <c r="M178" s="158">
        <f>Base_Données!S180</f>
        <v>0</v>
      </c>
      <c r="N178" s="154">
        <f>Base_Données!T180-(Base_Données!BU180+Base_Données!BZ180+Base_Données!CC180)</f>
        <v>0</v>
      </c>
      <c r="O178" s="154">
        <f>Base_Données!AC180+Base_Données!AL180-(Base_Données!CI180)</f>
        <v>0</v>
      </c>
      <c r="P178" s="154">
        <f>L178+Base_Données!GJ180+Base_Données!GE180+Base_Données!GB180+Base_Données!FV180+Base_Données!FS180+Base_Données!FO180+Base_Données!FE180+Base_Données!DS180-(Base_Données!BK180+Base_Données!BH180+Base_Données!AU180)</f>
        <v>0</v>
      </c>
      <c r="Q178" s="189">
        <f>P178+Base_Données!AV180-Base_Données!FE180-Base_Données!FO180</f>
        <v>0</v>
      </c>
      <c r="R178" s="329">
        <f>SIG!Q178+Base_Données!BD180+Base_Données!BH180+Base_Données!BL180+Base_Données!BN180-Base_Données!GB180-Base_Données!GJ180-Base_Données!GF180-Base_Données!FV180</f>
        <v>0</v>
      </c>
    </row>
    <row r="179" spans="1:18" customFormat="1" x14ac:dyDescent="0.25">
      <c r="A179" s="328">
        <f>Base_Données!A181</f>
        <v>0</v>
      </c>
      <c r="B179" s="181">
        <f>Base_Données!B181</f>
        <v>0</v>
      </c>
      <c r="C179" s="158">
        <f>Base_Données!C181</f>
        <v>0</v>
      </c>
      <c r="D179" s="156">
        <f>Base_Données!Q181</f>
        <v>0</v>
      </c>
      <c r="E179" s="156">
        <f>Base_Données!BR181</f>
        <v>0</v>
      </c>
      <c r="F179" s="155">
        <f>Base_Données!R181</f>
        <v>0</v>
      </c>
      <c r="G179" s="154">
        <f>Base_Données!BS181</f>
        <v>0</v>
      </c>
      <c r="H179" s="155">
        <f>SIG!F179-SIG!G179</f>
        <v>0</v>
      </c>
      <c r="I179" s="159">
        <f>Base_Données!BI181+Base_Données!BJ181-Base_Données!GC181-Base_Données!GD181</f>
        <v>0</v>
      </c>
      <c r="J179" s="154">
        <f t="shared" si="4"/>
        <v>0</v>
      </c>
      <c r="K179" s="154">
        <f>Base_Données!BK181-Base_Données!GE181</f>
        <v>0</v>
      </c>
      <c r="L179" s="159">
        <f t="shared" si="5"/>
        <v>0</v>
      </c>
      <c r="M179" s="158">
        <f>Base_Données!S181</f>
        <v>0</v>
      </c>
      <c r="N179" s="154">
        <f>Base_Données!T181-(Base_Données!BU181+Base_Données!BZ181+Base_Données!CC181)</f>
        <v>0</v>
      </c>
      <c r="O179" s="154">
        <f>Base_Données!AC181+Base_Données!AL181-(Base_Données!CI181)</f>
        <v>0</v>
      </c>
      <c r="P179" s="154">
        <f>L179+Base_Données!GJ181+Base_Données!GE181+Base_Données!GB181+Base_Données!FV181+Base_Données!FS181+Base_Données!FO181+Base_Données!FE181+Base_Données!DS181-(Base_Données!BK181+Base_Données!BH181+Base_Données!AU181)</f>
        <v>0</v>
      </c>
      <c r="Q179" s="189">
        <f>P179+Base_Données!AV181-Base_Données!FE181-Base_Données!FO181</f>
        <v>0</v>
      </c>
      <c r="R179" s="329">
        <f>SIG!Q179+Base_Données!BD181+Base_Données!BH181+Base_Données!BL181+Base_Données!BN181-Base_Données!GB181-Base_Données!GJ181-Base_Données!GF181-Base_Données!FV181</f>
        <v>0</v>
      </c>
    </row>
    <row r="180" spans="1:18" customFormat="1" x14ac:dyDescent="0.25">
      <c r="A180" s="328">
        <f>Base_Données!A182</f>
        <v>0</v>
      </c>
      <c r="B180" s="181">
        <f>Base_Données!B182</f>
        <v>0</v>
      </c>
      <c r="C180" s="158">
        <f>Base_Données!C182</f>
        <v>0</v>
      </c>
      <c r="D180" s="156">
        <f>Base_Données!Q182</f>
        <v>0</v>
      </c>
      <c r="E180" s="156">
        <f>Base_Données!BR182</f>
        <v>0</v>
      </c>
      <c r="F180" s="155">
        <f>Base_Données!R182</f>
        <v>0</v>
      </c>
      <c r="G180" s="154">
        <f>Base_Données!BS182</f>
        <v>0</v>
      </c>
      <c r="H180" s="155">
        <f>SIG!F180-SIG!G180</f>
        <v>0</v>
      </c>
      <c r="I180" s="159">
        <f>Base_Données!BI182+Base_Données!BJ182-Base_Données!GC182-Base_Données!GD182</f>
        <v>0</v>
      </c>
      <c r="J180" s="154">
        <f t="shared" si="4"/>
        <v>0</v>
      </c>
      <c r="K180" s="154">
        <f>Base_Données!BK182-Base_Données!GE182</f>
        <v>0</v>
      </c>
      <c r="L180" s="159">
        <f t="shared" si="5"/>
        <v>0</v>
      </c>
      <c r="M180" s="158">
        <f>Base_Données!S182</f>
        <v>0</v>
      </c>
      <c r="N180" s="154">
        <f>Base_Données!T182-(Base_Données!BU182+Base_Données!BZ182+Base_Données!CC182)</f>
        <v>0</v>
      </c>
      <c r="O180" s="154">
        <f>Base_Données!AC182+Base_Données!AL182-(Base_Données!CI182)</f>
        <v>0</v>
      </c>
      <c r="P180" s="154">
        <f>L180+Base_Données!GJ182+Base_Données!GE182+Base_Données!GB182+Base_Données!FV182+Base_Données!FS182+Base_Données!FO182+Base_Données!FE182+Base_Données!DS182-(Base_Données!BK182+Base_Données!BH182+Base_Données!AU182)</f>
        <v>0</v>
      </c>
      <c r="Q180" s="189">
        <f>P180+Base_Données!AV182-Base_Données!FE182-Base_Données!FO182</f>
        <v>0</v>
      </c>
      <c r="R180" s="329">
        <f>SIG!Q180+Base_Données!BD182+Base_Données!BH182+Base_Données!BL182+Base_Données!BN182-Base_Données!GB182-Base_Données!GJ182-Base_Données!GF182-Base_Données!FV182</f>
        <v>0</v>
      </c>
    </row>
    <row r="181" spans="1:18" customFormat="1" x14ac:dyDescent="0.25">
      <c r="A181" s="328">
        <f>Base_Données!A183</f>
        <v>0</v>
      </c>
      <c r="B181" s="181">
        <f>Base_Données!B183</f>
        <v>0</v>
      </c>
      <c r="C181" s="158">
        <f>Base_Données!C183</f>
        <v>0</v>
      </c>
      <c r="D181" s="156">
        <f>Base_Données!Q183</f>
        <v>0</v>
      </c>
      <c r="E181" s="156">
        <f>Base_Données!BR183</f>
        <v>0</v>
      </c>
      <c r="F181" s="155">
        <f>Base_Données!R183</f>
        <v>0</v>
      </c>
      <c r="G181" s="154">
        <f>Base_Données!BS183</f>
        <v>0</v>
      </c>
      <c r="H181" s="155">
        <f>SIG!F181-SIG!G181</f>
        <v>0</v>
      </c>
      <c r="I181" s="159">
        <f>Base_Données!BI183+Base_Données!BJ183-Base_Données!GC183-Base_Données!GD183</f>
        <v>0</v>
      </c>
      <c r="J181" s="154">
        <f t="shared" si="4"/>
        <v>0</v>
      </c>
      <c r="K181" s="154">
        <f>Base_Données!BK183-Base_Données!GE183</f>
        <v>0</v>
      </c>
      <c r="L181" s="159">
        <f t="shared" si="5"/>
        <v>0</v>
      </c>
      <c r="M181" s="158">
        <f>Base_Données!S183</f>
        <v>0</v>
      </c>
      <c r="N181" s="154">
        <f>Base_Données!T183-(Base_Données!BU183+Base_Données!BZ183+Base_Données!CC183)</f>
        <v>0</v>
      </c>
      <c r="O181" s="154">
        <f>Base_Données!AC183+Base_Données!AL183-(Base_Données!CI183)</f>
        <v>0</v>
      </c>
      <c r="P181" s="154">
        <f>L181+Base_Données!GJ183+Base_Données!GE183+Base_Données!GB183+Base_Données!FV183+Base_Données!FS183+Base_Données!FO183+Base_Données!FE183+Base_Données!DS183-(Base_Données!BK183+Base_Données!BH183+Base_Données!AU183)</f>
        <v>0</v>
      </c>
      <c r="Q181" s="189">
        <f>P181+Base_Données!AV183-Base_Données!FE183-Base_Données!FO183</f>
        <v>0</v>
      </c>
      <c r="R181" s="329">
        <f>SIG!Q181+Base_Données!BD183+Base_Données!BH183+Base_Données!BL183+Base_Données!BN183-Base_Données!GB183-Base_Données!GJ183-Base_Données!GF183-Base_Données!FV183</f>
        <v>0</v>
      </c>
    </row>
    <row r="182" spans="1:18" customFormat="1" x14ac:dyDescent="0.25">
      <c r="A182" s="328">
        <f>Base_Données!A184</f>
        <v>0</v>
      </c>
      <c r="B182" s="181">
        <f>Base_Données!B184</f>
        <v>0</v>
      </c>
      <c r="C182" s="158">
        <f>Base_Données!C184</f>
        <v>0</v>
      </c>
      <c r="D182" s="156">
        <f>Base_Données!Q184</f>
        <v>0</v>
      </c>
      <c r="E182" s="156">
        <f>Base_Données!BR184</f>
        <v>0</v>
      </c>
      <c r="F182" s="155">
        <f>Base_Données!R184</f>
        <v>0</v>
      </c>
      <c r="G182" s="154">
        <f>Base_Données!BS184</f>
        <v>0</v>
      </c>
      <c r="H182" s="155">
        <f>SIG!F182-SIG!G182</f>
        <v>0</v>
      </c>
      <c r="I182" s="159">
        <f>Base_Données!BI184+Base_Données!BJ184-Base_Données!GC184-Base_Données!GD184</f>
        <v>0</v>
      </c>
      <c r="J182" s="154">
        <f t="shared" si="4"/>
        <v>0</v>
      </c>
      <c r="K182" s="154">
        <f>Base_Données!BK184-Base_Données!GE184</f>
        <v>0</v>
      </c>
      <c r="L182" s="159">
        <f t="shared" si="5"/>
        <v>0</v>
      </c>
      <c r="M182" s="158">
        <f>Base_Données!S184</f>
        <v>0</v>
      </c>
      <c r="N182" s="154">
        <f>Base_Données!T184-(Base_Données!BU184+Base_Données!BZ184+Base_Données!CC184)</f>
        <v>0</v>
      </c>
      <c r="O182" s="154">
        <f>Base_Données!AC184+Base_Données!AL184-(Base_Données!CI184)</f>
        <v>0</v>
      </c>
      <c r="P182" s="154">
        <f>L182+Base_Données!GJ184+Base_Données!GE184+Base_Données!GB184+Base_Données!FV184+Base_Données!FS184+Base_Données!FO184+Base_Données!FE184+Base_Données!DS184-(Base_Données!BK184+Base_Données!BH184+Base_Données!AU184)</f>
        <v>0</v>
      </c>
      <c r="Q182" s="189">
        <f>P182+Base_Données!AV184-Base_Données!FE184-Base_Données!FO184</f>
        <v>0</v>
      </c>
      <c r="R182" s="329">
        <f>SIG!Q182+Base_Données!BD184+Base_Données!BH184+Base_Données!BL184+Base_Données!BN184-Base_Données!GB184-Base_Données!GJ184-Base_Données!GF184-Base_Données!FV184</f>
        <v>0</v>
      </c>
    </row>
    <row r="183" spans="1:18" customFormat="1" x14ac:dyDescent="0.25">
      <c r="A183" s="328">
        <f>Base_Données!A185</f>
        <v>0</v>
      </c>
      <c r="B183" s="181">
        <f>Base_Données!B185</f>
        <v>0</v>
      </c>
      <c r="C183" s="158">
        <f>Base_Données!C185</f>
        <v>0</v>
      </c>
      <c r="D183" s="156">
        <f>Base_Données!Q185</f>
        <v>0</v>
      </c>
      <c r="E183" s="156">
        <f>Base_Données!BR185</f>
        <v>0</v>
      </c>
      <c r="F183" s="155">
        <f>Base_Données!R185</f>
        <v>0</v>
      </c>
      <c r="G183" s="154">
        <f>Base_Données!BS185</f>
        <v>0</v>
      </c>
      <c r="H183" s="155">
        <f>SIG!F183-SIG!G183</f>
        <v>0</v>
      </c>
      <c r="I183" s="159">
        <f>Base_Données!BI185+Base_Données!BJ185-Base_Données!GC185-Base_Données!GD185</f>
        <v>0</v>
      </c>
      <c r="J183" s="154">
        <f t="shared" si="4"/>
        <v>0</v>
      </c>
      <c r="K183" s="154">
        <f>Base_Données!BK185-Base_Données!GE185</f>
        <v>0</v>
      </c>
      <c r="L183" s="159">
        <f t="shared" si="5"/>
        <v>0</v>
      </c>
      <c r="M183" s="158">
        <f>Base_Données!S185</f>
        <v>0</v>
      </c>
      <c r="N183" s="154">
        <f>Base_Données!T185-(Base_Données!BU185+Base_Données!BZ185+Base_Données!CC185)</f>
        <v>0</v>
      </c>
      <c r="O183" s="154">
        <f>Base_Données!AC185+Base_Données!AL185-(Base_Données!CI185)</f>
        <v>0</v>
      </c>
      <c r="P183" s="154">
        <f>L183+Base_Données!GJ185+Base_Données!GE185+Base_Données!GB185+Base_Données!FV185+Base_Données!FS185+Base_Données!FO185+Base_Données!FE185+Base_Données!DS185-(Base_Données!BK185+Base_Données!BH185+Base_Données!AU185)</f>
        <v>0</v>
      </c>
      <c r="Q183" s="189">
        <f>P183+Base_Données!AV185-Base_Données!FE185-Base_Données!FO185</f>
        <v>0</v>
      </c>
      <c r="R183" s="329">
        <f>SIG!Q183+Base_Données!BD185+Base_Données!BH185+Base_Données!BL185+Base_Données!BN185-Base_Données!GB185-Base_Données!GJ185-Base_Données!GF185-Base_Données!FV185</f>
        <v>0</v>
      </c>
    </row>
    <row r="184" spans="1:18" customFormat="1" x14ac:dyDescent="0.25">
      <c r="A184" s="328">
        <f>Base_Données!A186</f>
        <v>0</v>
      </c>
      <c r="B184" s="181">
        <f>Base_Données!B186</f>
        <v>0</v>
      </c>
      <c r="C184" s="158">
        <f>Base_Données!C186</f>
        <v>0</v>
      </c>
      <c r="D184" s="156">
        <f>Base_Données!Q186</f>
        <v>0</v>
      </c>
      <c r="E184" s="156">
        <f>Base_Données!BR186</f>
        <v>0</v>
      </c>
      <c r="F184" s="155">
        <f>Base_Données!R186</f>
        <v>0</v>
      </c>
      <c r="G184" s="154">
        <f>Base_Données!BS186</f>
        <v>0</v>
      </c>
      <c r="H184" s="155">
        <f>SIG!F184-SIG!G184</f>
        <v>0</v>
      </c>
      <c r="I184" s="159">
        <f>Base_Données!BI186+Base_Données!BJ186-Base_Données!GC186-Base_Données!GD186</f>
        <v>0</v>
      </c>
      <c r="J184" s="154">
        <f t="shared" si="4"/>
        <v>0</v>
      </c>
      <c r="K184" s="154">
        <f>Base_Données!BK186-Base_Données!GE186</f>
        <v>0</v>
      </c>
      <c r="L184" s="159">
        <f t="shared" si="5"/>
        <v>0</v>
      </c>
      <c r="M184" s="158">
        <f>Base_Données!S186</f>
        <v>0</v>
      </c>
      <c r="N184" s="154">
        <f>Base_Données!T186-(Base_Données!BU186+Base_Données!BZ186+Base_Données!CC186)</f>
        <v>0</v>
      </c>
      <c r="O184" s="154">
        <f>Base_Données!AC186+Base_Données!AL186-(Base_Données!CI186)</f>
        <v>0</v>
      </c>
      <c r="P184" s="154">
        <f>L184+Base_Données!GJ186+Base_Données!GE186+Base_Données!GB186+Base_Données!FV186+Base_Données!FS186+Base_Données!FO186+Base_Données!FE186+Base_Données!DS186-(Base_Données!BK186+Base_Données!BH186+Base_Données!AU186)</f>
        <v>0</v>
      </c>
      <c r="Q184" s="189">
        <f>P184+Base_Données!AV186-Base_Données!FE186-Base_Données!FO186</f>
        <v>0</v>
      </c>
      <c r="R184" s="329">
        <f>SIG!Q184+Base_Données!BD186+Base_Données!BH186+Base_Données!BL186+Base_Données!BN186-Base_Données!GB186-Base_Données!GJ186-Base_Données!GF186-Base_Données!FV186</f>
        <v>0</v>
      </c>
    </row>
    <row r="185" spans="1:18" customFormat="1" x14ac:dyDescent="0.25">
      <c r="A185" s="328">
        <f>Base_Données!A187</f>
        <v>0</v>
      </c>
      <c r="B185" s="181">
        <f>Base_Données!B187</f>
        <v>0</v>
      </c>
      <c r="C185" s="158">
        <f>Base_Données!C187</f>
        <v>0</v>
      </c>
      <c r="D185" s="156">
        <f>Base_Données!Q187</f>
        <v>0</v>
      </c>
      <c r="E185" s="156">
        <f>Base_Données!BR187</f>
        <v>0</v>
      </c>
      <c r="F185" s="155">
        <f>Base_Données!R187</f>
        <v>0</v>
      </c>
      <c r="G185" s="154">
        <f>Base_Données!BS187</f>
        <v>0</v>
      </c>
      <c r="H185" s="155">
        <f>SIG!F185-SIG!G185</f>
        <v>0</v>
      </c>
      <c r="I185" s="159">
        <f>Base_Données!BI187+Base_Données!BJ187-Base_Données!GC187-Base_Données!GD187</f>
        <v>0</v>
      </c>
      <c r="J185" s="154">
        <f t="shared" si="4"/>
        <v>0</v>
      </c>
      <c r="K185" s="154">
        <f>Base_Données!BK187-Base_Données!GE187</f>
        <v>0</v>
      </c>
      <c r="L185" s="159">
        <f t="shared" si="5"/>
        <v>0</v>
      </c>
      <c r="M185" s="158">
        <f>Base_Données!S187</f>
        <v>0</v>
      </c>
      <c r="N185" s="154">
        <f>Base_Données!T187-(Base_Données!BU187+Base_Données!BZ187+Base_Données!CC187)</f>
        <v>0</v>
      </c>
      <c r="O185" s="154">
        <f>Base_Données!AC187+Base_Données!AL187-(Base_Données!CI187)</f>
        <v>0</v>
      </c>
      <c r="P185" s="154">
        <f>L185+Base_Données!GJ187+Base_Données!GE187+Base_Données!GB187+Base_Données!FV187+Base_Données!FS187+Base_Données!FO187+Base_Données!FE187+Base_Données!DS187-(Base_Données!BK187+Base_Données!BH187+Base_Données!AU187)</f>
        <v>0</v>
      </c>
      <c r="Q185" s="189">
        <f>P185+Base_Données!AV187-Base_Données!FE187-Base_Données!FO187</f>
        <v>0</v>
      </c>
      <c r="R185" s="329">
        <f>SIG!Q185+Base_Données!BD187+Base_Données!BH187+Base_Données!BL187+Base_Données!BN187-Base_Données!GB187-Base_Données!GJ187-Base_Données!GF187-Base_Données!FV187</f>
        <v>0</v>
      </c>
    </row>
    <row r="186" spans="1:18" customFormat="1" x14ac:dyDescent="0.25">
      <c r="A186" s="328">
        <f>Base_Données!A188</f>
        <v>0</v>
      </c>
      <c r="B186" s="181">
        <f>Base_Données!B188</f>
        <v>0</v>
      </c>
      <c r="C186" s="158">
        <f>Base_Données!C188</f>
        <v>0</v>
      </c>
      <c r="D186" s="156">
        <f>Base_Données!Q188</f>
        <v>0</v>
      </c>
      <c r="E186" s="156">
        <f>Base_Données!BR188</f>
        <v>0</v>
      </c>
      <c r="F186" s="155">
        <f>Base_Données!R188</f>
        <v>0</v>
      </c>
      <c r="G186" s="154">
        <f>Base_Données!BS188</f>
        <v>0</v>
      </c>
      <c r="H186" s="155">
        <f>SIG!F186-SIG!G186</f>
        <v>0</v>
      </c>
      <c r="I186" s="159">
        <f>Base_Données!BI188+Base_Données!BJ188-Base_Données!GC188-Base_Données!GD188</f>
        <v>0</v>
      </c>
      <c r="J186" s="154">
        <f t="shared" si="4"/>
        <v>0</v>
      </c>
      <c r="K186" s="154">
        <f>Base_Données!BK188-Base_Données!GE188</f>
        <v>0</v>
      </c>
      <c r="L186" s="159">
        <f t="shared" si="5"/>
        <v>0</v>
      </c>
      <c r="M186" s="158">
        <f>Base_Données!S188</f>
        <v>0</v>
      </c>
      <c r="N186" s="154">
        <f>Base_Données!T188-(Base_Données!BU188+Base_Données!BZ188+Base_Données!CC188)</f>
        <v>0</v>
      </c>
      <c r="O186" s="154">
        <f>Base_Données!AC188+Base_Données!AL188-(Base_Données!CI188)</f>
        <v>0</v>
      </c>
      <c r="P186" s="154">
        <f>L186+Base_Données!GJ188+Base_Données!GE188+Base_Données!GB188+Base_Données!FV188+Base_Données!FS188+Base_Données!FO188+Base_Données!FE188+Base_Données!DS188-(Base_Données!BK188+Base_Données!BH188+Base_Données!AU188)</f>
        <v>0</v>
      </c>
      <c r="Q186" s="189">
        <f>P186+Base_Données!AV188-Base_Données!FE188-Base_Données!FO188</f>
        <v>0</v>
      </c>
      <c r="R186" s="329">
        <f>SIG!Q186+Base_Données!BD188+Base_Données!BH188+Base_Données!BL188+Base_Données!BN188-Base_Données!GB188-Base_Données!GJ188-Base_Données!GF188-Base_Données!FV188</f>
        <v>0</v>
      </c>
    </row>
    <row r="187" spans="1:18" customFormat="1" x14ac:dyDescent="0.25">
      <c r="A187" s="328">
        <f>Base_Données!A189</f>
        <v>0</v>
      </c>
      <c r="B187" s="181">
        <f>Base_Données!B189</f>
        <v>0</v>
      </c>
      <c r="C187" s="158">
        <f>Base_Données!C189</f>
        <v>0</v>
      </c>
      <c r="D187" s="156">
        <f>Base_Données!Q189</f>
        <v>0</v>
      </c>
      <c r="E187" s="156">
        <f>Base_Données!BR189</f>
        <v>0</v>
      </c>
      <c r="F187" s="155">
        <f>Base_Données!R189</f>
        <v>0</v>
      </c>
      <c r="G187" s="154">
        <f>Base_Données!BS189</f>
        <v>0</v>
      </c>
      <c r="H187" s="155">
        <f>SIG!F187-SIG!G187</f>
        <v>0</v>
      </c>
      <c r="I187" s="159">
        <f>Base_Données!BI189+Base_Données!BJ189-Base_Données!GC189-Base_Données!GD189</f>
        <v>0</v>
      </c>
      <c r="J187" s="154">
        <f t="shared" si="4"/>
        <v>0</v>
      </c>
      <c r="K187" s="154">
        <f>Base_Données!BK189-Base_Données!GE189</f>
        <v>0</v>
      </c>
      <c r="L187" s="159">
        <f t="shared" si="5"/>
        <v>0</v>
      </c>
      <c r="M187" s="158">
        <f>Base_Données!S189</f>
        <v>0</v>
      </c>
      <c r="N187" s="154">
        <f>Base_Données!T189-(Base_Données!BU189+Base_Données!BZ189+Base_Données!CC189)</f>
        <v>0</v>
      </c>
      <c r="O187" s="154">
        <f>Base_Données!AC189+Base_Données!AL189-(Base_Données!CI189)</f>
        <v>0</v>
      </c>
      <c r="P187" s="154">
        <f>L187+Base_Données!GJ189+Base_Données!GE189+Base_Données!GB189+Base_Données!FV189+Base_Données!FS189+Base_Données!FO189+Base_Données!FE189+Base_Données!DS189-(Base_Données!BK189+Base_Données!BH189+Base_Données!AU189)</f>
        <v>0</v>
      </c>
      <c r="Q187" s="189">
        <f>P187+Base_Données!AV189-Base_Données!FE189-Base_Données!FO189</f>
        <v>0</v>
      </c>
      <c r="R187" s="329">
        <f>SIG!Q187+Base_Données!BD189+Base_Données!BH189+Base_Données!BL189+Base_Données!BN189-Base_Données!GB189-Base_Données!GJ189-Base_Données!GF189-Base_Données!FV189</f>
        <v>0</v>
      </c>
    </row>
    <row r="188" spans="1:18" customFormat="1" x14ac:dyDescent="0.25">
      <c r="A188" s="328">
        <f>Base_Données!A190</f>
        <v>0</v>
      </c>
      <c r="B188" s="181">
        <f>Base_Données!B190</f>
        <v>0</v>
      </c>
      <c r="C188" s="158">
        <f>Base_Données!C190</f>
        <v>0</v>
      </c>
      <c r="D188" s="156">
        <f>Base_Données!Q190</f>
        <v>0</v>
      </c>
      <c r="E188" s="156">
        <f>Base_Données!BR190</f>
        <v>0</v>
      </c>
      <c r="F188" s="155">
        <f>Base_Données!R190</f>
        <v>0</v>
      </c>
      <c r="G188" s="154">
        <f>Base_Données!BS190</f>
        <v>0</v>
      </c>
      <c r="H188" s="155">
        <f>SIG!F188-SIG!G188</f>
        <v>0</v>
      </c>
      <c r="I188" s="159">
        <f>Base_Données!BI190+Base_Données!BJ190-Base_Données!GC190-Base_Données!GD190</f>
        <v>0</v>
      </c>
      <c r="J188" s="154">
        <f t="shared" si="4"/>
        <v>0</v>
      </c>
      <c r="K188" s="154">
        <f>Base_Données!BK190-Base_Données!GE190</f>
        <v>0</v>
      </c>
      <c r="L188" s="159">
        <f t="shared" si="5"/>
        <v>0</v>
      </c>
      <c r="M188" s="158">
        <f>Base_Données!S190</f>
        <v>0</v>
      </c>
      <c r="N188" s="154">
        <f>Base_Données!T190-(Base_Données!BU190+Base_Données!BZ190+Base_Données!CC190)</f>
        <v>0</v>
      </c>
      <c r="O188" s="154">
        <f>Base_Données!AC190+Base_Données!AL190-(Base_Données!CI190)</f>
        <v>0</v>
      </c>
      <c r="P188" s="154">
        <f>L188+Base_Données!GJ190+Base_Données!GE190+Base_Données!GB190+Base_Données!FV190+Base_Données!FS190+Base_Données!FO190+Base_Données!FE190+Base_Données!DS190-(Base_Données!BK190+Base_Données!BH190+Base_Données!AU190)</f>
        <v>0</v>
      </c>
      <c r="Q188" s="189">
        <f>P188+Base_Données!AV190-Base_Données!FE190-Base_Données!FO190</f>
        <v>0</v>
      </c>
      <c r="R188" s="329">
        <f>SIG!Q188+Base_Données!BD190+Base_Données!BH190+Base_Données!BL190+Base_Données!BN190-Base_Données!GB190-Base_Données!GJ190-Base_Données!GF190-Base_Données!FV190</f>
        <v>0</v>
      </c>
    </row>
    <row r="189" spans="1:18" customFormat="1" x14ac:dyDescent="0.25">
      <c r="A189" s="328">
        <f>Base_Données!A191</f>
        <v>0</v>
      </c>
      <c r="B189" s="181">
        <f>Base_Données!B191</f>
        <v>0</v>
      </c>
      <c r="C189" s="158">
        <f>Base_Données!C191</f>
        <v>0</v>
      </c>
      <c r="D189" s="156">
        <f>Base_Données!Q191</f>
        <v>0</v>
      </c>
      <c r="E189" s="156">
        <f>Base_Données!BR191</f>
        <v>0</v>
      </c>
      <c r="F189" s="155">
        <f>Base_Données!R191</f>
        <v>0</v>
      </c>
      <c r="G189" s="154">
        <f>Base_Données!BS191</f>
        <v>0</v>
      </c>
      <c r="H189" s="155">
        <f>SIG!F189-SIG!G189</f>
        <v>0</v>
      </c>
      <c r="I189" s="159">
        <f>Base_Données!BI191+Base_Données!BJ191-Base_Données!GC191-Base_Données!GD191</f>
        <v>0</v>
      </c>
      <c r="J189" s="154">
        <f t="shared" si="4"/>
        <v>0</v>
      </c>
      <c r="K189" s="154">
        <f>Base_Données!BK191-Base_Données!GE191</f>
        <v>0</v>
      </c>
      <c r="L189" s="159">
        <f t="shared" si="5"/>
        <v>0</v>
      </c>
      <c r="M189" s="158">
        <f>Base_Données!S191</f>
        <v>0</v>
      </c>
      <c r="N189" s="154">
        <f>Base_Données!T191-(Base_Données!BU191+Base_Données!BZ191+Base_Données!CC191)</f>
        <v>0</v>
      </c>
      <c r="O189" s="154">
        <f>Base_Données!AC191+Base_Données!AL191-(Base_Données!CI191)</f>
        <v>0</v>
      </c>
      <c r="P189" s="154">
        <f>L189+Base_Données!GJ191+Base_Données!GE191+Base_Données!GB191+Base_Données!FV191+Base_Données!FS191+Base_Données!FO191+Base_Données!FE191+Base_Données!DS191-(Base_Données!BK191+Base_Données!BH191+Base_Données!AU191)</f>
        <v>0</v>
      </c>
      <c r="Q189" s="189">
        <f>P189+Base_Données!AV191-Base_Données!FE191-Base_Données!FO191</f>
        <v>0</v>
      </c>
      <c r="R189" s="329">
        <f>SIG!Q189+Base_Données!BD191+Base_Données!BH191+Base_Données!BL191+Base_Données!BN191-Base_Données!GB191-Base_Données!GJ191-Base_Données!GF191-Base_Données!FV191</f>
        <v>0</v>
      </c>
    </row>
    <row r="190" spans="1:18" customFormat="1" x14ac:dyDescent="0.25">
      <c r="A190" s="328">
        <f>Base_Données!A192</f>
        <v>0</v>
      </c>
      <c r="B190" s="181">
        <f>Base_Données!B192</f>
        <v>0</v>
      </c>
      <c r="C190" s="158">
        <f>Base_Données!C192</f>
        <v>0</v>
      </c>
      <c r="D190" s="156">
        <f>Base_Données!Q192</f>
        <v>0</v>
      </c>
      <c r="E190" s="156">
        <f>Base_Données!BR192</f>
        <v>0</v>
      </c>
      <c r="F190" s="155">
        <f>Base_Données!R192</f>
        <v>0</v>
      </c>
      <c r="G190" s="154">
        <f>Base_Données!BS192</f>
        <v>0</v>
      </c>
      <c r="H190" s="155">
        <f>SIG!F190-SIG!G190</f>
        <v>0</v>
      </c>
      <c r="I190" s="159">
        <f>Base_Données!BI192+Base_Données!BJ192-Base_Données!GC192-Base_Données!GD192</f>
        <v>0</v>
      </c>
      <c r="J190" s="154">
        <f t="shared" si="4"/>
        <v>0</v>
      </c>
      <c r="K190" s="154">
        <f>Base_Données!BK192-Base_Données!GE192</f>
        <v>0</v>
      </c>
      <c r="L190" s="159">
        <f t="shared" si="5"/>
        <v>0</v>
      </c>
      <c r="M190" s="158">
        <f>Base_Données!S192</f>
        <v>0</v>
      </c>
      <c r="N190" s="154">
        <f>Base_Données!T192-(Base_Données!BU192+Base_Données!BZ192+Base_Données!CC192)</f>
        <v>0</v>
      </c>
      <c r="O190" s="154">
        <f>Base_Données!AC192+Base_Données!AL192-(Base_Données!CI192)</f>
        <v>0</v>
      </c>
      <c r="P190" s="154">
        <f>L190+Base_Données!GJ192+Base_Données!GE192+Base_Données!GB192+Base_Données!FV192+Base_Données!FS192+Base_Données!FO192+Base_Données!FE192+Base_Données!DS192-(Base_Données!BK192+Base_Données!BH192+Base_Données!AU192)</f>
        <v>0</v>
      </c>
      <c r="Q190" s="189">
        <f>P190+Base_Données!AV192-Base_Données!FE192-Base_Données!FO192</f>
        <v>0</v>
      </c>
      <c r="R190" s="329">
        <f>SIG!Q190+Base_Données!BD192+Base_Données!BH192+Base_Données!BL192+Base_Données!BN192-Base_Données!GB192-Base_Données!GJ192-Base_Données!GF192-Base_Données!FV192</f>
        <v>0</v>
      </c>
    </row>
    <row r="191" spans="1:18" customFormat="1" x14ac:dyDescent="0.25">
      <c r="A191" s="328">
        <f>Base_Données!A193</f>
        <v>0</v>
      </c>
      <c r="B191" s="181">
        <f>Base_Données!B193</f>
        <v>0</v>
      </c>
      <c r="C191" s="158">
        <f>Base_Données!C193</f>
        <v>0</v>
      </c>
      <c r="D191" s="156">
        <f>Base_Données!Q193</f>
        <v>0</v>
      </c>
      <c r="E191" s="156">
        <f>Base_Données!BR193</f>
        <v>0</v>
      </c>
      <c r="F191" s="155">
        <f>Base_Données!R193</f>
        <v>0</v>
      </c>
      <c r="G191" s="154">
        <f>Base_Données!BS193</f>
        <v>0</v>
      </c>
      <c r="H191" s="155">
        <f>SIG!F191-SIG!G191</f>
        <v>0</v>
      </c>
      <c r="I191" s="159">
        <f>Base_Données!BI193+Base_Données!BJ193-Base_Données!GC193-Base_Données!GD193</f>
        <v>0</v>
      </c>
      <c r="J191" s="154">
        <f t="shared" si="4"/>
        <v>0</v>
      </c>
      <c r="K191" s="154">
        <f>Base_Données!BK193-Base_Données!GE193</f>
        <v>0</v>
      </c>
      <c r="L191" s="159">
        <f t="shared" si="5"/>
        <v>0</v>
      </c>
      <c r="M191" s="158">
        <f>Base_Données!S193</f>
        <v>0</v>
      </c>
      <c r="N191" s="154">
        <f>Base_Données!T193-(Base_Données!BU193+Base_Données!BZ193+Base_Données!CC193)</f>
        <v>0</v>
      </c>
      <c r="O191" s="154">
        <f>Base_Données!AC193+Base_Données!AL193-(Base_Données!CI193)</f>
        <v>0</v>
      </c>
      <c r="P191" s="154">
        <f>L191+Base_Données!GJ193+Base_Données!GE193+Base_Données!GB193+Base_Données!FV193+Base_Données!FS193+Base_Données!FO193+Base_Données!FE193+Base_Données!DS193-(Base_Données!BK193+Base_Données!BH193+Base_Données!AU193)</f>
        <v>0</v>
      </c>
      <c r="Q191" s="189">
        <f>P191+Base_Données!AV193-Base_Données!FE193-Base_Données!FO193</f>
        <v>0</v>
      </c>
      <c r="R191" s="329">
        <f>SIG!Q191+Base_Données!BD193+Base_Données!BH193+Base_Données!BL193+Base_Données!BN193-Base_Données!GB193-Base_Données!GJ193-Base_Données!GF193-Base_Données!FV193</f>
        <v>0</v>
      </c>
    </row>
    <row r="192" spans="1:18" customFormat="1" x14ac:dyDescent="0.25">
      <c r="A192" s="328">
        <f>Base_Données!A194</f>
        <v>0</v>
      </c>
      <c r="B192" s="181">
        <f>Base_Données!B194</f>
        <v>0</v>
      </c>
      <c r="C192" s="158">
        <f>Base_Données!C194</f>
        <v>0</v>
      </c>
      <c r="D192" s="156">
        <f>Base_Données!Q194</f>
        <v>0</v>
      </c>
      <c r="E192" s="156">
        <f>Base_Données!BR194</f>
        <v>0</v>
      </c>
      <c r="F192" s="155">
        <f>Base_Données!R194</f>
        <v>0</v>
      </c>
      <c r="G192" s="154">
        <f>Base_Données!BS194</f>
        <v>0</v>
      </c>
      <c r="H192" s="155">
        <f>SIG!F192-SIG!G192</f>
        <v>0</v>
      </c>
      <c r="I192" s="159">
        <f>Base_Données!BI194+Base_Données!BJ194-Base_Données!GC194-Base_Données!GD194</f>
        <v>0</v>
      </c>
      <c r="J192" s="154">
        <f t="shared" si="4"/>
        <v>0</v>
      </c>
      <c r="K192" s="154">
        <f>Base_Données!BK194-Base_Données!GE194</f>
        <v>0</v>
      </c>
      <c r="L192" s="159">
        <f t="shared" si="5"/>
        <v>0</v>
      </c>
      <c r="M192" s="158">
        <f>Base_Données!S194</f>
        <v>0</v>
      </c>
      <c r="N192" s="154">
        <f>Base_Données!T194-(Base_Données!BU194+Base_Données!BZ194+Base_Données!CC194)</f>
        <v>0</v>
      </c>
      <c r="O192" s="154">
        <f>Base_Données!AC194+Base_Données!AL194-(Base_Données!CI194)</f>
        <v>0</v>
      </c>
      <c r="P192" s="154">
        <f>L192+Base_Données!GJ194+Base_Données!GE194+Base_Données!GB194+Base_Données!FV194+Base_Données!FS194+Base_Données!FO194+Base_Données!FE194+Base_Données!DS194-(Base_Données!BK194+Base_Données!BH194+Base_Données!AU194)</f>
        <v>0</v>
      </c>
      <c r="Q192" s="189">
        <f>P192+Base_Données!AV194-Base_Données!FE194-Base_Données!FO194</f>
        <v>0</v>
      </c>
      <c r="R192" s="329">
        <f>SIG!Q192+Base_Données!BD194+Base_Données!BH194+Base_Données!BL194+Base_Données!BN194-Base_Données!GB194-Base_Données!GJ194-Base_Données!GF194-Base_Données!FV194</f>
        <v>0</v>
      </c>
    </row>
    <row r="193" spans="1:18" customFormat="1" x14ac:dyDescent="0.25">
      <c r="A193" s="328">
        <f>Base_Données!A195</f>
        <v>0</v>
      </c>
      <c r="B193" s="181">
        <f>Base_Données!B195</f>
        <v>0</v>
      </c>
      <c r="C193" s="158">
        <f>Base_Données!C195</f>
        <v>0</v>
      </c>
      <c r="D193" s="156">
        <f>Base_Données!Q195</f>
        <v>0</v>
      </c>
      <c r="E193" s="156">
        <f>Base_Données!BR195</f>
        <v>0</v>
      </c>
      <c r="F193" s="155">
        <f>Base_Données!R195</f>
        <v>0</v>
      </c>
      <c r="G193" s="154">
        <f>Base_Données!BS195</f>
        <v>0</v>
      </c>
      <c r="H193" s="155">
        <f>SIG!F193-SIG!G193</f>
        <v>0</v>
      </c>
      <c r="I193" s="159">
        <f>Base_Données!BI195+Base_Données!BJ195-Base_Données!GC195-Base_Données!GD195</f>
        <v>0</v>
      </c>
      <c r="J193" s="154">
        <f t="shared" si="4"/>
        <v>0</v>
      </c>
      <c r="K193" s="154">
        <f>Base_Données!BK195-Base_Données!GE195</f>
        <v>0</v>
      </c>
      <c r="L193" s="159">
        <f t="shared" si="5"/>
        <v>0</v>
      </c>
      <c r="M193" s="158">
        <f>Base_Données!S195</f>
        <v>0</v>
      </c>
      <c r="N193" s="154">
        <f>Base_Données!T195-(Base_Données!BU195+Base_Données!BZ195+Base_Données!CC195)</f>
        <v>0</v>
      </c>
      <c r="O193" s="154">
        <f>Base_Données!AC195+Base_Données!AL195-(Base_Données!CI195)</f>
        <v>0</v>
      </c>
      <c r="P193" s="154">
        <f>L193+Base_Données!GJ195+Base_Données!GE195+Base_Données!GB195+Base_Données!FV195+Base_Données!FS195+Base_Données!FO195+Base_Données!FE195+Base_Données!DS195-(Base_Données!BK195+Base_Données!BH195+Base_Données!AU195)</f>
        <v>0</v>
      </c>
      <c r="Q193" s="189">
        <f>P193+Base_Données!AV195-Base_Données!FE195-Base_Données!FO195</f>
        <v>0</v>
      </c>
      <c r="R193" s="329">
        <f>SIG!Q193+Base_Données!BD195+Base_Données!BH195+Base_Données!BL195+Base_Données!BN195-Base_Données!GB195-Base_Données!GJ195-Base_Données!GF195-Base_Données!FV195</f>
        <v>0</v>
      </c>
    </row>
    <row r="194" spans="1:18" customFormat="1" x14ac:dyDescent="0.25">
      <c r="A194" s="328">
        <f>Base_Données!A196</f>
        <v>0</v>
      </c>
      <c r="B194" s="181">
        <f>Base_Données!B196</f>
        <v>0</v>
      </c>
      <c r="C194" s="158">
        <f>Base_Données!C196</f>
        <v>0</v>
      </c>
      <c r="D194" s="156">
        <f>Base_Données!Q196</f>
        <v>0</v>
      </c>
      <c r="E194" s="156">
        <f>Base_Données!BR196</f>
        <v>0</v>
      </c>
      <c r="F194" s="155">
        <f>Base_Données!R196</f>
        <v>0</v>
      </c>
      <c r="G194" s="154">
        <f>Base_Données!BS196</f>
        <v>0</v>
      </c>
      <c r="H194" s="155">
        <f>SIG!F194-SIG!G194</f>
        <v>0</v>
      </c>
      <c r="I194" s="159">
        <f>Base_Données!BI196+Base_Données!BJ196-Base_Données!GC196-Base_Données!GD196</f>
        <v>0</v>
      </c>
      <c r="J194" s="154">
        <f t="shared" si="4"/>
        <v>0</v>
      </c>
      <c r="K194" s="154">
        <f>Base_Données!BK196-Base_Données!GE196</f>
        <v>0</v>
      </c>
      <c r="L194" s="159">
        <f t="shared" si="5"/>
        <v>0</v>
      </c>
      <c r="M194" s="158">
        <f>Base_Données!S196</f>
        <v>0</v>
      </c>
      <c r="N194" s="154">
        <f>Base_Données!T196-(Base_Données!BU196+Base_Données!BZ196+Base_Données!CC196)</f>
        <v>0</v>
      </c>
      <c r="O194" s="154">
        <f>Base_Données!AC196+Base_Données!AL196-(Base_Données!CI196)</f>
        <v>0</v>
      </c>
      <c r="P194" s="154">
        <f>L194+Base_Données!GJ196+Base_Données!GE196+Base_Données!GB196+Base_Données!FV196+Base_Données!FS196+Base_Données!FO196+Base_Données!FE196+Base_Données!DS196-(Base_Données!BK196+Base_Données!BH196+Base_Données!AU196)</f>
        <v>0</v>
      </c>
      <c r="Q194" s="189">
        <f>P194+Base_Données!AV196-Base_Données!FE196-Base_Données!FO196</f>
        <v>0</v>
      </c>
      <c r="R194" s="329">
        <f>SIG!Q194+Base_Données!BD196+Base_Données!BH196+Base_Données!BL196+Base_Données!BN196-Base_Données!GB196-Base_Données!GJ196-Base_Données!GF196-Base_Données!FV196</f>
        <v>0</v>
      </c>
    </row>
    <row r="195" spans="1:18" customFormat="1" x14ac:dyDescent="0.25">
      <c r="A195" s="328">
        <f>Base_Données!A197</f>
        <v>0</v>
      </c>
      <c r="B195" s="181">
        <f>Base_Données!B197</f>
        <v>0</v>
      </c>
      <c r="C195" s="158">
        <f>Base_Données!C197</f>
        <v>0</v>
      </c>
      <c r="D195" s="156">
        <f>Base_Données!Q197</f>
        <v>0</v>
      </c>
      <c r="E195" s="156">
        <f>Base_Données!BR197</f>
        <v>0</v>
      </c>
      <c r="F195" s="155">
        <f>Base_Données!R197</f>
        <v>0</v>
      </c>
      <c r="G195" s="154">
        <f>Base_Données!BS197</f>
        <v>0</v>
      </c>
      <c r="H195" s="155">
        <f>SIG!F195-SIG!G195</f>
        <v>0</v>
      </c>
      <c r="I195" s="159">
        <f>Base_Données!BI197+Base_Données!BJ197-Base_Données!GC197-Base_Données!GD197</f>
        <v>0</v>
      </c>
      <c r="J195" s="154">
        <f t="shared" si="4"/>
        <v>0</v>
      </c>
      <c r="K195" s="154">
        <f>Base_Données!BK197-Base_Données!GE197</f>
        <v>0</v>
      </c>
      <c r="L195" s="159">
        <f t="shared" si="5"/>
        <v>0</v>
      </c>
      <c r="M195" s="158">
        <f>Base_Données!S197</f>
        <v>0</v>
      </c>
      <c r="N195" s="154">
        <f>Base_Données!T197-(Base_Données!BU197+Base_Données!BZ197+Base_Données!CC197)</f>
        <v>0</v>
      </c>
      <c r="O195" s="154">
        <f>Base_Données!AC197+Base_Données!AL197-(Base_Données!CI197)</f>
        <v>0</v>
      </c>
      <c r="P195" s="154">
        <f>L195+Base_Données!GJ197+Base_Données!GE197+Base_Données!GB197+Base_Données!FV197+Base_Données!FS197+Base_Données!FO197+Base_Données!FE197+Base_Données!DS197-(Base_Données!BK197+Base_Données!BH197+Base_Données!AU197)</f>
        <v>0</v>
      </c>
      <c r="Q195" s="189">
        <f>P195+Base_Données!AV197-Base_Données!FE197-Base_Données!FO197</f>
        <v>0</v>
      </c>
      <c r="R195" s="329">
        <f>SIG!Q195+Base_Données!BD197+Base_Données!BH197+Base_Données!BL197+Base_Données!BN197-Base_Données!GB197-Base_Données!GJ197-Base_Données!GF197-Base_Données!FV197</f>
        <v>0</v>
      </c>
    </row>
    <row r="196" spans="1:18" customFormat="1" x14ac:dyDescent="0.25">
      <c r="A196" s="328">
        <f>Base_Données!A198</f>
        <v>0</v>
      </c>
      <c r="B196" s="181">
        <f>Base_Données!B198</f>
        <v>0</v>
      </c>
      <c r="C196" s="158">
        <f>Base_Données!C198</f>
        <v>0</v>
      </c>
      <c r="D196" s="156">
        <f>Base_Données!Q198</f>
        <v>0</v>
      </c>
      <c r="E196" s="156">
        <f>Base_Données!BR198</f>
        <v>0</v>
      </c>
      <c r="F196" s="155">
        <f>Base_Données!R198</f>
        <v>0</v>
      </c>
      <c r="G196" s="154">
        <f>Base_Données!BS198</f>
        <v>0</v>
      </c>
      <c r="H196" s="155">
        <f>SIG!F196-SIG!G196</f>
        <v>0</v>
      </c>
      <c r="I196" s="159">
        <f>Base_Données!BI198+Base_Données!BJ198-Base_Données!GC198-Base_Données!GD198</f>
        <v>0</v>
      </c>
      <c r="J196" s="154">
        <f t="shared" ref="J196:J259" si="6">H196+(I196)</f>
        <v>0</v>
      </c>
      <c r="K196" s="154">
        <f>Base_Données!BK198-Base_Données!GE198</f>
        <v>0</v>
      </c>
      <c r="L196" s="159">
        <f t="shared" ref="L196:L259" si="7">D196-E196</f>
        <v>0</v>
      </c>
      <c r="M196" s="158">
        <f>Base_Données!S198</f>
        <v>0</v>
      </c>
      <c r="N196" s="154">
        <f>Base_Données!T198-(Base_Données!BU198+Base_Données!BZ198+Base_Données!CC198)</f>
        <v>0</v>
      </c>
      <c r="O196" s="154">
        <f>Base_Données!AC198+Base_Données!AL198-(Base_Données!CI198)</f>
        <v>0</v>
      </c>
      <c r="P196" s="154">
        <f>L196+Base_Données!GJ198+Base_Données!GE198+Base_Données!GB198+Base_Données!FV198+Base_Données!FS198+Base_Données!FO198+Base_Données!FE198+Base_Données!DS198-(Base_Données!BK198+Base_Données!BH198+Base_Données!AU198)</f>
        <v>0</v>
      </c>
      <c r="Q196" s="189">
        <f>P196+Base_Données!AV198-Base_Données!FE198-Base_Données!FO198</f>
        <v>0</v>
      </c>
      <c r="R196" s="329">
        <f>SIG!Q196+Base_Données!BD198+Base_Données!BH198+Base_Données!BL198+Base_Données!BN198-Base_Données!GB198-Base_Données!GJ198-Base_Données!GF198-Base_Données!FV198</f>
        <v>0</v>
      </c>
    </row>
    <row r="197" spans="1:18" customFormat="1" x14ac:dyDescent="0.25">
      <c r="A197" s="328">
        <f>Base_Données!A199</f>
        <v>0</v>
      </c>
      <c r="B197" s="181">
        <f>Base_Données!B199</f>
        <v>0</v>
      </c>
      <c r="C197" s="158">
        <f>Base_Données!C199</f>
        <v>0</v>
      </c>
      <c r="D197" s="156">
        <f>Base_Données!Q199</f>
        <v>0</v>
      </c>
      <c r="E197" s="156">
        <f>Base_Données!BR199</f>
        <v>0</v>
      </c>
      <c r="F197" s="155">
        <f>Base_Données!R199</f>
        <v>0</v>
      </c>
      <c r="G197" s="154">
        <f>Base_Données!BS199</f>
        <v>0</v>
      </c>
      <c r="H197" s="155">
        <f>SIG!F197-SIG!G197</f>
        <v>0</v>
      </c>
      <c r="I197" s="159">
        <f>Base_Données!BI199+Base_Données!BJ199-Base_Données!GC199-Base_Données!GD199</f>
        <v>0</v>
      </c>
      <c r="J197" s="154">
        <f t="shared" si="6"/>
        <v>0</v>
      </c>
      <c r="K197" s="154">
        <f>Base_Données!BK199-Base_Données!GE199</f>
        <v>0</v>
      </c>
      <c r="L197" s="159">
        <f t="shared" si="7"/>
        <v>0</v>
      </c>
      <c r="M197" s="158">
        <f>Base_Données!S199</f>
        <v>0</v>
      </c>
      <c r="N197" s="154">
        <f>Base_Données!T199-(Base_Données!BU199+Base_Données!BZ199+Base_Données!CC199)</f>
        <v>0</v>
      </c>
      <c r="O197" s="154">
        <f>Base_Données!AC199+Base_Données!AL199-(Base_Données!CI199)</f>
        <v>0</v>
      </c>
      <c r="P197" s="154">
        <f>L197+Base_Données!GJ199+Base_Données!GE199+Base_Données!GB199+Base_Données!FV199+Base_Données!FS199+Base_Données!FO199+Base_Données!FE199+Base_Données!DS199-(Base_Données!BK199+Base_Données!BH199+Base_Données!AU199)</f>
        <v>0</v>
      </c>
      <c r="Q197" s="189">
        <f>P197+Base_Données!AV199-Base_Données!FE199-Base_Données!FO199</f>
        <v>0</v>
      </c>
      <c r="R197" s="329">
        <f>SIG!Q197+Base_Données!BD199+Base_Données!BH199+Base_Données!BL199+Base_Données!BN199-Base_Données!GB199-Base_Données!GJ199-Base_Données!GF199-Base_Données!FV199</f>
        <v>0</v>
      </c>
    </row>
    <row r="198" spans="1:18" customFormat="1" x14ac:dyDescent="0.25">
      <c r="A198" s="328">
        <f>Base_Données!A200</f>
        <v>0</v>
      </c>
      <c r="B198" s="181">
        <f>Base_Données!B200</f>
        <v>0</v>
      </c>
      <c r="C198" s="158">
        <f>Base_Données!C200</f>
        <v>0</v>
      </c>
      <c r="D198" s="156">
        <f>Base_Données!Q200</f>
        <v>0</v>
      </c>
      <c r="E198" s="156">
        <f>Base_Données!BR200</f>
        <v>0</v>
      </c>
      <c r="F198" s="155">
        <f>Base_Données!R200</f>
        <v>0</v>
      </c>
      <c r="G198" s="154">
        <f>Base_Données!BS200</f>
        <v>0</v>
      </c>
      <c r="H198" s="155">
        <f>SIG!F198-SIG!G198</f>
        <v>0</v>
      </c>
      <c r="I198" s="159">
        <f>Base_Données!BI200+Base_Données!BJ200-Base_Données!GC200-Base_Données!GD200</f>
        <v>0</v>
      </c>
      <c r="J198" s="154">
        <f t="shared" si="6"/>
        <v>0</v>
      </c>
      <c r="K198" s="154">
        <f>Base_Données!BK200-Base_Données!GE200</f>
        <v>0</v>
      </c>
      <c r="L198" s="159">
        <f t="shared" si="7"/>
        <v>0</v>
      </c>
      <c r="M198" s="158">
        <f>Base_Données!S200</f>
        <v>0</v>
      </c>
      <c r="N198" s="154">
        <f>Base_Données!T200-(Base_Données!BU200+Base_Données!BZ200+Base_Données!CC200)</f>
        <v>0</v>
      </c>
      <c r="O198" s="154">
        <f>Base_Données!AC200+Base_Données!AL200-(Base_Données!CI200)</f>
        <v>0</v>
      </c>
      <c r="P198" s="154">
        <f>L198+Base_Données!GJ200+Base_Données!GE200+Base_Données!GB200+Base_Données!FV200+Base_Données!FS200+Base_Données!FO200+Base_Données!FE200+Base_Données!DS200-(Base_Données!BK200+Base_Données!BH200+Base_Données!AU200)</f>
        <v>0</v>
      </c>
      <c r="Q198" s="189">
        <f>P198+Base_Données!AV200-Base_Données!FE200-Base_Données!FO200</f>
        <v>0</v>
      </c>
      <c r="R198" s="329">
        <f>SIG!Q198+Base_Données!BD200+Base_Données!BH200+Base_Données!BL200+Base_Données!BN200-Base_Données!GB200-Base_Données!GJ200-Base_Données!GF200-Base_Données!FV200</f>
        <v>0</v>
      </c>
    </row>
    <row r="199" spans="1:18" customFormat="1" x14ac:dyDescent="0.25">
      <c r="A199" s="328">
        <f>Base_Données!A201</f>
        <v>0</v>
      </c>
      <c r="B199" s="181">
        <f>Base_Données!B201</f>
        <v>0</v>
      </c>
      <c r="C199" s="158">
        <f>Base_Données!C201</f>
        <v>0</v>
      </c>
      <c r="D199" s="156">
        <f>Base_Données!Q201</f>
        <v>0</v>
      </c>
      <c r="E199" s="156">
        <f>Base_Données!BR201</f>
        <v>0</v>
      </c>
      <c r="F199" s="155">
        <f>Base_Données!R201</f>
        <v>0</v>
      </c>
      <c r="G199" s="154">
        <f>Base_Données!BS201</f>
        <v>0</v>
      </c>
      <c r="H199" s="155">
        <f>SIG!F199-SIG!G199</f>
        <v>0</v>
      </c>
      <c r="I199" s="159">
        <f>Base_Données!BI201+Base_Données!BJ201-Base_Données!GC201-Base_Données!GD201</f>
        <v>0</v>
      </c>
      <c r="J199" s="154">
        <f t="shared" si="6"/>
        <v>0</v>
      </c>
      <c r="K199" s="154">
        <f>Base_Données!BK201-Base_Données!GE201</f>
        <v>0</v>
      </c>
      <c r="L199" s="159">
        <f t="shared" si="7"/>
        <v>0</v>
      </c>
      <c r="M199" s="158">
        <f>Base_Données!S201</f>
        <v>0</v>
      </c>
      <c r="N199" s="154">
        <f>Base_Données!T201-(Base_Données!BU201+Base_Données!BZ201+Base_Données!CC201)</f>
        <v>0</v>
      </c>
      <c r="O199" s="154">
        <f>Base_Données!AC201+Base_Données!AL201-(Base_Données!CI201)</f>
        <v>0</v>
      </c>
      <c r="P199" s="154">
        <f>L199+Base_Données!GJ201+Base_Données!GE201+Base_Données!GB201+Base_Données!FV201+Base_Données!FS201+Base_Données!FO201+Base_Données!FE201+Base_Données!DS201-(Base_Données!BK201+Base_Données!BH201+Base_Données!AU201)</f>
        <v>0</v>
      </c>
      <c r="Q199" s="189">
        <f>P199+Base_Données!AV201-Base_Données!FE201-Base_Données!FO201</f>
        <v>0</v>
      </c>
      <c r="R199" s="329">
        <f>SIG!Q199+Base_Données!BD201+Base_Données!BH201+Base_Données!BL201+Base_Données!BN201-Base_Données!GB201-Base_Données!GJ201-Base_Données!GF201-Base_Données!FV201</f>
        <v>0</v>
      </c>
    </row>
    <row r="200" spans="1:18" customFormat="1" x14ac:dyDescent="0.25">
      <c r="A200" s="328">
        <f>Base_Données!A202</f>
        <v>0</v>
      </c>
      <c r="B200" s="181">
        <f>Base_Données!B202</f>
        <v>0</v>
      </c>
      <c r="C200" s="158">
        <f>Base_Données!C202</f>
        <v>0</v>
      </c>
      <c r="D200" s="156">
        <f>Base_Données!Q202</f>
        <v>0</v>
      </c>
      <c r="E200" s="156">
        <f>Base_Données!BR202</f>
        <v>0</v>
      </c>
      <c r="F200" s="155">
        <f>Base_Données!R202</f>
        <v>0</v>
      </c>
      <c r="G200" s="154">
        <f>Base_Données!BS202</f>
        <v>0</v>
      </c>
      <c r="H200" s="155">
        <f>SIG!F200-SIG!G200</f>
        <v>0</v>
      </c>
      <c r="I200" s="159">
        <f>Base_Données!BI202+Base_Données!BJ202-Base_Données!GC202-Base_Données!GD202</f>
        <v>0</v>
      </c>
      <c r="J200" s="154">
        <f t="shared" si="6"/>
        <v>0</v>
      </c>
      <c r="K200" s="154">
        <f>Base_Données!BK202-Base_Données!GE202</f>
        <v>0</v>
      </c>
      <c r="L200" s="159">
        <f t="shared" si="7"/>
        <v>0</v>
      </c>
      <c r="M200" s="158">
        <f>Base_Données!S202</f>
        <v>0</v>
      </c>
      <c r="N200" s="154">
        <f>Base_Données!T202-(Base_Données!BU202+Base_Données!BZ202+Base_Données!CC202)</f>
        <v>0</v>
      </c>
      <c r="O200" s="154">
        <f>Base_Données!AC202+Base_Données!AL202-(Base_Données!CI202)</f>
        <v>0</v>
      </c>
      <c r="P200" s="154">
        <f>L200+Base_Données!GJ202+Base_Données!GE202+Base_Données!GB202+Base_Données!FV202+Base_Données!FS202+Base_Données!FO202+Base_Données!FE202+Base_Données!DS202-(Base_Données!BK202+Base_Données!BH202+Base_Données!AU202)</f>
        <v>0</v>
      </c>
      <c r="Q200" s="189">
        <f>P200+Base_Données!AV202-Base_Données!FE202-Base_Données!FO202</f>
        <v>0</v>
      </c>
      <c r="R200" s="329">
        <f>SIG!Q200+Base_Données!BD202+Base_Données!BH202+Base_Données!BL202+Base_Données!BN202-Base_Données!GB202-Base_Données!GJ202-Base_Données!GF202-Base_Données!FV202</f>
        <v>0</v>
      </c>
    </row>
    <row r="201" spans="1:18" customFormat="1" x14ac:dyDescent="0.25">
      <c r="A201" s="328">
        <f>Base_Données!A203</f>
        <v>0</v>
      </c>
      <c r="B201" s="181">
        <f>Base_Données!B203</f>
        <v>0</v>
      </c>
      <c r="C201" s="158">
        <f>Base_Données!C203</f>
        <v>0</v>
      </c>
      <c r="D201" s="156">
        <f>Base_Données!Q203</f>
        <v>0</v>
      </c>
      <c r="E201" s="156">
        <f>Base_Données!BR203</f>
        <v>0</v>
      </c>
      <c r="F201" s="155">
        <f>Base_Données!R203</f>
        <v>0</v>
      </c>
      <c r="G201" s="154">
        <f>Base_Données!BS203</f>
        <v>0</v>
      </c>
      <c r="H201" s="155">
        <f>SIG!F201-SIG!G201</f>
        <v>0</v>
      </c>
      <c r="I201" s="159">
        <f>Base_Données!BI203+Base_Données!BJ203-Base_Données!GC203-Base_Données!GD203</f>
        <v>0</v>
      </c>
      <c r="J201" s="154">
        <f t="shared" si="6"/>
        <v>0</v>
      </c>
      <c r="K201" s="154">
        <f>Base_Données!BK203-Base_Données!GE203</f>
        <v>0</v>
      </c>
      <c r="L201" s="159">
        <f t="shared" si="7"/>
        <v>0</v>
      </c>
      <c r="M201" s="158">
        <f>Base_Données!S203</f>
        <v>0</v>
      </c>
      <c r="N201" s="154">
        <f>Base_Données!T203-(Base_Données!BU203+Base_Données!BZ203+Base_Données!CC203)</f>
        <v>0</v>
      </c>
      <c r="O201" s="154">
        <f>Base_Données!AC203+Base_Données!AL203-(Base_Données!CI203)</f>
        <v>0</v>
      </c>
      <c r="P201" s="154">
        <f>L201+Base_Données!GJ203+Base_Données!GE203+Base_Données!GB203+Base_Données!FV203+Base_Données!FS203+Base_Données!FO203+Base_Données!FE203+Base_Données!DS203-(Base_Données!BK203+Base_Données!BH203+Base_Données!AU203)</f>
        <v>0</v>
      </c>
      <c r="Q201" s="189">
        <f>P201+Base_Données!AV203-Base_Données!FE203-Base_Données!FO203</f>
        <v>0</v>
      </c>
      <c r="R201" s="329">
        <f>SIG!Q201+Base_Données!BD203+Base_Données!BH203+Base_Données!BL203+Base_Données!BN203-Base_Données!GB203-Base_Données!GJ203-Base_Données!GF203-Base_Données!FV203</f>
        <v>0</v>
      </c>
    </row>
    <row r="202" spans="1:18" customFormat="1" x14ac:dyDescent="0.25">
      <c r="A202" s="328">
        <f>Base_Données!A204</f>
        <v>0</v>
      </c>
      <c r="B202" s="181">
        <f>Base_Données!B204</f>
        <v>0</v>
      </c>
      <c r="C202" s="158">
        <f>Base_Données!C204</f>
        <v>0</v>
      </c>
      <c r="D202" s="156">
        <f>Base_Données!Q204</f>
        <v>0</v>
      </c>
      <c r="E202" s="156">
        <f>Base_Données!BR204</f>
        <v>0</v>
      </c>
      <c r="F202" s="155">
        <f>Base_Données!R204</f>
        <v>0</v>
      </c>
      <c r="G202" s="154">
        <f>Base_Données!BS204</f>
        <v>0</v>
      </c>
      <c r="H202" s="155">
        <f>SIG!F202-SIG!G202</f>
        <v>0</v>
      </c>
      <c r="I202" s="159">
        <f>Base_Données!BI204+Base_Données!BJ204-Base_Données!GC204-Base_Données!GD204</f>
        <v>0</v>
      </c>
      <c r="J202" s="154">
        <f t="shared" si="6"/>
        <v>0</v>
      </c>
      <c r="K202" s="154">
        <f>Base_Données!BK204-Base_Données!GE204</f>
        <v>0</v>
      </c>
      <c r="L202" s="159">
        <f t="shared" si="7"/>
        <v>0</v>
      </c>
      <c r="M202" s="158">
        <f>Base_Données!S204</f>
        <v>0</v>
      </c>
      <c r="N202" s="154">
        <f>Base_Données!T204-(Base_Données!BU204+Base_Données!BZ204+Base_Données!CC204)</f>
        <v>0</v>
      </c>
      <c r="O202" s="154">
        <f>Base_Données!AC204+Base_Données!AL204-(Base_Données!CI204)</f>
        <v>0</v>
      </c>
      <c r="P202" s="154">
        <f>L202+Base_Données!GJ204+Base_Données!GE204+Base_Données!GB204+Base_Données!FV204+Base_Données!FS204+Base_Données!FO204+Base_Données!FE204+Base_Données!DS204-(Base_Données!BK204+Base_Données!BH204+Base_Données!AU204)</f>
        <v>0</v>
      </c>
      <c r="Q202" s="189">
        <f>P202+Base_Données!AV204-Base_Données!FE204-Base_Données!FO204</f>
        <v>0</v>
      </c>
      <c r="R202" s="329">
        <f>SIG!Q202+Base_Données!BD204+Base_Données!BH204+Base_Données!BL204+Base_Données!BN204-Base_Données!GB204-Base_Données!GJ204-Base_Données!GF204-Base_Données!FV204</f>
        <v>0</v>
      </c>
    </row>
    <row r="203" spans="1:18" customFormat="1" x14ac:dyDescent="0.25">
      <c r="A203" s="328">
        <f>Base_Données!A205</f>
        <v>0</v>
      </c>
      <c r="B203" s="181">
        <f>Base_Données!B205</f>
        <v>0</v>
      </c>
      <c r="C203" s="158">
        <f>Base_Données!C205</f>
        <v>0</v>
      </c>
      <c r="D203" s="156">
        <f>Base_Données!Q205</f>
        <v>0</v>
      </c>
      <c r="E203" s="156">
        <f>Base_Données!BR205</f>
        <v>0</v>
      </c>
      <c r="F203" s="155">
        <f>Base_Données!R205</f>
        <v>0</v>
      </c>
      <c r="G203" s="154">
        <f>Base_Données!BS205</f>
        <v>0</v>
      </c>
      <c r="H203" s="155">
        <f>SIG!F203-SIG!G203</f>
        <v>0</v>
      </c>
      <c r="I203" s="159">
        <f>Base_Données!BI205+Base_Données!BJ205-Base_Données!GC205-Base_Données!GD205</f>
        <v>0</v>
      </c>
      <c r="J203" s="154">
        <f t="shared" si="6"/>
        <v>0</v>
      </c>
      <c r="K203" s="154">
        <f>Base_Données!BK205-Base_Données!GE205</f>
        <v>0</v>
      </c>
      <c r="L203" s="159">
        <f t="shared" si="7"/>
        <v>0</v>
      </c>
      <c r="M203" s="158">
        <f>Base_Données!S205</f>
        <v>0</v>
      </c>
      <c r="N203" s="154">
        <f>Base_Données!T205-(Base_Données!BU205+Base_Données!BZ205+Base_Données!CC205)</f>
        <v>0</v>
      </c>
      <c r="O203" s="154">
        <f>Base_Données!AC205+Base_Données!AL205-(Base_Données!CI205)</f>
        <v>0</v>
      </c>
      <c r="P203" s="154">
        <f>L203+Base_Données!GJ205+Base_Données!GE205+Base_Données!GB205+Base_Données!FV205+Base_Données!FS205+Base_Données!FO205+Base_Données!FE205+Base_Données!DS205-(Base_Données!BK205+Base_Données!BH205+Base_Données!AU205)</f>
        <v>0</v>
      </c>
      <c r="Q203" s="189">
        <f>P203+Base_Données!AV205-Base_Données!FE205-Base_Données!FO205</f>
        <v>0</v>
      </c>
      <c r="R203" s="329">
        <f>SIG!Q203+Base_Données!BD205+Base_Données!BH205+Base_Données!BL205+Base_Données!BN205-Base_Données!GB205-Base_Données!GJ205-Base_Données!GF205-Base_Données!FV205</f>
        <v>0</v>
      </c>
    </row>
    <row r="204" spans="1:18" customFormat="1" x14ac:dyDescent="0.25">
      <c r="A204" s="328">
        <f>Base_Données!A206</f>
        <v>0</v>
      </c>
      <c r="B204" s="181">
        <f>Base_Données!B206</f>
        <v>0</v>
      </c>
      <c r="C204" s="158">
        <f>Base_Données!C206</f>
        <v>0</v>
      </c>
      <c r="D204" s="156">
        <f>Base_Données!Q206</f>
        <v>0</v>
      </c>
      <c r="E204" s="156">
        <f>Base_Données!BR206</f>
        <v>0</v>
      </c>
      <c r="F204" s="155">
        <f>Base_Données!R206</f>
        <v>0</v>
      </c>
      <c r="G204" s="154">
        <f>Base_Données!BS206</f>
        <v>0</v>
      </c>
      <c r="H204" s="155">
        <f>SIG!F204-SIG!G204</f>
        <v>0</v>
      </c>
      <c r="I204" s="159">
        <f>Base_Données!BI206+Base_Données!BJ206-Base_Données!GC206-Base_Données!GD206</f>
        <v>0</v>
      </c>
      <c r="J204" s="154">
        <f t="shared" si="6"/>
        <v>0</v>
      </c>
      <c r="K204" s="154">
        <f>Base_Données!BK206-Base_Données!GE206</f>
        <v>0</v>
      </c>
      <c r="L204" s="159">
        <f t="shared" si="7"/>
        <v>0</v>
      </c>
      <c r="M204" s="158">
        <f>Base_Données!S206</f>
        <v>0</v>
      </c>
      <c r="N204" s="154">
        <f>Base_Données!T206-(Base_Données!BU206+Base_Données!BZ206+Base_Données!CC206)</f>
        <v>0</v>
      </c>
      <c r="O204" s="154">
        <f>Base_Données!AC206+Base_Données!AL206-(Base_Données!CI206)</f>
        <v>0</v>
      </c>
      <c r="P204" s="154">
        <f>L204+Base_Données!GJ206+Base_Données!GE206+Base_Données!GB206+Base_Données!FV206+Base_Données!FS206+Base_Données!FO206+Base_Données!FE206+Base_Données!DS206-(Base_Données!BK206+Base_Données!BH206+Base_Données!AU206)</f>
        <v>0</v>
      </c>
      <c r="Q204" s="189">
        <f>P204+Base_Données!AV206-Base_Données!FE206-Base_Données!FO206</f>
        <v>0</v>
      </c>
      <c r="R204" s="329">
        <f>SIG!Q204+Base_Données!BD206+Base_Données!BH206+Base_Données!BL206+Base_Données!BN206-Base_Données!GB206-Base_Données!GJ206-Base_Données!GF206-Base_Données!FV206</f>
        <v>0</v>
      </c>
    </row>
    <row r="205" spans="1:18" customFormat="1" x14ac:dyDescent="0.25">
      <c r="A205" s="328">
        <f>Base_Données!A207</f>
        <v>0</v>
      </c>
      <c r="B205" s="181">
        <f>Base_Données!B207</f>
        <v>0</v>
      </c>
      <c r="C205" s="158">
        <f>Base_Données!C207</f>
        <v>0</v>
      </c>
      <c r="D205" s="156">
        <f>Base_Données!Q207</f>
        <v>0</v>
      </c>
      <c r="E205" s="156">
        <f>Base_Données!BR207</f>
        <v>0</v>
      </c>
      <c r="F205" s="155">
        <f>Base_Données!R207</f>
        <v>0</v>
      </c>
      <c r="G205" s="154">
        <f>Base_Données!BS207</f>
        <v>0</v>
      </c>
      <c r="H205" s="155">
        <f>SIG!F205-SIG!G205</f>
        <v>0</v>
      </c>
      <c r="I205" s="159">
        <f>Base_Données!BI207+Base_Données!BJ207-Base_Données!GC207-Base_Données!GD207</f>
        <v>0</v>
      </c>
      <c r="J205" s="154">
        <f t="shared" si="6"/>
        <v>0</v>
      </c>
      <c r="K205" s="154">
        <f>Base_Données!BK207-Base_Données!GE207</f>
        <v>0</v>
      </c>
      <c r="L205" s="159">
        <f t="shared" si="7"/>
        <v>0</v>
      </c>
      <c r="M205" s="158">
        <f>Base_Données!S207</f>
        <v>0</v>
      </c>
      <c r="N205" s="154">
        <f>Base_Données!T207-(Base_Données!BU207+Base_Données!BZ207+Base_Données!CC207)</f>
        <v>0</v>
      </c>
      <c r="O205" s="154">
        <f>Base_Données!AC207+Base_Données!AL207-(Base_Données!CI207)</f>
        <v>0</v>
      </c>
      <c r="P205" s="154">
        <f>L205+Base_Données!GJ207+Base_Données!GE207+Base_Données!GB207+Base_Données!FV207+Base_Données!FS207+Base_Données!FO207+Base_Données!FE207+Base_Données!DS207-(Base_Données!BK207+Base_Données!BH207+Base_Données!AU207)</f>
        <v>0</v>
      </c>
      <c r="Q205" s="189">
        <f>P205+Base_Données!AV207-Base_Données!FE207-Base_Données!FO207</f>
        <v>0</v>
      </c>
      <c r="R205" s="329">
        <f>SIG!Q205+Base_Données!BD207+Base_Données!BH207+Base_Données!BL207+Base_Données!BN207-Base_Données!GB207-Base_Données!GJ207-Base_Données!GF207-Base_Données!FV207</f>
        <v>0</v>
      </c>
    </row>
    <row r="206" spans="1:18" customFormat="1" x14ac:dyDescent="0.25">
      <c r="A206" s="328">
        <f>Base_Données!A208</f>
        <v>0</v>
      </c>
      <c r="B206" s="181">
        <f>Base_Données!B208</f>
        <v>0</v>
      </c>
      <c r="C206" s="158">
        <f>Base_Données!C208</f>
        <v>0</v>
      </c>
      <c r="D206" s="156">
        <f>Base_Données!Q208</f>
        <v>0</v>
      </c>
      <c r="E206" s="156">
        <f>Base_Données!BR208</f>
        <v>0</v>
      </c>
      <c r="F206" s="155">
        <f>Base_Données!R208</f>
        <v>0</v>
      </c>
      <c r="G206" s="154">
        <f>Base_Données!BS208</f>
        <v>0</v>
      </c>
      <c r="H206" s="155">
        <f>SIG!F206-SIG!G206</f>
        <v>0</v>
      </c>
      <c r="I206" s="159">
        <f>Base_Données!BI208+Base_Données!BJ208-Base_Données!GC208-Base_Données!GD208</f>
        <v>0</v>
      </c>
      <c r="J206" s="154">
        <f t="shared" si="6"/>
        <v>0</v>
      </c>
      <c r="K206" s="154">
        <f>Base_Données!BK208-Base_Données!GE208</f>
        <v>0</v>
      </c>
      <c r="L206" s="159">
        <f t="shared" si="7"/>
        <v>0</v>
      </c>
      <c r="M206" s="158">
        <f>Base_Données!S208</f>
        <v>0</v>
      </c>
      <c r="N206" s="154">
        <f>Base_Données!T208-(Base_Données!BU208+Base_Données!BZ208+Base_Données!CC208)</f>
        <v>0</v>
      </c>
      <c r="O206" s="154">
        <f>Base_Données!AC208+Base_Données!AL208-(Base_Données!CI208)</f>
        <v>0</v>
      </c>
      <c r="P206" s="154">
        <f>L206+Base_Données!GJ208+Base_Données!GE208+Base_Données!GB208+Base_Données!FV208+Base_Données!FS208+Base_Données!FO208+Base_Données!FE208+Base_Données!DS208-(Base_Données!BK208+Base_Données!BH208+Base_Données!AU208)</f>
        <v>0</v>
      </c>
      <c r="Q206" s="189">
        <f>P206+Base_Données!AV208-Base_Données!FE208-Base_Données!FO208</f>
        <v>0</v>
      </c>
      <c r="R206" s="329">
        <f>SIG!Q206+Base_Données!BD208+Base_Données!BH208+Base_Données!BL208+Base_Données!BN208-Base_Données!GB208-Base_Données!GJ208-Base_Données!GF208-Base_Données!FV208</f>
        <v>0</v>
      </c>
    </row>
    <row r="207" spans="1:18" customFormat="1" x14ac:dyDescent="0.25">
      <c r="A207" s="328">
        <f>Base_Données!A209</f>
        <v>0</v>
      </c>
      <c r="B207" s="181">
        <f>Base_Données!B209</f>
        <v>0</v>
      </c>
      <c r="C207" s="158">
        <f>Base_Données!C209</f>
        <v>0</v>
      </c>
      <c r="D207" s="156">
        <f>Base_Données!Q209</f>
        <v>0</v>
      </c>
      <c r="E207" s="156">
        <f>Base_Données!BR209</f>
        <v>0</v>
      </c>
      <c r="F207" s="155">
        <f>Base_Données!R209</f>
        <v>0</v>
      </c>
      <c r="G207" s="154">
        <f>Base_Données!BS209</f>
        <v>0</v>
      </c>
      <c r="H207" s="155">
        <f>SIG!F207-SIG!G207</f>
        <v>0</v>
      </c>
      <c r="I207" s="159">
        <f>Base_Données!BI209+Base_Données!BJ209-Base_Données!GC209-Base_Données!GD209</f>
        <v>0</v>
      </c>
      <c r="J207" s="154">
        <f t="shared" si="6"/>
        <v>0</v>
      </c>
      <c r="K207" s="154">
        <f>Base_Données!BK209-Base_Données!GE209</f>
        <v>0</v>
      </c>
      <c r="L207" s="159">
        <f t="shared" si="7"/>
        <v>0</v>
      </c>
      <c r="M207" s="158">
        <f>Base_Données!S209</f>
        <v>0</v>
      </c>
      <c r="N207" s="154">
        <f>Base_Données!T209-(Base_Données!BU209+Base_Données!BZ209+Base_Données!CC209)</f>
        <v>0</v>
      </c>
      <c r="O207" s="154">
        <f>Base_Données!AC209+Base_Données!AL209-(Base_Données!CI209)</f>
        <v>0</v>
      </c>
      <c r="P207" s="154">
        <f>L207+Base_Données!GJ209+Base_Données!GE209+Base_Données!GB209+Base_Données!FV209+Base_Données!FS209+Base_Données!FO209+Base_Données!FE209+Base_Données!DS209-(Base_Données!BK209+Base_Données!BH209+Base_Données!AU209)</f>
        <v>0</v>
      </c>
      <c r="Q207" s="189">
        <f>P207+Base_Données!AV209-Base_Données!FE209-Base_Données!FO209</f>
        <v>0</v>
      </c>
      <c r="R207" s="329">
        <f>SIG!Q207+Base_Données!BD209+Base_Données!BH209+Base_Données!BL209+Base_Données!BN209-Base_Données!GB209-Base_Données!GJ209-Base_Données!GF209-Base_Données!FV209</f>
        <v>0</v>
      </c>
    </row>
    <row r="208" spans="1:18" customFormat="1" x14ac:dyDescent="0.25">
      <c r="A208" s="328">
        <f>Base_Données!A210</f>
        <v>0</v>
      </c>
      <c r="B208" s="181">
        <f>Base_Données!B210</f>
        <v>0</v>
      </c>
      <c r="C208" s="158">
        <f>Base_Données!C210</f>
        <v>0</v>
      </c>
      <c r="D208" s="156">
        <f>Base_Données!Q210</f>
        <v>0</v>
      </c>
      <c r="E208" s="156">
        <f>Base_Données!BR210</f>
        <v>0</v>
      </c>
      <c r="F208" s="155">
        <f>Base_Données!R210</f>
        <v>0</v>
      </c>
      <c r="G208" s="154">
        <f>Base_Données!BS210</f>
        <v>0</v>
      </c>
      <c r="H208" s="155">
        <f>SIG!F208-SIG!G208</f>
        <v>0</v>
      </c>
      <c r="I208" s="159">
        <f>Base_Données!BI210+Base_Données!BJ210-Base_Données!GC210-Base_Données!GD210</f>
        <v>0</v>
      </c>
      <c r="J208" s="154">
        <f t="shared" si="6"/>
        <v>0</v>
      </c>
      <c r="K208" s="154">
        <f>Base_Données!BK210-Base_Données!GE210</f>
        <v>0</v>
      </c>
      <c r="L208" s="159">
        <f t="shared" si="7"/>
        <v>0</v>
      </c>
      <c r="M208" s="158">
        <f>Base_Données!S210</f>
        <v>0</v>
      </c>
      <c r="N208" s="154">
        <f>Base_Données!T210-(Base_Données!BU210+Base_Données!BZ210+Base_Données!CC210)</f>
        <v>0</v>
      </c>
      <c r="O208" s="154">
        <f>Base_Données!AC210+Base_Données!AL210-(Base_Données!CI210)</f>
        <v>0</v>
      </c>
      <c r="P208" s="154">
        <f>L208+Base_Données!GJ210+Base_Données!GE210+Base_Données!GB210+Base_Données!FV210+Base_Données!FS210+Base_Données!FO210+Base_Données!FE210+Base_Données!DS210-(Base_Données!BK210+Base_Données!BH210+Base_Données!AU210)</f>
        <v>0</v>
      </c>
      <c r="Q208" s="189">
        <f>P208+Base_Données!AV210-Base_Données!FE210-Base_Données!FO210</f>
        <v>0</v>
      </c>
      <c r="R208" s="329">
        <f>SIG!Q208+Base_Données!BD210+Base_Données!BH210+Base_Données!BL210+Base_Données!BN210-Base_Données!GB210-Base_Données!GJ210-Base_Données!GF210-Base_Données!FV210</f>
        <v>0</v>
      </c>
    </row>
    <row r="209" spans="1:18" customFormat="1" x14ac:dyDescent="0.25">
      <c r="A209" s="328">
        <f>Base_Données!A211</f>
        <v>0</v>
      </c>
      <c r="B209" s="181">
        <f>Base_Données!B211</f>
        <v>0</v>
      </c>
      <c r="C209" s="158">
        <f>Base_Données!C211</f>
        <v>0</v>
      </c>
      <c r="D209" s="156">
        <f>Base_Données!Q211</f>
        <v>0</v>
      </c>
      <c r="E209" s="156">
        <f>Base_Données!BR211</f>
        <v>0</v>
      </c>
      <c r="F209" s="155">
        <f>Base_Données!R211</f>
        <v>0</v>
      </c>
      <c r="G209" s="154">
        <f>Base_Données!BS211</f>
        <v>0</v>
      </c>
      <c r="H209" s="155">
        <f>SIG!F209-SIG!G209</f>
        <v>0</v>
      </c>
      <c r="I209" s="159">
        <f>Base_Données!BI211+Base_Données!BJ211-Base_Données!GC211-Base_Données!GD211</f>
        <v>0</v>
      </c>
      <c r="J209" s="154">
        <f t="shared" si="6"/>
        <v>0</v>
      </c>
      <c r="K209" s="154">
        <f>Base_Données!BK211-Base_Données!GE211</f>
        <v>0</v>
      </c>
      <c r="L209" s="159">
        <f t="shared" si="7"/>
        <v>0</v>
      </c>
      <c r="M209" s="158">
        <f>Base_Données!S211</f>
        <v>0</v>
      </c>
      <c r="N209" s="154">
        <f>Base_Données!T211-(Base_Données!BU211+Base_Données!BZ211+Base_Données!CC211)</f>
        <v>0</v>
      </c>
      <c r="O209" s="154">
        <f>Base_Données!AC211+Base_Données!AL211-(Base_Données!CI211)</f>
        <v>0</v>
      </c>
      <c r="P209" s="154">
        <f>L209+Base_Données!GJ211+Base_Données!GE211+Base_Données!GB211+Base_Données!FV211+Base_Données!FS211+Base_Données!FO211+Base_Données!FE211+Base_Données!DS211-(Base_Données!BK211+Base_Données!BH211+Base_Données!AU211)</f>
        <v>0</v>
      </c>
      <c r="Q209" s="189">
        <f>P209+Base_Données!AV211-Base_Données!FE211-Base_Données!FO211</f>
        <v>0</v>
      </c>
      <c r="R209" s="329">
        <f>SIG!Q209+Base_Données!BD211+Base_Données!BH211+Base_Données!BL211+Base_Données!BN211-Base_Données!GB211-Base_Données!GJ211-Base_Données!GF211-Base_Données!FV211</f>
        <v>0</v>
      </c>
    </row>
    <row r="210" spans="1:18" customFormat="1" x14ac:dyDescent="0.25">
      <c r="A210" s="328">
        <f>Base_Données!A212</f>
        <v>0</v>
      </c>
      <c r="B210" s="181">
        <f>Base_Données!B212</f>
        <v>0</v>
      </c>
      <c r="C210" s="158">
        <f>Base_Données!C212</f>
        <v>0</v>
      </c>
      <c r="D210" s="156">
        <f>Base_Données!Q212</f>
        <v>0</v>
      </c>
      <c r="E210" s="156">
        <f>Base_Données!BR212</f>
        <v>0</v>
      </c>
      <c r="F210" s="155">
        <f>Base_Données!R212</f>
        <v>0</v>
      </c>
      <c r="G210" s="154">
        <f>Base_Données!BS212</f>
        <v>0</v>
      </c>
      <c r="H210" s="155">
        <f>SIG!F210-SIG!G210</f>
        <v>0</v>
      </c>
      <c r="I210" s="159">
        <f>Base_Données!BI212+Base_Données!BJ212-Base_Données!GC212-Base_Données!GD212</f>
        <v>0</v>
      </c>
      <c r="J210" s="154">
        <f t="shared" si="6"/>
        <v>0</v>
      </c>
      <c r="K210" s="154">
        <f>Base_Données!BK212-Base_Données!GE212</f>
        <v>0</v>
      </c>
      <c r="L210" s="159">
        <f t="shared" si="7"/>
        <v>0</v>
      </c>
      <c r="M210" s="158">
        <f>Base_Données!S212</f>
        <v>0</v>
      </c>
      <c r="N210" s="154">
        <f>Base_Données!T212-(Base_Données!BU212+Base_Données!BZ212+Base_Données!CC212)</f>
        <v>0</v>
      </c>
      <c r="O210" s="154">
        <f>Base_Données!AC212+Base_Données!AL212-(Base_Données!CI212)</f>
        <v>0</v>
      </c>
      <c r="P210" s="154">
        <f>L210+Base_Données!GJ212+Base_Données!GE212+Base_Données!GB212+Base_Données!FV212+Base_Données!FS212+Base_Données!FO212+Base_Données!FE212+Base_Données!DS212-(Base_Données!BK212+Base_Données!BH212+Base_Données!AU212)</f>
        <v>0</v>
      </c>
      <c r="Q210" s="189">
        <f>P210+Base_Données!AV212-Base_Données!FE212-Base_Données!FO212</f>
        <v>0</v>
      </c>
      <c r="R210" s="329">
        <f>SIG!Q210+Base_Données!BD212+Base_Données!BH212+Base_Données!BL212+Base_Données!BN212-Base_Données!GB212-Base_Données!GJ212-Base_Données!GF212-Base_Données!FV212</f>
        <v>0</v>
      </c>
    </row>
    <row r="211" spans="1:18" customFormat="1" x14ac:dyDescent="0.25">
      <c r="A211" s="328">
        <f>Base_Données!A213</f>
        <v>0</v>
      </c>
      <c r="B211" s="181">
        <f>Base_Données!B213</f>
        <v>0</v>
      </c>
      <c r="C211" s="158">
        <f>Base_Données!C213</f>
        <v>0</v>
      </c>
      <c r="D211" s="156">
        <f>Base_Données!Q213</f>
        <v>0</v>
      </c>
      <c r="E211" s="156">
        <f>Base_Données!BR213</f>
        <v>0</v>
      </c>
      <c r="F211" s="155">
        <f>Base_Données!R213</f>
        <v>0</v>
      </c>
      <c r="G211" s="154">
        <f>Base_Données!BS213</f>
        <v>0</v>
      </c>
      <c r="H211" s="155">
        <f>SIG!F211-SIG!G211</f>
        <v>0</v>
      </c>
      <c r="I211" s="159">
        <f>Base_Données!BI213+Base_Données!BJ213-Base_Données!GC213-Base_Données!GD213</f>
        <v>0</v>
      </c>
      <c r="J211" s="154">
        <f t="shared" si="6"/>
        <v>0</v>
      </c>
      <c r="K211" s="154">
        <f>Base_Données!BK213-Base_Données!GE213</f>
        <v>0</v>
      </c>
      <c r="L211" s="159">
        <f t="shared" si="7"/>
        <v>0</v>
      </c>
      <c r="M211" s="158">
        <f>Base_Données!S213</f>
        <v>0</v>
      </c>
      <c r="N211" s="154">
        <f>Base_Données!T213-(Base_Données!BU213+Base_Données!BZ213+Base_Données!CC213)</f>
        <v>0</v>
      </c>
      <c r="O211" s="154">
        <f>Base_Données!AC213+Base_Données!AL213-(Base_Données!CI213)</f>
        <v>0</v>
      </c>
      <c r="P211" s="154">
        <f>L211+Base_Données!GJ213+Base_Données!GE213+Base_Données!GB213+Base_Données!FV213+Base_Données!FS213+Base_Données!FO213+Base_Données!FE213+Base_Données!DS213-(Base_Données!BK213+Base_Données!BH213+Base_Données!AU213)</f>
        <v>0</v>
      </c>
      <c r="Q211" s="189">
        <f>P211+Base_Données!AV213-Base_Données!FE213-Base_Données!FO213</f>
        <v>0</v>
      </c>
      <c r="R211" s="329">
        <f>SIG!Q211+Base_Données!BD213+Base_Données!BH213+Base_Données!BL213+Base_Données!BN213-Base_Données!GB213-Base_Données!GJ213-Base_Données!GF213-Base_Données!FV213</f>
        <v>0</v>
      </c>
    </row>
    <row r="212" spans="1:18" customFormat="1" x14ac:dyDescent="0.25">
      <c r="A212" s="328">
        <f>Base_Données!A214</f>
        <v>0</v>
      </c>
      <c r="B212" s="181">
        <f>Base_Données!B214</f>
        <v>0</v>
      </c>
      <c r="C212" s="158">
        <f>Base_Données!C214</f>
        <v>0</v>
      </c>
      <c r="D212" s="156">
        <f>Base_Données!Q214</f>
        <v>0</v>
      </c>
      <c r="E212" s="156">
        <f>Base_Données!BR214</f>
        <v>0</v>
      </c>
      <c r="F212" s="155">
        <f>Base_Données!R214</f>
        <v>0</v>
      </c>
      <c r="G212" s="154">
        <f>Base_Données!BS214</f>
        <v>0</v>
      </c>
      <c r="H212" s="155">
        <f>SIG!F212-SIG!G212</f>
        <v>0</v>
      </c>
      <c r="I212" s="159">
        <f>Base_Données!BI214+Base_Données!BJ214-Base_Données!GC214-Base_Données!GD214</f>
        <v>0</v>
      </c>
      <c r="J212" s="154">
        <f t="shared" si="6"/>
        <v>0</v>
      </c>
      <c r="K212" s="154">
        <f>Base_Données!BK214-Base_Données!GE214</f>
        <v>0</v>
      </c>
      <c r="L212" s="159">
        <f t="shared" si="7"/>
        <v>0</v>
      </c>
      <c r="M212" s="158">
        <f>Base_Données!S214</f>
        <v>0</v>
      </c>
      <c r="N212" s="154">
        <f>Base_Données!T214-(Base_Données!BU214+Base_Données!BZ214+Base_Données!CC214)</f>
        <v>0</v>
      </c>
      <c r="O212" s="154">
        <f>Base_Données!AC214+Base_Données!AL214-(Base_Données!CI214)</f>
        <v>0</v>
      </c>
      <c r="P212" s="154">
        <f>L212+Base_Données!GJ214+Base_Données!GE214+Base_Données!GB214+Base_Données!FV214+Base_Données!FS214+Base_Données!FO214+Base_Données!FE214+Base_Données!DS214-(Base_Données!BK214+Base_Données!BH214+Base_Données!AU214)</f>
        <v>0</v>
      </c>
      <c r="Q212" s="189">
        <f>P212+Base_Données!AV214-Base_Données!FE214-Base_Données!FO214</f>
        <v>0</v>
      </c>
      <c r="R212" s="329">
        <f>SIG!Q212+Base_Données!BD214+Base_Données!BH214+Base_Données!BL214+Base_Données!BN214-Base_Données!GB214-Base_Données!GJ214-Base_Données!GF214-Base_Données!FV214</f>
        <v>0</v>
      </c>
    </row>
    <row r="213" spans="1:18" customFormat="1" x14ac:dyDescent="0.25">
      <c r="A213" s="328">
        <f>Base_Données!A215</f>
        <v>0</v>
      </c>
      <c r="B213" s="181">
        <f>Base_Données!B215</f>
        <v>0</v>
      </c>
      <c r="C213" s="158">
        <f>Base_Données!C215</f>
        <v>0</v>
      </c>
      <c r="D213" s="156">
        <f>Base_Données!Q215</f>
        <v>0</v>
      </c>
      <c r="E213" s="156">
        <f>Base_Données!BR215</f>
        <v>0</v>
      </c>
      <c r="F213" s="155">
        <f>Base_Données!R215</f>
        <v>0</v>
      </c>
      <c r="G213" s="154">
        <f>Base_Données!BS215</f>
        <v>0</v>
      </c>
      <c r="H213" s="155">
        <f>SIG!F213-SIG!G213</f>
        <v>0</v>
      </c>
      <c r="I213" s="159">
        <f>Base_Données!BI215+Base_Données!BJ215-Base_Données!GC215-Base_Données!GD215</f>
        <v>0</v>
      </c>
      <c r="J213" s="154">
        <f t="shared" si="6"/>
        <v>0</v>
      </c>
      <c r="K213" s="154">
        <f>Base_Données!BK215-Base_Données!GE215</f>
        <v>0</v>
      </c>
      <c r="L213" s="159">
        <f t="shared" si="7"/>
        <v>0</v>
      </c>
      <c r="M213" s="158">
        <f>Base_Données!S215</f>
        <v>0</v>
      </c>
      <c r="N213" s="154">
        <f>Base_Données!T215-(Base_Données!BU215+Base_Données!BZ215+Base_Données!CC215)</f>
        <v>0</v>
      </c>
      <c r="O213" s="154">
        <f>Base_Données!AC215+Base_Données!AL215-(Base_Données!CI215)</f>
        <v>0</v>
      </c>
      <c r="P213" s="154">
        <f>L213+Base_Données!GJ215+Base_Données!GE215+Base_Données!GB215+Base_Données!FV215+Base_Données!FS215+Base_Données!FO215+Base_Données!FE215+Base_Données!DS215-(Base_Données!BK215+Base_Données!BH215+Base_Données!AU215)</f>
        <v>0</v>
      </c>
      <c r="Q213" s="189">
        <f>P213+Base_Données!AV215-Base_Données!FE215-Base_Données!FO215</f>
        <v>0</v>
      </c>
      <c r="R213" s="329">
        <f>SIG!Q213+Base_Données!BD215+Base_Données!BH215+Base_Données!BL215+Base_Données!BN215-Base_Données!GB215-Base_Données!GJ215-Base_Données!GF215-Base_Données!FV215</f>
        <v>0</v>
      </c>
    </row>
    <row r="214" spans="1:18" customFormat="1" x14ac:dyDescent="0.25">
      <c r="A214" s="328">
        <f>Base_Données!A216</f>
        <v>0</v>
      </c>
      <c r="B214" s="181">
        <f>Base_Données!B216</f>
        <v>0</v>
      </c>
      <c r="C214" s="158">
        <f>Base_Données!C216</f>
        <v>0</v>
      </c>
      <c r="D214" s="156">
        <f>Base_Données!Q216</f>
        <v>0</v>
      </c>
      <c r="E214" s="156">
        <f>Base_Données!BR216</f>
        <v>0</v>
      </c>
      <c r="F214" s="155">
        <f>Base_Données!R216</f>
        <v>0</v>
      </c>
      <c r="G214" s="154">
        <f>Base_Données!BS216</f>
        <v>0</v>
      </c>
      <c r="H214" s="155">
        <f>SIG!F214-SIG!G214</f>
        <v>0</v>
      </c>
      <c r="I214" s="159">
        <f>Base_Données!BI216+Base_Données!BJ216-Base_Données!GC216-Base_Données!GD216</f>
        <v>0</v>
      </c>
      <c r="J214" s="154">
        <f t="shared" si="6"/>
        <v>0</v>
      </c>
      <c r="K214" s="154">
        <f>Base_Données!BK216-Base_Données!GE216</f>
        <v>0</v>
      </c>
      <c r="L214" s="159">
        <f t="shared" si="7"/>
        <v>0</v>
      </c>
      <c r="M214" s="158">
        <f>Base_Données!S216</f>
        <v>0</v>
      </c>
      <c r="N214" s="154">
        <f>Base_Données!T216-(Base_Données!BU216+Base_Données!BZ216+Base_Données!CC216)</f>
        <v>0</v>
      </c>
      <c r="O214" s="154">
        <f>Base_Données!AC216+Base_Données!AL216-(Base_Données!CI216)</f>
        <v>0</v>
      </c>
      <c r="P214" s="154">
        <f>L214+Base_Données!GJ216+Base_Données!GE216+Base_Données!GB216+Base_Données!FV216+Base_Données!FS216+Base_Données!FO216+Base_Données!FE216+Base_Données!DS216-(Base_Données!BK216+Base_Données!BH216+Base_Données!AU216)</f>
        <v>0</v>
      </c>
      <c r="Q214" s="189">
        <f>P214+Base_Données!AV216-Base_Données!FE216-Base_Données!FO216</f>
        <v>0</v>
      </c>
      <c r="R214" s="329">
        <f>SIG!Q214+Base_Données!BD216+Base_Données!BH216+Base_Données!BL216+Base_Données!BN216-Base_Données!GB216-Base_Données!GJ216-Base_Données!GF216-Base_Données!FV216</f>
        <v>0</v>
      </c>
    </row>
    <row r="215" spans="1:18" customFormat="1" x14ac:dyDescent="0.25">
      <c r="A215" s="328">
        <f>Base_Données!A217</f>
        <v>0</v>
      </c>
      <c r="B215" s="181">
        <f>Base_Données!B217</f>
        <v>0</v>
      </c>
      <c r="C215" s="158">
        <f>Base_Données!C217</f>
        <v>0</v>
      </c>
      <c r="D215" s="156">
        <f>Base_Données!Q217</f>
        <v>0</v>
      </c>
      <c r="E215" s="156">
        <f>Base_Données!BR217</f>
        <v>0</v>
      </c>
      <c r="F215" s="155">
        <f>Base_Données!R217</f>
        <v>0</v>
      </c>
      <c r="G215" s="154">
        <f>Base_Données!BS217</f>
        <v>0</v>
      </c>
      <c r="H215" s="155">
        <f>SIG!F215-SIG!G215</f>
        <v>0</v>
      </c>
      <c r="I215" s="159">
        <f>Base_Données!BI217+Base_Données!BJ217-Base_Données!GC217-Base_Données!GD217</f>
        <v>0</v>
      </c>
      <c r="J215" s="154">
        <f t="shared" si="6"/>
        <v>0</v>
      </c>
      <c r="K215" s="154">
        <f>Base_Données!BK217-Base_Données!GE217</f>
        <v>0</v>
      </c>
      <c r="L215" s="159">
        <f t="shared" si="7"/>
        <v>0</v>
      </c>
      <c r="M215" s="158">
        <f>Base_Données!S217</f>
        <v>0</v>
      </c>
      <c r="N215" s="154">
        <f>Base_Données!T217-(Base_Données!BU217+Base_Données!BZ217+Base_Données!CC217)</f>
        <v>0</v>
      </c>
      <c r="O215" s="154">
        <f>Base_Données!AC217+Base_Données!AL217-(Base_Données!CI217)</f>
        <v>0</v>
      </c>
      <c r="P215" s="154">
        <f>L215+Base_Données!GJ217+Base_Données!GE217+Base_Données!GB217+Base_Données!FV217+Base_Données!FS217+Base_Données!FO217+Base_Données!FE217+Base_Données!DS217-(Base_Données!BK217+Base_Données!BH217+Base_Données!AU217)</f>
        <v>0</v>
      </c>
      <c r="Q215" s="189">
        <f>P215+Base_Données!AV217-Base_Données!FE217-Base_Données!FO217</f>
        <v>0</v>
      </c>
      <c r="R215" s="329">
        <f>SIG!Q215+Base_Données!BD217+Base_Données!BH217+Base_Données!BL217+Base_Données!BN217-Base_Données!GB217-Base_Données!GJ217-Base_Données!GF217-Base_Données!FV217</f>
        <v>0</v>
      </c>
    </row>
    <row r="216" spans="1:18" customFormat="1" x14ac:dyDescent="0.25">
      <c r="A216" s="328">
        <f>Base_Données!A218</f>
        <v>0</v>
      </c>
      <c r="B216" s="181">
        <f>Base_Données!B218</f>
        <v>0</v>
      </c>
      <c r="C216" s="158">
        <f>Base_Données!C218</f>
        <v>0</v>
      </c>
      <c r="D216" s="156">
        <f>Base_Données!Q218</f>
        <v>0</v>
      </c>
      <c r="E216" s="156">
        <f>Base_Données!BR218</f>
        <v>0</v>
      </c>
      <c r="F216" s="155">
        <f>Base_Données!R218</f>
        <v>0</v>
      </c>
      <c r="G216" s="154">
        <f>Base_Données!BS218</f>
        <v>0</v>
      </c>
      <c r="H216" s="155">
        <f>SIG!F216-SIG!G216</f>
        <v>0</v>
      </c>
      <c r="I216" s="159">
        <f>Base_Données!BI218+Base_Données!BJ218-Base_Données!GC218-Base_Données!GD218</f>
        <v>0</v>
      </c>
      <c r="J216" s="154">
        <f t="shared" si="6"/>
        <v>0</v>
      </c>
      <c r="K216" s="154">
        <f>Base_Données!BK218-Base_Données!GE218</f>
        <v>0</v>
      </c>
      <c r="L216" s="159">
        <f t="shared" si="7"/>
        <v>0</v>
      </c>
      <c r="M216" s="158">
        <f>Base_Données!S218</f>
        <v>0</v>
      </c>
      <c r="N216" s="154">
        <f>Base_Données!T218-(Base_Données!BU218+Base_Données!BZ218+Base_Données!CC218)</f>
        <v>0</v>
      </c>
      <c r="O216" s="154">
        <f>Base_Données!AC218+Base_Données!AL218-(Base_Données!CI218)</f>
        <v>0</v>
      </c>
      <c r="P216" s="154">
        <f>L216+Base_Données!GJ218+Base_Données!GE218+Base_Données!GB218+Base_Données!FV218+Base_Données!FS218+Base_Données!FO218+Base_Données!FE218+Base_Données!DS218-(Base_Données!BK218+Base_Données!BH218+Base_Données!AU218)</f>
        <v>0</v>
      </c>
      <c r="Q216" s="189">
        <f>P216+Base_Données!AV218-Base_Données!FE218-Base_Données!FO218</f>
        <v>0</v>
      </c>
      <c r="R216" s="329">
        <f>SIG!Q216+Base_Données!BD218+Base_Données!BH218+Base_Données!BL218+Base_Données!BN218-Base_Données!GB218-Base_Données!GJ218-Base_Données!GF218-Base_Données!FV218</f>
        <v>0</v>
      </c>
    </row>
    <row r="217" spans="1:18" customFormat="1" x14ac:dyDescent="0.25">
      <c r="A217" s="328">
        <f>Base_Données!A219</f>
        <v>0</v>
      </c>
      <c r="B217" s="181">
        <f>Base_Données!B219</f>
        <v>0</v>
      </c>
      <c r="C217" s="158">
        <f>Base_Données!C219</f>
        <v>0</v>
      </c>
      <c r="D217" s="156">
        <f>Base_Données!Q219</f>
        <v>0</v>
      </c>
      <c r="E217" s="156">
        <f>Base_Données!BR219</f>
        <v>0</v>
      </c>
      <c r="F217" s="155">
        <f>Base_Données!R219</f>
        <v>0</v>
      </c>
      <c r="G217" s="154">
        <f>Base_Données!BS219</f>
        <v>0</v>
      </c>
      <c r="H217" s="155">
        <f>SIG!F217-SIG!G217</f>
        <v>0</v>
      </c>
      <c r="I217" s="159">
        <f>Base_Données!BI219+Base_Données!BJ219-Base_Données!GC219-Base_Données!GD219</f>
        <v>0</v>
      </c>
      <c r="J217" s="154">
        <f t="shared" si="6"/>
        <v>0</v>
      </c>
      <c r="K217" s="154">
        <f>Base_Données!BK219-Base_Données!GE219</f>
        <v>0</v>
      </c>
      <c r="L217" s="159">
        <f t="shared" si="7"/>
        <v>0</v>
      </c>
      <c r="M217" s="158">
        <f>Base_Données!S219</f>
        <v>0</v>
      </c>
      <c r="N217" s="154">
        <f>Base_Données!T219-(Base_Données!BU219+Base_Données!BZ219+Base_Données!CC219)</f>
        <v>0</v>
      </c>
      <c r="O217" s="154">
        <f>Base_Données!AC219+Base_Données!AL219-(Base_Données!CI219)</f>
        <v>0</v>
      </c>
      <c r="P217" s="154">
        <f>L217+Base_Données!GJ219+Base_Données!GE219+Base_Données!GB219+Base_Données!FV219+Base_Données!FS219+Base_Données!FO219+Base_Données!FE219+Base_Données!DS219-(Base_Données!BK219+Base_Données!BH219+Base_Données!AU219)</f>
        <v>0</v>
      </c>
      <c r="Q217" s="189">
        <f>P217+Base_Données!AV219-Base_Données!FE219-Base_Données!FO219</f>
        <v>0</v>
      </c>
      <c r="R217" s="329">
        <f>SIG!Q217+Base_Données!BD219+Base_Données!BH219+Base_Données!BL219+Base_Données!BN219-Base_Données!GB219-Base_Données!GJ219-Base_Données!GF219-Base_Données!FV219</f>
        <v>0</v>
      </c>
    </row>
    <row r="218" spans="1:18" customFormat="1" x14ac:dyDescent="0.25">
      <c r="A218" s="328">
        <f>Base_Données!A220</f>
        <v>0</v>
      </c>
      <c r="B218" s="181">
        <f>Base_Données!B220</f>
        <v>0</v>
      </c>
      <c r="C218" s="158">
        <f>Base_Données!C220</f>
        <v>0</v>
      </c>
      <c r="D218" s="156">
        <f>Base_Données!Q220</f>
        <v>0</v>
      </c>
      <c r="E218" s="156">
        <f>Base_Données!BR220</f>
        <v>0</v>
      </c>
      <c r="F218" s="155">
        <f>Base_Données!R220</f>
        <v>0</v>
      </c>
      <c r="G218" s="154">
        <f>Base_Données!BS220</f>
        <v>0</v>
      </c>
      <c r="H218" s="155">
        <f>SIG!F218-SIG!G218</f>
        <v>0</v>
      </c>
      <c r="I218" s="159">
        <f>Base_Données!BI220+Base_Données!BJ220-Base_Données!GC220-Base_Données!GD220</f>
        <v>0</v>
      </c>
      <c r="J218" s="154">
        <f t="shared" si="6"/>
        <v>0</v>
      </c>
      <c r="K218" s="154">
        <f>Base_Données!BK220-Base_Données!GE220</f>
        <v>0</v>
      </c>
      <c r="L218" s="159">
        <f t="shared" si="7"/>
        <v>0</v>
      </c>
      <c r="M218" s="158">
        <f>Base_Données!S220</f>
        <v>0</v>
      </c>
      <c r="N218" s="154">
        <f>Base_Données!T220-(Base_Données!BU220+Base_Données!BZ220+Base_Données!CC220)</f>
        <v>0</v>
      </c>
      <c r="O218" s="154">
        <f>Base_Données!AC220+Base_Données!AL220-(Base_Données!CI220)</f>
        <v>0</v>
      </c>
      <c r="P218" s="154">
        <f>L218+Base_Données!GJ220+Base_Données!GE220+Base_Données!GB220+Base_Données!FV220+Base_Données!FS220+Base_Données!FO220+Base_Données!FE220+Base_Données!DS220-(Base_Données!BK220+Base_Données!BH220+Base_Données!AU220)</f>
        <v>0</v>
      </c>
      <c r="Q218" s="189">
        <f>P218+Base_Données!AV220-Base_Données!FE220-Base_Données!FO220</f>
        <v>0</v>
      </c>
      <c r="R218" s="329">
        <f>SIG!Q218+Base_Données!BD220+Base_Données!BH220+Base_Données!BL220+Base_Données!BN220-Base_Données!GB220-Base_Données!GJ220-Base_Données!GF220-Base_Données!FV220</f>
        <v>0</v>
      </c>
    </row>
    <row r="219" spans="1:18" customFormat="1" x14ac:dyDescent="0.25">
      <c r="A219" s="328">
        <f>Base_Données!A221</f>
        <v>0</v>
      </c>
      <c r="B219" s="181">
        <f>Base_Données!B221</f>
        <v>0</v>
      </c>
      <c r="C219" s="158">
        <f>Base_Données!C221</f>
        <v>0</v>
      </c>
      <c r="D219" s="156">
        <f>Base_Données!Q221</f>
        <v>0</v>
      </c>
      <c r="E219" s="156">
        <f>Base_Données!BR221</f>
        <v>0</v>
      </c>
      <c r="F219" s="155">
        <f>Base_Données!R221</f>
        <v>0</v>
      </c>
      <c r="G219" s="154">
        <f>Base_Données!BS221</f>
        <v>0</v>
      </c>
      <c r="H219" s="155">
        <f>SIG!F219-SIG!G219</f>
        <v>0</v>
      </c>
      <c r="I219" s="159">
        <f>Base_Données!BI221+Base_Données!BJ221-Base_Données!GC221-Base_Données!GD221</f>
        <v>0</v>
      </c>
      <c r="J219" s="154">
        <f t="shared" si="6"/>
        <v>0</v>
      </c>
      <c r="K219" s="154">
        <f>Base_Données!BK221-Base_Données!GE221</f>
        <v>0</v>
      </c>
      <c r="L219" s="159">
        <f t="shared" si="7"/>
        <v>0</v>
      </c>
      <c r="M219" s="158">
        <f>Base_Données!S221</f>
        <v>0</v>
      </c>
      <c r="N219" s="154">
        <f>Base_Données!T221-(Base_Données!BU221+Base_Données!BZ221+Base_Données!CC221)</f>
        <v>0</v>
      </c>
      <c r="O219" s="154">
        <f>Base_Données!AC221+Base_Données!AL221-(Base_Données!CI221)</f>
        <v>0</v>
      </c>
      <c r="P219" s="154">
        <f>L219+Base_Données!GJ221+Base_Données!GE221+Base_Données!GB221+Base_Données!FV221+Base_Données!FS221+Base_Données!FO221+Base_Données!FE221+Base_Données!DS221-(Base_Données!BK221+Base_Données!BH221+Base_Données!AU221)</f>
        <v>0</v>
      </c>
      <c r="Q219" s="189">
        <f>P219+Base_Données!AV221-Base_Données!FE221-Base_Données!FO221</f>
        <v>0</v>
      </c>
      <c r="R219" s="329">
        <f>SIG!Q219+Base_Données!BD221+Base_Données!BH221+Base_Données!BL221+Base_Données!BN221-Base_Données!GB221-Base_Données!GJ221-Base_Données!GF221-Base_Données!FV221</f>
        <v>0</v>
      </c>
    </row>
    <row r="220" spans="1:18" customFormat="1" x14ac:dyDescent="0.25">
      <c r="A220" s="328">
        <f>Base_Données!A222</f>
        <v>0</v>
      </c>
      <c r="B220" s="181">
        <f>Base_Données!B222</f>
        <v>0</v>
      </c>
      <c r="C220" s="158">
        <f>Base_Données!C222</f>
        <v>0</v>
      </c>
      <c r="D220" s="156">
        <f>Base_Données!Q222</f>
        <v>0</v>
      </c>
      <c r="E220" s="156">
        <f>Base_Données!BR222</f>
        <v>0</v>
      </c>
      <c r="F220" s="155">
        <f>Base_Données!R222</f>
        <v>0</v>
      </c>
      <c r="G220" s="154">
        <f>Base_Données!BS222</f>
        <v>0</v>
      </c>
      <c r="H220" s="155">
        <f>SIG!F220-SIG!G220</f>
        <v>0</v>
      </c>
      <c r="I220" s="159">
        <f>Base_Données!BI222+Base_Données!BJ222-Base_Données!GC222-Base_Données!GD222</f>
        <v>0</v>
      </c>
      <c r="J220" s="154">
        <f t="shared" si="6"/>
        <v>0</v>
      </c>
      <c r="K220" s="154">
        <f>Base_Données!BK222-Base_Données!GE222</f>
        <v>0</v>
      </c>
      <c r="L220" s="159">
        <f t="shared" si="7"/>
        <v>0</v>
      </c>
      <c r="M220" s="158">
        <f>Base_Données!S222</f>
        <v>0</v>
      </c>
      <c r="N220" s="154">
        <f>Base_Données!T222-(Base_Données!BU222+Base_Données!BZ222+Base_Données!CC222)</f>
        <v>0</v>
      </c>
      <c r="O220" s="154">
        <f>Base_Données!AC222+Base_Données!AL222-(Base_Données!CI222)</f>
        <v>0</v>
      </c>
      <c r="P220" s="154">
        <f>L220+Base_Données!GJ222+Base_Données!GE222+Base_Données!GB222+Base_Données!FV222+Base_Données!FS222+Base_Données!FO222+Base_Données!FE222+Base_Données!DS222-(Base_Données!BK222+Base_Données!BH222+Base_Données!AU222)</f>
        <v>0</v>
      </c>
      <c r="Q220" s="189">
        <f>P220+Base_Données!AV222-Base_Données!FE222-Base_Données!FO222</f>
        <v>0</v>
      </c>
      <c r="R220" s="329">
        <f>SIG!Q220+Base_Données!BD222+Base_Données!BH222+Base_Données!BL222+Base_Données!BN222-Base_Données!GB222-Base_Données!GJ222-Base_Données!GF222-Base_Données!FV222</f>
        <v>0</v>
      </c>
    </row>
    <row r="221" spans="1:18" customFormat="1" x14ac:dyDescent="0.25">
      <c r="A221" s="328">
        <f>Base_Données!A223</f>
        <v>0</v>
      </c>
      <c r="B221" s="181">
        <f>Base_Données!B223</f>
        <v>0</v>
      </c>
      <c r="C221" s="158">
        <f>Base_Données!C223</f>
        <v>0</v>
      </c>
      <c r="D221" s="156">
        <f>Base_Données!Q223</f>
        <v>0</v>
      </c>
      <c r="E221" s="156">
        <f>Base_Données!BR223</f>
        <v>0</v>
      </c>
      <c r="F221" s="155">
        <f>Base_Données!R223</f>
        <v>0</v>
      </c>
      <c r="G221" s="154">
        <f>Base_Données!BS223</f>
        <v>0</v>
      </c>
      <c r="H221" s="155">
        <f>SIG!F221-SIG!G221</f>
        <v>0</v>
      </c>
      <c r="I221" s="159">
        <f>Base_Données!BI223+Base_Données!BJ223-Base_Données!GC223-Base_Données!GD223</f>
        <v>0</v>
      </c>
      <c r="J221" s="154">
        <f t="shared" si="6"/>
        <v>0</v>
      </c>
      <c r="K221" s="154">
        <f>Base_Données!BK223-Base_Données!GE223</f>
        <v>0</v>
      </c>
      <c r="L221" s="159">
        <f t="shared" si="7"/>
        <v>0</v>
      </c>
      <c r="M221" s="158">
        <f>Base_Données!S223</f>
        <v>0</v>
      </c>
      <c r="N221" s="154">
        <f>Base_Données!T223-(Base_Données!BU223+Base_Données!BZ223+Base_Données!CC223)</f>
        <v>0</v>
      </c>
      <c r="O221" s="154">
        <f>Base_Données!AC223+Base_Données!AL223-(Base_Données!CI223)</f>
        <v>0</v>
      </c>
      <c r="P221" s="154">
        <f>L221+Base_Données!GJ223+Base_Données!GE223+Base_Données!GB223+Base_Données!FV223+Base_Données!FS223+Base_Données!FO223+Base_Données!FE223+Base_Données!DS223-(Base_Données!BK223+Base_Données!BH223+Base_Données!AU223)</f>
        <v>0</v>
      </c>
      <c r="Q221" s="189">
        <f>P221+Base_Données!AV223-Base_Données!FE223-Base_Données!FO223</f>
        <v>0</v>
      </c>
      <c r="R221" s="329">
        <f>SIG!Q221+Base_Données!BD223+Base_Données!BH223+Base_Données!BL223+Base_Données!BN223-Base_Données!GB223-Base_Données!GJ223-Base_Données!GF223-Base_Données!FV223</f>
        <v>0</v>
      </c>
    </row>
    <row r="222" spans="1:18" customFormat="1" x14ac:dyDescent="0.25">
      <c r="A222" s="328">
        <f>Base_Données!A224</f>
        <v>0</v>
      </c>
      <c r="B222" s="181">
        <f>Base_Données!B224</f>
        <v>0</v>
      </c>
      <c r="C222" s="158">
        <f>Base_Données!C224</f>
        <v>0</v>
      </c>
      <c r="D222" s="156">
        <f>Base_Données!Q224</f>
        <v>0</v>
      </c>
      <c r="E222" s="156">
        <f>Base_Données!BR224</f>
        <v>0</v>
      </c>
      <c r="F222" s="155">
        <f>Base_Données!R224</f>
        <v>0</v>
      </c>
      <c r="G222" s="154">
        <f>Base_Données!BS224</f>
        <v>0</v>
      </c>
      <c r="H222" s="155">
        <f>SIG!F222-SIG!G222</f>
        <v>0</v>
      </c>
      <c r="I222" s="159">
        <f>Base_Données!BI224+Base_Données!BJ224-Base_Données!GC224-Base_Données!GD224</f>
        <v>0</v>
      </c>
      <c r="J222" s="154">
        <f t="shared" si="6"/>
        <v>0</v>
      </c>
      <c r="K222" s="154">
        <f>Base_Données!BK224-Base_Données!GE224</f>
        <v>0</v>
      </c>
      <c r="L222" s="159">
        <f t="shared" si="7"/>
        <v>0</v>
      </c>
      <c r="M222" s="158">
        <f>Base_Données!S224</f>
        <v>0</v>
      </c>
      <c r="N222" s="154">
        <f>Base_Données!T224-(Base_Données!BU224+Base_Données!BZ224+Base_Données!CC224)</f>
        <v>0</v>
      </c>
      <c r="O222" s="154">
        <f>Base_Données!AC224+Base_Données!AL224-(Base_Données!CI224)</f>
        <v>0</v>
      </c>
      <c r="P222" s="154">
        <f>L222+Base_Données!GJ224+Base_Données!GE224+Base_Données!GB224+Base_Données!FV224+Base_Données!FS224+Base_Données!FO224+Base_Données!FE224+Base_Données!DS224-(Base_Données!BK224+Base_Données!BH224+Base_Données!AU224)</f>
        <v>0</v>
      </c>
      <c r="Q222" s="189">
        <f>P222+Base_Données!AV224-Base_Données!FE224-Base_Données!FO224</f>
        <v>0</v>
      </c>
      <c r="R222" s="329">
        <f>SIG!Q222+Base_Données!BD224+Base_Données!BH224+Base_Données!BL224+Base_Données!BN224-Base_Données!GB224-Base_Données!GJ224-Base_Données!GF224-Base_Données!FV224</f>
        <v>0</v>
      </c>
    </row>
    <row r="223" spans="1:18" customFormat="1" x14ac:dyDescent="0.25">
      <c r="A223" s="328">
        <f>Base_Données!A225</f>
        <v>0</v>
      </c>
      <c r="B223" s="181">
        <f>Base_Données!B225</f>
        <v>0</v>
      </c>
      <c r="C223" s="158">
        <f>Base_Données!C225</f>
        <v>0</v>
      </c>
      <c r="D223" s="156">
        <f>Base_Données!Q225</f>
        <v>0</v>
      </c>
      <c r="E223" s="156">
        <f>Base_Données!BR225</f>
        <v>0</v>
      </c>
      <c r="F223" s="155">
        <f>Base_Données!R225</f>
        <v>0</v>
      </c>
      <c r="G223" s="154">
        <f>Base_Données!BS225</f>
        <v>0</v>
      </c>
      <c r="H223" s="155">
        <f>SIG!F223-SIG!G223</f>
        <v>0</v>
      </c>
      <c r="I223" s="159">
        <f>Base_Données!BI225+Base_Données!BJ225-Base_Données!GC225-Base_Données!GD225</f>
        <v>0</v>
      </c>
      <c r="J223" s="154">
        <f t="shared" si="6"/>
        <v>0</v>
      </c>
      <c r="K223" s="154">
        <f>Base_Données!BK225-Base_Données!GE225</f>
        <v>0</v>
      </c>
      <c r="L223" s="159">
        <f t="shared" si="7"/>
        <v>0</v>
      </c>
      <c r="M223" s="158">
        <f>Base_Données!S225</f>
        <v>0</v>
      </c>
      <c r="N223" s="154">
        <f>Base_Données!T225-(Base_Données!BU225+Base_Données!BZ225+Base_Données!CC225)</f>
        <v>0</v>
      </c>
      <c r="O223" s="154">
        <f>Base_Données!AC225+Base_Données!AL225-(Base_Données!CI225)</f>
        <v>0</v>
      </c>
      <c r="P223" s="154">
        <f>L223+Base_Données!GJ225+Base_Données!GE225+Base_Données!GB225+Base_Données!FV225+Base_Données!FS225+Base_Données!FO225+Base_Données!FE225+Base_Données!DS225-(Base_Données!BK225+Base_Données!BH225+Base_Données!AU225)</f>
        <v>0</v>
      </c>
      <c r="Q223" s="189">
        <f>P223+Base_Données!AV225-Base_Données!FE225-Base_Données!FO225</f>
        <v>0</v>
      </c>
      <c r="R223" s="329">
        <f>SIG!Q223+Base_Données!BD225+Base_Données!BH225+Base_Données!BL225+Base_Données!BN225-Base_Données!GB225-Base_Données!GJ225-Base_Données!GF225-Base_Données!FV225</f>
        <v>0</v>
      </c>
    </row>
    <row r="224" spans="1:18" customFormat="1" x14ac:dyDescent="0.25">
      <c r="A224" s="328">
        <f>Base_Données!A226</f>
        <v>0</v>
      </c>
      <c r="B224" s="181">
        <f>Base_Données!B226</f>
        <v>0</v>
      </c>
      <c r="C224" s="158">
        <f>Base_Données!C226</f>
        <v>0</v>
      </c>
      <c r="D224" s="156">
        <f>Base_Données!Q226</f>
        <v>0</v>
      </c>
      <c r="E224" s="156">
        <f>Base_Données!BR226</f>
        <v>0</v>
      </c>
      <c r="F224" s="155">
        <f>Base_Données!R226</f>
        <v>0</v>
      </c>
      <c r="G224" s="154">
        <f>Base_Données!BS226</f>
        <v>0</v>
      </c>
      <c r="H224" s="155">
        <f>SIG!F224-SIG!G224</f>
        <v>0</v>
      </c>
      <c r="I224" s="159">
        <f>Base_Données!BI226+Base_Données!BJ226-Base_Données!GC226-Base_Données!GD226</f>
        <v>0</v>
      </c>
      <c r="J224" s="154">
        <f t="shared" si="6"/>
        <v>0</v>
      </c>
      <c r="K224" s="154">
        <f>Base_Données!BK226-Base_Données!GE226</f>
        <v>0</v>
      </c>
      <c r="L224" s="159">
        <f t="shared" si="7"/>
        <v>0</v>
      </c>
      <c r="M224" s="158">
        <f>Base_Données!S226</f>
        <v>0</v>
      </c>
      <c r="N224" s="154">
        <f>Base_Données!T226-(Base_Données!BU226+Base_Données!BZ226+Base_Données!CC226)</f>
        <v>0</v>
      </c>
      <c r="O224" s="154">
        <f>Base_Données!AC226+Base_Données!AL226-(Base_Données!CI226)</f>
        <v>0</v>
      </c>
      <c r="P224" s="154">
        <f>L224+Base_Données!GJ226+Base_Données!GE226+Base_Données!GB226+Base_Données!FV226+Base_Données!FS226+Base_Données!FO226+Base_Données!FE226+Base_Données!DS226-(Base_Données!BK226+Base_Données!BH226+Base_Données!AU226)</f>
        <v>0</v>
      </c>
      <c r="Q224" s="189">
        <f>P224+Base_Données!AV226-Base_Données!FE226-Base_Données!FO226</f>
        <v>0</v>
      </c>
      <c r="R224" s="329">
        <f>SIG!Q224+Base_Données!BD226+Base_Données!BH226+Base_Données!BL226+Base_Données!BN226-Base_Données!GB226-Base_Données!GJ226-Base_Données!GF226-Base_Données!FV226</f>
        <v>0</v>
      </c>
    </row>
    <row r="225" spans="1:18" customFormat="1" x14ac:dyDescent="0.25">
      <c r="A225" s="328">
        <f>Base_Données!A227</f>
        <v>0</v>
      </c>
      <c r="B225" s="181">
        <f>Base_Données!B227</f>
        <v>0</v>
      </c>
      <c r="C225" s="158">
        <f>Base_Données!C227</f>
        <v>0</v>
      </c>
      <c r="D225" s="156">
        <f>Base_Données!Q227</f>
        <v>0</v>
      </c>
      <c r="E225" s="156">
        <f>Base_Données!BR227</f>
        <v>0</v>
      </c>
      <c r="F225" s="155">
        <f>Base_Données!R227</f>
        <v>0</v>
      </c>
      <c r="G225" s="154">
        <f>Base_Données!BS227</f>
        <v>0</v>
      </c>
      <c r="H225" s="155">
        <f>SIG!F225-SIG!G225</f>
        <v>0</v>
      </c>
      <c r="I225" s="159">
        <f>Base_Données!BI227+Base_Données!BJ227-Base_Données!GC227-Base_Données!GD227</f>
        <v>0</v>
      </c>
      <c r="J225" s="154">
        <f t="shared" si="6"/>
        <v>0</v>
      </c>
      <c r="K225" s="154">
        <f>Base_Données!BK227-Base_Données!GE227</f>
        <v>0</v>
      </c>
      <c r="L225" s="159">
        <f t="shared" si="7"/>
        <v>0</v>
      </c>
      <c r="M225" s="158">
        <f>Base_Données!S227</f>
        <v>0</v>
      </c>
      <c r="N225" s="154">
        <f>Base_Données!T227-(Base_Données!BU227+Base_Données!BZ227+Base_Données!CC227)</f>
        <v>0</v>
      </c>
      <c r="O225" s="154">
        <f>Base_Données!AC227+Base_Données!AL227-(Base_Données!CI227)</f>
        <v>0</v>
      </c>
      <c r="P225" s="154">
        <f>L225+Base_Données!GJ227+Base_Données!GE227+Base_Données!GB227+Base_Données!FV227+Base_Données!FS227+Base_Données!FO227+Base_Données!FE227+Base_Données!DS227-(Base_Données!BK227+Base_Données!BH227+Base_Données!AU227)</f>
        <v>0</v>
      </c>
      <c r="Q225" s="189">
        <f>P225+Base_Données!AV227-Base_Données!FE227-Base_Données!FO227</f>
        <v>0</v>
      </c>
      <c r="R225" s="329">
        <f>SIG!Q225+Base_Données!BD227+Base_Données!BH227+Base_Données!BL227+Base_Données!BN227-Base_Données!GB227-Base_Données!GJ227-Base_Données!GF227-Base_Données!FV227</f>
        <v>0</v>
      </c>
    </row>
    <row r="226" spans="1:18" customFormat="1" x14ac:dyDescent="0.25">
      <c r="A226" s="328">
        <f>Base_Données!A228</f>
        <v>0</v>
      </c>
      <c r="B226" s="181">
        <f>Base_Données!B228</f>
        <v>0</v>
      </c>
      <c r="C226" s="158">
        <f>Base_Données!C228</f>
        <v>0</v>
      </c>
      <c r="D226" s="156">
        <f>Base_Données!Q228</f>
        <v>0</v>
      </c>
      <c r="E226" s="156">
        <f>Base_Données!BR228</f>
        <v>0</v>
      </c>
      <c r="F226" s="155">
        <f>Base_Données!R228</f>
        <v>0</v>
      </c>
      <c r="G226" s="154">
        <f>Base_Données!BS228</f>
        <v>0</v>
      </c>
      <c r="H226" s="155">
        <f>SIG!F226-SIG!G226</f>
        <v>0</v>
      </c>
      <c r="I226" s="159">
        <f>Base_Données!BI228+Base_Données!BJ228-Base_Données!GC228-Base_Données!GD228</f>
        <v>0</v>
      </c>
      <c r="J226" s="154">
        <f t="shared" si="6"/>
        <v>0</v>
      </c>
      <c r="K226" s="154">
        <f>Base_Données!BK228-Base_Données!GE228</f>
        <v>0</v>
      </c>
      <c r="L226" s="159">
        <f t="shared" si="7"/>
        <v>0</v>
      </c>
      <c r="M226" s="158">
        <f>Base_Données!S228</f>
        <v>0</v>
      </c>
      <c r="N226" s="154">
        <f>Base_Données!T228-(Base_Données!BU228+Base_Données!BZ228+Base_Données!CC228)</f>
        <v>0</v>
      </c>
      <c r="O226" s="154">
        <f>Base_Données!AC228+Base_Données!AL228-(Base_Données!CI228)</f>
        <v>0</v>
      </c>
      <c r="P226" s="154">
        <f>L226+Base_Données!GJ228+Base_Données!GE228+Base_Données!GB228+Base_Données!FV228+Base_Données!FS228+Base_Données!FO228+Base_Données!FE228+Base_Données!DS228-(Base_Données!BK228+Base_Données!BH228+Base_Données!AU228)</f>
        <v>0</v>
      </c>
      <c r="Q226" s="189">
        <f>P226+Base_Données!AV228-Base_Données!FE228-Base_Données!FO228</f>
        <v>0</v>
      </c>
      <c r="R226" s="329">
        <f>SIG!Q226+Base_Données!BD228+Base_Données!BH228+Base_Données!BL228+Base_Données!BN228-Base_Données!GB228-Base_Données!GJ228-Base_Données!GF228-Base_Données!FV228</f>
        <v>0</v>
      </c>
    </row>
    <row r="227" spans="1:18" customFormat="1" x14ac:dyDescent="0.25">
      <c r="A227" s="328">
        <f>Base_Données!A229</f>
        <v>0</v>
      </c>
      <c r="B227" s="181">
        <f>Base_Données!B229</f>
        <v>0</v>
      </c>
      <c r="C227" s="158">
        <f>Base_Données!C229</f>
        <v>0</v>
      </c>
      <c r="D227" s="156">
        <f>Base_Données!Q229</f>
        <v>0</v>
      </c>
      <c r="E227" s="156">
        <f>Base_Données!BR229</f>
        <v>0</v>
      </c>
      <c r="F227" s="155">
        <f>Base_Données!R229</f>
        <v>0</v>
      </c>
      <c r="G227" s="154">
        <f>Base_Données!BS229</f>
        <v>0</v>
      </c>
      <c r="H227" s="155">
        <f>SIG!F227-SIG!G227</f>
        <v>0</v>
      </c>
      <c r="I227" s="159">
        <f>Base_Données!BI229+Base_Données!BJ229-Base_Données!GC229-Base_Données!GD229</f>
        <v>0</v>
      </c>
      <c r="J227" s="154">
        <f t="shared" si="6"/>
        <v>0</v>
      </c>
      <c r="K227" s="154">
        <f>Base_Données!BK229-Base_Données!GE229</f>
        <v>0</v>
      </c>
      <c r="L227" s="159">
        <f t="shared" si="7"/>
        <v>0</v>
      </c>
      <c r="M227" s="158">
        <f>Base_Données!S229</f>
        <v>0</v>
      </c>
      <c r="N227" s="154">
        <f>Base_Données!T229-(Base_Données!BU229+Base_Données!BZ229+Base_Données!CC229)</f>
        <v>0</v>
      </c>
      <c r="O227" s="154">
        <f>Base_Données!AC229+Base_Données!AL229-(Base_Données!CI229)</f>
        <v>0</v>
      </c>
      <c r="P227" s="154">
        <f>L227+Base_Données!GJ229+Base_Données!GE229+Base_Données!GB229+Base_Données!FV229+Base_Données!FS229+Base_Données!FO229+Base_Données!FE229+Base_Données!DS229-(Base_Données!BK229+Base_Données!BH229+Base_Données!AU229)</f>
        <v>0</v>
      </c>
      <c r="Q227" s="189">
        <f>P227+Base_Données!AV229-Base_Données!FE229-Base_Données!FO229</f>
        <v>0</v>
      </c>
      <c r="R227" s="329">
        <f>SIG!Q227+Base_Données!BD229+Base_Données!BH229+Base_Données!BL229+Base_Données!BN229-Base_Données!GB229-Base_Données!GJ229-Base_Données!GF229-Base_Données!FV229</f>
        <v>0</v>
      </c>
    </row>
    <row r="228" spans="1:18" customFormat="1" x14ac:dyDescent="0.25">
      <c r="A228" s="328">
        <f>Base_Données!A230</f>
        <v>0</v>
      </c>
      <c r="B228" s="181">
        <f>Base_Données!B230</f>
        <v>0</v>
      </c>
      <c r="C228" s="158">
        <f>Base_Données!C230</f>
        <v>0</v>
      </c>
      <c r="D228" s="156">
        <f>Base_Données!Q230</f>
        <v>0</v>
      </c>
      <c r="E228" s="156">
        <f>Base_Données!BR230</f>
        <v>0</v>
      </c>
      <c r="F228" s="155">
        <f>Base_Données!R230</f>
        <v>0</v>
      </c>
      <c r="G228" s="154">
        <f>Base_Données!BS230</f>
        <v>0</v>
      </c>
      <c r="H228" s="155">
        <f>SIG!F228-SIG!G228</f>
        <v>0</v>
      </c>
      <c r="I228" s="159">
        <f>Base_Données!BI230+Base_Données!BJ230-Base_Données!GC230-Base_Données!GD230</f>
        <v>0</v>
      </c>
      <c r="J228" s="154">
        <f t="shared" si="6"/>
        <v>0</v>
      </c>
      <c r="K228" s="154">
        <f>Base_Données!BK230-Base_Données!GE230</f>
        <v>0</v>
      </c>
      <c r="L228" s="159">
        <f t="shared" si="7"/>
        <v>0</v>
      </c>
      <c r="M228" s="158">
        <f>Base_Données!S230</f>
        <v>0</v>
      </c>
      <c r="N228" s="154">
        <f>Base_Données!T230-(Base_Données!BU230+Base_Données!BZ230+Base_Données!CC230)</f>
        <v>0</v>
      </c>
      <c r="O228" s="154">
        <f>Base_Données!AC230+Base_Données!AL230-(Base_Données!CI230)</f>
        <v>0</v>
      </c>
      <c r="P228" s="154">
        <f>L228+Base_Données!GJ230+Base_Données!GE230+Base_Données!GB230+Base_Données!FV230+Base_Données!FS230+Base_Données!FO230+Base_Données!FE230+Base_Données!DS230-(Base_Données!BK230+Base_Données!BH230+Base_Données!AU230)</f>
        <v>0</v>
      </c>
      <c r="Q228" s="189">
        <f>P228+Base_Données!AV230-Base_Données!FE230-Base_Données!FO230</f>
        <v>0</v>
      </c>
      <c r="R228" s="329">
        <f>SIG!Q228+Base_Données!BD230+Base_Données!BH230+Base_Données!BL230+Base_Données!BN230-Base_Données!GB230-Base_Données!GJ230-Base_Données!GF230-Base_Données!FV230</f>
        <v>0</v>
      </c>
    </row>
    <row r="229" spans="1:18" customFormat="1" x14ac:dyDescent="0.25">
      <c r="A229" s="328">
        <f>Base_Données!A231</f>
        <v>0</v>
      </c>
      <c r="B229" s="181">
        <f>Base_Données!B231</f>
        <v>0</v>
      </c>
      <c r="C229" s="158">
        <f>Base_Données!C231</f>
        <v>0</v>
      </c>
      <c r="D229" s="156">
        <f>Base_Données!Q231</f>
        <v>0</v>
      </c>
      <c r="E229" s="156">
        <f>Base_Données!BR231</f>
        <v>0</v>
      </c>
      <c r="F229" s="155">
        <f>Base_Données!R231</f>
        <v>0</v>
      </c>
      <c r="G229" s="154">
        <f>Base_Données!BS231</f>
        <v>0</v>
      </c>
      <c r="H229" s="155">
        <f>SIG!F229-SIG!G229</f>
        <v>0</v>
      </c>
      <c r="I229" s="159">
        <f>Base_Données!BI231+Base_Données!BJ231-Base_Données!GC231-Base_Données!GD231</f>
        <v>0</v>
      </c>
      <c r="J229" s="154">
        <f t="shared" si="6"/>
        <v>0</v>
      </c>
      <c r="K229" s="154">
        <f>Base_Données!BK231-Base_Données!GE231</f>
        <v>0</v>
      </c>
      <c r="L229" s="159">
        <f t="shared" si="7"/>
        <v>0</v>
      </c>
      <c r="M229" s="158">
        <f>Base_Données!S231</f>
        <v>0</v>
      </c>
      <c r="N229" s="154">
        <f>Base_Données!T231-(Base_Données!BU231+Base_Données!BZ231+Base_Données!CC231)</f>
        <v>0</v>
      </c>
      <c r="O229" s="154">
        <f>Base_Données!AC231+Base_Données!AL231-(Base_Données!CI231)</f>
        <v>0</v>
      </c>
      <c r="P229" s="154">
        <f>L229+Base_Données!GJ231+Base_Données!GE231+Base_Données!GB231+Base_Données!FV231+Base_Données!FS231+Base_Données!FO231+Base_Données!FE231+Base_Données!DS231-(Base_Données!BK231+Base_Données!BH231+Base_Données!AU231)</f>
        <v>0</v>
      </c>
      <c r="Q229" s="189">
        <f>P229+Base_Données!AV231-Base_Données!FE231-Base_Données!FO231</f>
        <v>0</v>
      </c>
      <c r="R229" s="329">
        <f>SIG!Q229+Base_Données!BD231+Base_Données!BH231+Base_Données!BL231+Base_Données!BN231-Base_Données!GB231-Base_Données!GJ231-Base_Données!GF231-Base_Données!FV231</f>
        <v>0</v>
      </c>
    </row>
    <row r="230" spans="1:18" customFormat="1" x14ac:dyDescent="0.25">
      <c r="A230" s="328">
        <f>Base_Données!A232</f>
        <v>0</v>
      </c>
      <c r="B230" s="181">
        <f>Base_Données!B232</f>
        <v>0</v>
      </c>
      <c r="C230" s="158">
        <f>Base_Données!C232</f>
        <v>0</v>
      </c>
      <c r="D230" s="156">
        <f>Base_Données!Q232</f>
        <v>0</v>
      </c>
      <c r="E230" s="156">
        <f>Base_Données!BR232</f>
        <v>0</v>
      </c>
      <c r="F230" s="155">
        <f>Base_Données!R232</f>
        <v>0</v>
      </c>
      <c r="G230" s="154">
        <f>Base_Données!BS232</f>
        <v>0</v>
      </c>
      <c r="H230" s="155">
        <f>SIG!F230-SIG!G230</f>
        <v>0</v>
      </c>
      <c r="I230" s="159">
        <f>Base_Données!BI232+Base_Données!BJ232-Base_Données!GC232-Base_Données!GD232</f>
        <v>0</v>
      </c>
      <c r="J230" s="154">
        <f t="shared" si="6"/>
        <v>0</v>
      </c>
      <c r="K230" s="154">
        <f>Base_Données!BK232-Base_Données!GE232</f>
        <v>0</v>
      </c>
      <c r="L230" s="159">
        <f t="shared" si="7"/>
        <v>0</v>
      </c>
      <c r="M230" s="158">
        <f>Base_Données!S232</f>
        <v>0</v>
      </c>
      <c r="N230" s="154">
        <f>Base_Données!T232-(Base_Données!BU232+Base_Données!BZ232+Base_Données!CC232)</f>
        <v>0</v>
      </c>
      <c r="O230" s="154">
        <f>Base_Données!AC232+Base_Données!AL232-(Base_Données!CI232)</f>
        <v>0</v>
      </c>
      <c r="P230" s="154">
        <f>L230+Base_Données!GJ232+Base_Données!GE232+Base_Données!GB232+Base_Données!FV232+Base_Données!FS232+Base_Données!FO232+Base_Données!FE232+Base_Données!DS232-(Base_Données!BK232+Base_Données!BH232+Base_Données!AU232)</f>
        <v>0</v>
      </c>
      <c r="Q230" s="189">
        <f>P230+Base_Données!AV232-Base_Données!FE232-Base_Données!FO232</f>
        <v>0</v>
      </c>
      <c r="R230" s="329">
        <f>SIG!Q230+Base_Données!BD232+Base_Données!BH232+Base_Données!BL232+Base_Données!BN232-Base_Données!GB232-Base_Données!GJ232-Base_Données!GF232-Base_Données!FV232</f>
        <v>0</v>
      </c>
    </row>
    <row r="231" spans="1:18" customFormat="1" x14ac:dyDescent="0.25">
      <c r="A231" s="328">
        <f>Base_Données!A233</f>
        <v>0</v>
      </c>
      <c r="B231" s="181">
        <f>Base_Données!B233</f>
        <v>0</v>
      </c>
      <c r="C231" s="158">
        <f>Base_Données!C233</f>
        <v>0</v>
      </c>
      <c r="D231" s="156">
        <f>Base_Données!Q233</f>
        <v>0</v>
      </c>
      <c r="E231" s="156">
        <f>Base_Données!BR233</f>
        <v>0</v>
      </c>
      <c r="F231" s="155">
        <f>Base_Données!R233</f>
        <v>0</v>
      </c>
      <c r="G231" s="154">
        <f>Base_Données!BS233</f>
        <v>0</v>
      </c>
      <c r="H231" s="155">
        <f>SIG!F231-SIG!G231</f>
        <v>0</v>
      </c>
      <c r="I231" s="159">
        <f>Base_Données!BI233+Base_Données!BJ233-Base_Données!GC233-Base_Données!GD233</f>
        <v>0</v>
      </c>
      <c r="J231" s="154">
        <f t="shared" si="6"/>
        <v>0</v>
      </c>
      <c r="K231" s="154">
        <f>Base_Données!BK233-Base_Données!GE233</f>
        <v>0</v>
      </c>
      <c r="L231" s="159">
        <f t="shared" si="7"/>
        <v>0</v>
      </c>
      <c r="M231" s="158">
        <f>Base_Données!S233</f>
        <v>0</v>
      </c>
      <c r="N231" s="154">
        <f>Base_Données!T233-(Base_Données!BU233+Base_Données!BZ233+Base_Données!CC233)</f>
        <v>0</v>
      </c>
      <c r="O231" s="154">
        <f>Base_Données!AC233+Base_Données!AL233-(Base_Données!CI233)</f>
        <v>0</v>
      </c>
      <c r="P231" s="154">
        <f>L231+Base_Données!GJ233+Base_Données!GE233+Base_Données!GB233+Base_Données!FV233+Base_Données!FS233+Base_Données!FO233+Base_Données!FE233+Base_Données!DS233-(Base_Données!BK233+Base_Données!BH233+Base_Données!AU233)</f>
        <v>0</v>
      </c>
      <c r="Q231" s="189">
        <f>P231+Base_Données!AV233-Base_Données!FE233-Base_Données!FO233</f>
        <v>0</v>
      </c>
      <c r="R231" s="329">
        <f>SIG!Q231+Base_Données!BD233+Base_Données!BH233+Base_Données!BL233+Base_Données!BN233-Base_Données!GB233-Base_Données!GJ233-Base_Données!GF233-Base_Données!FV233</f>
        <v>0</v>
      </c>
    </row>
    <row r="232" spans="1:18" customFormat="1" x14ac:dyDescent="0.25">
      <c r="A232" s="328">
        <f>Base_Données!A234</f>
        <v>0</v>
      </c>
      <c r="B232" s="181">
        <f>Base_Données!B234</f>
        <v>0</v>
      </c>
      <c r="C232" s="158">
        <f>Base_Données!C234</f>
        <v>0</v>
      </c>
      <c r="D232" s="156">
        <f>Base_Données!Q234</f>
        <v>0</v>
      </c>
      <c r="E232" s="156">
        <f>Base_Données!BR234</f>
        <v>0</v>
      </c>
      <c r="F232" s="155">
        <f>Base_Données!R234</f>
        <v>0</v>
      </c>
      <c r="G232" s="154">
        <f>Base_Données!BS234</f>
        <v>0</v>
      </c>
      <c r="H232" s="155">
        <f>SIG!F232-SIG!G232</f>
        <v>0</v>
      </c>
      <c r="I232" s="159">
        <f>Base_Données!BI234+Base_Données!BJ234-Base_Données!GC234-Base_Données!GD234</f>
        <v>0</v>
      </c>
      <c r="J232" s="154">
        <f t="shared" si="6"/>
        <v>0</v>
      </c>
      <c r="K232" s="154">
        <f>Base_Données!BK234-Base_Données!GE234</f>
        <v>0</v>
      </c>
      <c r="L232" s="159">
        <f t="shared" si="7"/>
        <v>0</v>
      </c>
      <c r="M232" s="158">
        <f>Base_Données!S234</f>
        <v>0</v>
      </c>
      <c r="N232" s="154">
        <f>Base_Données!T234-(Base_Données!BU234+Base_Données!BZ234+Base_Données!CC234)</f>
        <v>0</v>
      </c>
      <c r="O232" s="154">
        <f>Base_Données!AC234+Base_Données!AL234-(Base_Données!CI234)</f>
        <v>0</v>
      </c>
      <c r="P232" s="154">
        <f>L232+Base_Données!GJ234+Base_Données!GE234+Base_Données!GB234+Base_Données!FV234+Base_Données!FS234+Base_Données!FO234+Base_Données!FE234+Base_Données!DS234-(Base_Données!BK234+Base_Données!BH234+Base_Données!AU234)</f>
        <v>0</v>
      </c>
      <c r="Q232" s="189">
        <f>P232+Base_Données!AV234-Base_Données!FE234-Base_Données!FO234</f>
        <v>0</v>
      </c>
      <c r="R232" s="329">
        <f>SIG!Q232+Base_Données!BD234+Base_Données!BH234+Base_Données!BL234+Base_Données!BN234-Base_Données!GB234-Base_Données!GJ234-Base_Données!GF234-Base_Données!FV234</f>
        <v>0</v>
      </c>
    </row>
    <row r="233" spans="1:18" customFormat="1" x14ac:dyDescent="0.25">
      <c r="A233" s="328">
        <f>Base_Données!A235</f>
        <v>0</v>
      </c>
      <c r="B233" s="181">
        <f>Base_Données!B235</f>
        <v>0</v>
      </c>
      <c r="C233" s="158">
        <f>Base_Données!C235</f>
        <v>0</v>
      </c>
      <c r="D233" s="156">
        <f>Base_Données!Q235</f>
        <v>0</v>
      </c>
      <c r="E233" s="156">
        <f>Base_Données!BR235</f>
        <v>0</v>
      </c>
      <c r="F233" s="155">
        <f>Base_Données!R235</f>
        <v>0</v>
      </c>
      <c r="G233" s="154">
        <f>Base_Données!BS235</f>
        <v>0</v>
      </c>
      <c r="H233" s="155">
        <f>SIG!F233-SIG!G233</f>
        <v>0</v>
      </c>
      <c r="I233" s="159">
        <f>Base_Données!BI235+Base_Données!BJ235-Base_Données!GC235-Base_Données!GD235</f>
        <v>0</v>
      </c>
      <c r="J233" s="154">
        <f t="shared" si="6"/>
        <v>0</v>
      </c>
      <c r="K233" s="154">
        <f>Base_Données!BK235-Base_Données!GE235</f>
        <v>0</v>
      </c>
      <c r="L233" s="159">
        <f t="shared" si="7"/>
        <v>0</v>
      </c>
      <c r="M233" s="158">
        <f>Base_Données!S235</f>
        <v>0</v>
      </c>
      <c r="N233" s="154">
        <f>Base_Données!T235-(Base_Données!BU235+Base_Données!BZ235+Base_Données!CC235)</f>
        <v>0</v>
      </c>
      <c r="O233" s="154">
        <f>Base_Données!AC235+Base_Données!AL235-(Base_Données!CI235)</f>
        <v>0</v>
      </c>
      <c r="P233" s="154">
        <f>L233+Base_Données!GJ235+Base_Données!GE235+Base_Données!GB235+Base_Données!FV235+Base_Données!FS235+Base_Données!FO235+Base_Données!FE235+Base_Données!DS235-(Base_Données!BK235+Base_Données!BH235+Base_Données!AU235)</f>
        <v>0</v>
      </c>
      <c r="Q233" s="189">
        <f>P233+Base_Données!AV235-Base_Données!FE235-Base_Données!FO235</f>
        <v>0</v>
      </c>
      <c r="R233" s="329">
        <f>SIG!Q233+Base_Données!BD235+Base_Données!BH235+Base_Données!BL235+Base_Données!BN235-Base_Données!GB235-Base_Données!GJ235-Base_Données!GF235-Base_Données!FV235</f>
        <v>0</v>
      </c>
    </row>
    <row r="234" spans="1:18" customFormat="1" x14ac:dyDescent="0.25">
      <c r="A234" s="328">
        <f>Base_Données!A236</f>
        <v>0</v>
      </c>
      <c r="B234" s="181">
        <f>Base_Données!B236</f>
        <v>0</v>
      </c>
      <c r="C234" s="158">
        <f>Base_Données!C236</f>
        <v>0</v>
      </c>
      <c r="D234" s="156">
        <f>Base_Données!Q236</f>
        <v>0</v>
      </c>
      <c r="E234" s="156">
        <f>Base_Données!BR236</f>
        <v>0</v>
      </c>
      <c r="F234" s="155">
        <f>Base_Données!R236</f>
        <v>0</v>
      </c>
      <c r="G234" s="154">
        <f>Base_Données!BS236</f>
        <v>0</v>
      </c>
      <c r="H234" s="155">
        <f>SIG!F234-SIG!G234</f>
        <v>0</v>
      </c>
      <c r="I234" s="159">
        <f>Base_Données!BI236+Base_Données!BJ236-Base_Données!GC236-Base_Données!GD236</f>
        <v>0</v>
      </c>
      <c r="J234" s="154">
        <f t="shared" si="6"/>
        <v>0</v>
      </c>
      <c r="K234" s="154">
        <f>Base_Données!BK236-Base_Données!GE236</f>
        <v>0</v>
      </c>
      <c r="L234" s="159">
        <f t="shared" si="7"/>
        <v>0</v>
      </c>
      <c r="M234" s="158">
        <f>Base_Données!S236</f>
        <v>0</v>
      </c>
      <c r="N234" s="154">
        <f>Base_Données!T236-(Base_Données!BU236+Base_Données!BZ236+Base_Données!CC236)</f>
        <v>0</v>
      </c>
      <c r="O234" s="154">
        <f>Base_Données!AC236+Base_Données!AL236-(Base_Données!CI236)</f>
        <v>0</v>
      </c>
      <c r="P234" s="154">
        <f>L234+Base_Données!GJ236+Base_Données!GE236+Base_Données!GB236+Base_Données!FV236+Base_Données!FS236+Base_Données!FO236+Base_Données!FE236+Base_Données!DS236-(Base_Données!BK236+Base_Données!BH236+Base_Données!AU236)</f>
        <v>0</v>
      </c>
      <c r="Q234" s="189">
        <f>P234+Base_Données!AV236-Base_Données!FE236-Base_Données!FO236</f>
        <v>0</v>
      </c>
      <c r="R234" s="329">
        <f>SIG!Q234+Base_Données!BD236+Base_Données!BH236+Base_Données!BL236+Base_Données!BN236-Base_Données!GB236-Base_Données!GJ236-Base_Données!GF236-Base_Données!FV236</f>
        <v>0</v>
      </c>
    </row>
    <row r="235" spans="1:18" customFormat="1" x14ac:dyDescent="0.25">
      <c r="A235" s="328">
        <f>Base_Données!A237</f>
        <v>0</v>
      </c>
      <c r="B235" s="181">
        <f>Base_Données!B237</f>
        <v>0</v>
      </c>
      <c r="C235" s="158">
        <f>Base_Données!C237</f>
        <v>0</v>
      </c>
      <c r="D235" s="156">
        <f>Base_Données!Q237</f>
        <v>0</v>
      </c>
      <c r="E235" s="156">
        <f>Base_Données!BR237</f>
        <v>0</v>
      </c>
      <c r="F235" s="155">
        <f>Base_Données!R237</f>
        <v>0</v>
      </c>
      <c r="G235" s="154">
        <f>Base_Données!BS237</f>
        <v>0</v>
      </c>
      <c r="H235" s="155">
        <f>SIG!F235-SIG!G235</f>
        <v>0</v>
      </c>
      <c r="I235" s="159">
        <f>Base_Données!BI237+Base_Données!BJ237-Base_Données!GC237-Base_Données!GD237</f>
        <v>0</v>
      </c>
      <c r="J235" s="154">
        <f t="shared" si="6"/>
        <v>0</v>
      </c>
      <c r="K235" s="154">
        <f>Base_Données!BK237-Base_Données!GE237</f>
        <v>0</v>
      </c>
      <c r="L235" s="159">
        <f t="shared" si="7"/>
        <v>0</v>
      </c>
      <c r="M235" s="158">
        <f>Base_Données!S237</f>
        <v>0</v>
      </c>
      <c r="N235" s="154">
        <f>Base_Données!T237-(Base_Données!BU237+Base_Données!BZ237+Base_Données!CC237)</f>
        <v>0</v>
      </c>
      <c r="O235" s="154">
        <f>Base_Données!AC237+Base_Données!AL237-(Base_Données!CI237)</f>
        <v>0</v>
      </c>
      <c r="P235" s="154">
        <f>L235+Base_Données!GJ237+Base_Données!GE237+Base_Données!GB237+Base_Données!FV237+Base_Données!FS237+Base_Données!FO237+Base_Données!FE237+Base_Données!DS237-(Base_Données!BK237+Base_Données!BH237+Base_Données!AU237)</f>
        <v>0</v>
      </c>
      <c r="Q235" s="189">
        <f>P235+Base_Données!AV237-Base_Données!FE237-Base_Données!FO237</f>
        <v>0</v>
      </c>
      <c r="R235" s="329">
        <f>SIG!Q235+Base_Données!BD237+Base_Données!BH237+Base_Données!BL237+Base_Données!BN237-Base_Données!GB237-Base_Données!GJ237-Base_Données!GF237-Base_Données!FV237</f>
        <v>0</v>
      </c>
    </row>
    <row r="236" spans="1:18" customFormat="1" x14ac:dyDescent="0.25">
      <c r="A236" s="328">
        <f>Base_Données!A238</f>
        <v>0</v>
      </c>
      <c r="B236" s="181">
        <f>Base_Données!B238</f>
        <v>0</v>
      </c>
      <c r="C236" s="158">
        <f>Base_Données!C238</f>
        <v>0</v>
      </c>
      <c r="D236" s="156">
        <f>Base_Données!Q238</f>
        <v>0</v>
      </c>
      <c r="E236" s="156">
        <f>Base_Données!BR238</f>
        <v>0</v>
      </c>
      <c r="F236" s="155">
        <f>Base_Données!R238</f>
        <v>0</v>
      </c>
      <c r="G236" s="154">
        <f>Base_Données!BS238</f>
        <v>0</v>
      </c>
      <c r="H236" s="155">
        <f>SIG!F236-SIG!G236</f>
        <v>0</v>
      </c>
      <c r="I236" s="159">
        <f>Base_Données!BI238+Base_Données!BJ238-Base_Données!GC238-Base_Données!GD238</f>
        <v>0</v>
      </c>
      <c r="J236" s="154">
        <f t="shared" si="6"/>
        <v>0</v>
      </c>
      <c r="K236" s="154">
        <f>Base_Données!BK238-Base_Données!GE238</f>
        <v>0</v>
      </c>
      <c r="L236" s="159">
        <f t="shared" si="7"/>
        <v>0</v>
      </c>
      <c r="M236" s="158">
        <f>Base_Données!S238</f>
        <v>0</v>
      </c>
      <c r="N236" s="154">
        <f>Base_Données!T238-(Base_Données!BU238+Base_Données!BZ238+Base_Données!CC238)</f>
        <v>0</v>
      </c>
      <c r="O236" s="154">
        <f>Base_Données!AC238+Base_Données!AL238-(Base_Données!CI238)</f>
        <v>0</v>
      </c>
      <c r="P236" s="154">
        <f>L236+Base_Données!GJ238+Base_Données!GE238+Base_Données!GB238+Base_Données!FV238+Base_Données!FS238+Base_Données!FO238+Base_Données!FE238+Base_Données!DS238-(Base_Données!BK238+Base_Données!BH238+Base_Données!AU238)</f>
        <v>0</v>
      </c>
      <c r="Q236" s="189">
        <f>P236+Base_Données!AV238-Base_Données!FE238-Base_Données!FO238</f>
        <v>0</v>
      </c>
      <c r="R236" s="329">
        <f>SIG!Q236+Base_Données!BD238+Base_Données!BH238+Base_Données!BL238+Base_Données!BN238-Base_Données!GB238-Base_Données!GJ238-Base_Données!GF238-Base_Données!FV238</f>
        <v>0</v>
      </c>
    </row>
    <row r="237" spans="1:18" customFormat="1" x14ac:dyDescent="0.25">
      <c r="A237" s="328">
        <f>Base_Données!A239</f>
        <v>0</v>
      </c>
      <c r="B237" s="181">
        <f>Base_Données!B239</f>
        <v>0</v>
      </c>
      <c r="C237" s="158">
        <f>Base_Données!C239</f>
        <v>0</v>
      </c>
      <c r="D237" s="156">
        <f>Base_Données!Q239</f>
        <v>0</v>
      </c>
      <c r="E237" s="156">
        <f>Base_Données!BR239</f>
        <v>0</v>
      </c>
      <c r="F237" s="155">
        <f>Base_Données!R239</f>
        <v>0</v>
      </c>
      <c r="G237" s="154">
        <f>Base_Données!BS239</f>
        <v>0</v>
      </c>
      <c r="H237" s="155">
        <f>SIG!F237-SIG!G237</f>
        <v>0</v>
      </c>
      <c r="I237" s="159">
        <f>Base_Données!BI239+Base_Données!BJ239-Base_Données!GC239-Base_Données!GD239</f>
        <v>0</v>
      </c>
      <c r="J237" s="154">
        <f t="shared" si="6"/>
        <v>0</v>
      </c>
      <c r="K237" s="154">
        <f>Base_Données!BK239-Base_Données!GE239</f>
        <v>0</v>
      </c>
      <c r="L237" s="159">
        <f t="shared" si="7"/>
        <v>0</v>
      </c>
      <c r="M237" s="158">
        <f>Base_Données!S239</f>
        <v>0</v>
      </c>
      <c r="N237" s="154">
        <f>Base_Données!T239-(Base_Données!BU239+Base_Données!BZ239+Base_Données!CC239)</f>
        <v>0</v>
      </c>
      <c r="O237" s="154">
        <f>Base_Données!AC239+Base_Données!AL239-(Base_Données!CI239)</f>
        <v>0</v>
      </c>
      <c r="P237" s="154">
        <f>L237+Base_Données!GJ239+Base_Données!GE239+Base_Données!GB239+Base_Données!FV239+Base_Données!FS239+Base_Données!FO239+Base_Données!FE239+Base_Données!DS239-(Base_Données!BK239+Base_Données!BH239+Base_Données!AU239)</f>
        <v>0</v>
      </c>
      <c r="Q237" s="189">
        <f>P237+Base_Données!AV239-Base_Données!FE239-Base_Données!FO239</f>
        <v>0</v>
      </c>
      <c r="R237" s="329">
        <f>SIG!Q237+Base_Données!BD239+Base_Données!BH239+Base_Données!BL239+Base_Données!BN239-Base_Données!GB239-Base_Données!GJ239-Base_Données!GF239-Base_Données!FV239</f>
        <v>0</v>
      </c>
    </row>
    <row r="238" spans="1:18" customFormat="1" x14ac:dyDescent="0.25">
      <c r="A238" s="328">
        <f>Base_Données!A240</f>
        <v>0</v>
      </c>
      <c r="B238" s="181">
        <f>Base_Données!B240</f>
        <v>0</v>
      </c>
      <c r="C238" s="158">
        <f>Base_Données!C240</f>
        <v>0</v>
      </c>
      <c r="D238" s="156">
        <f>Base_Données!Q240</f>
        <v>0</v>
      </c>
      <c r="E238" s="156">
        <f>Base_Données!BR240</f>
        <v>0</v>
      </c>
      <c r="F238" s="155">
        <f>Base_Données!R240</f>
        <v>0</v>
      </c>
      <c r="G238" s="154">
        <f>Base_Données!BS240</f>
        <v>0</v>
      </c>
      <c r="H238" s="155">
        <f>SIG!F238-SIG!G238</f>
        <v>0</v>
      </c>
      <c r="I238" s="159">
        <f>Base_Données!BI240+Base_Données!BJ240-Base_Données!GC240-Base_Données!GD240</f>
        <v>0</v>
      </c>
      <c r="J238" s="154">
        <f t="shared" si="6"/>
        <v>0</v>
      </c>
      <c r="K238" s="154">
        <f>Base_Données!BK240-Base_Données!GE240</f>
        <v>0</v>
      </c>
      <c r="L238" s="159">
        <f t="shared" si="7"/>
        <v>0</v>
      </c>
      <c r="M238" s="158">
        <f>Base_Données!S240</f>
        <v>0</v>
      </c>
      <c r="N238" s="154">
        <f>Base_Données!T240-(Base_Données!BU240+Base_Données!BZ240+Base_Données!CC240)</f>
        <v>0</v>
      </c>
      <c r="O238" s="154">
        <f>Base_Données!AC240+Base_Données!AL240-(Base_Données!CI240)</f>
        <v>0</v>
      </c>
      <c r="P238" s="154">
        <f>L238+Base_Données!GJ240+Base_Données!GE240+Base_Données!GB240+Base_Données!FV240+Base_Données!FS240+Base_Données!FO240+Base_Données!FE240+Base_Données!DS240-(Base_Données!BK240+Base_Données!BH240+Base_Données!AU240)</f>
        <v>0</v>
      </c>
      <c r="Q238" s="189">
        <f>P238+Base_Données!AV240-Base_Données!FE240-Base_Données!FO240</f>
        <v>0</v>
      </c>
      <c r="R238" s="329">
        <f>SIG!Q238+Base_Données!BD240+Base_Données!BH240+Base_Données!BL240+Base_Données!BN240-Base_Données!GB240-Base_Données!GJ240-Base_Données!GF240-Base_Données!FV240</f>
        <v>0</v>
      </c>
    </row>
    <row r="239" spans="1:18" customFormat="1" x14ac:dyDescent="0.25">
      <c r="A239" s="328">
        <f>Base_Données!A241</f>
        <v>0</v>
      </c>
      <c r="B239" s="181">
        <f>Base_Données!B241</f>
        <v>0</v>
      </c>
      <c r="C239" s="158">
        <f>Base_Données!C241</f>
        <v>0</v>
      </c>
      <c r="D239" s="156">
        <f>Base_Données!Q241</f>
        <v>0</v>
      </c>
      <c r="E239" s="156">
        <f>Base_Données!BR241</f>
        <v>0</v>
      </c>
      <c r="F239" s="155">
        <f>Base_Données!R241</f>
        <v>0</v>
      </c>
      <c r="G239" s="154">
        <f>Base_Données!BS241</f>
        <v>0</v>
      </c>
      <c r="H239" s="155">
        <f>SIG!F239-SIG!G239</f>
        <v>0</v>
      </c>
      <c r="I239" s="159">
        <f>Base_Données!BI241+Base_Données!BJ241-Base_Données!GC241-Base_Données!GD241</f>
        <v>0</v>
      </c>
      <c r="J239" s="154">
        <f t="shared" si="6"/>
        <v>0</v>
      </c>
      <c r="K239" s="154">
        <f>Base_Données!BK241-Base_Données!GE241</f>
        <v>0</v>
      </c>
      <c r="L239" s="159">
        <f t="shared" si="7"/>
        <v>0</v>
      </c>
      <c r="M239" s="158">
        <f>Base_Données!S241</f>
        <v>0</v>
      </c>
      <c r="N239" s="154">
        <f>Base_Données!T241-(Base_Données!BU241+Base_Données!BZ241+Base_Données!CC241)</f>
        <v>0</v>
      </c>
      <c r="O239" s="154">
        <f>Base_Données!AC241+Base_Données!AL241-(Base_Données!CI241)</f>
        <v>0</v>
      </c>
      <c r="P239" s="154">
        <f>L239+Base_Données!GJ241+Base_Données!GE241+Base_Données!GB241+Base_Données!FV241+Base_Données!FS241+Base_Données!FO241+Base_Données!FE241+Base_Données!DS241-(Base_Données!BK241+Base_Données!BH241+Base_Données!AU241)</f>
        <v>0</v>
      </c>
      <c r="Q239" s="189">
        <f>P239+Base_Données!AV241-Base_Données!FE241-Base_Données!FO241</f>
        <v>0</v>
      </c>
      <c r="R239" s="329">
        <f>SIG!Q239+Base_Données!BD241+Base_Données!BH241+Base_Données!BL241+Base_Données!BN241-Base_Données!GB241-Base_Données!GJ241-Base_Données!GF241-Base_Données!FV241</f>
        <v>0</v>
      </c>
    </row>
    <row r="240" spans="1:18" customFormat="1" x14ac:dyDescent="0.25">
      <c r="A240" s="328">
        <f>Base_Données!A242</f>
        <v>0</v>
      </c>
      <c r="B240" s="181">
        <f>Base_Données!B242</f>
        <v>0</v>
      </c>
      <c r="C240" s="158">
        <f>Base_Données!C242</f>
        <v>0</v>
      </c>
      <c r="D240" s="156">
        <f>Base_Données!Q242</f>
        <v>0</v>
      </c>
      <c r="E240" s="156">
        <f>Base_Données!BR242</f>
        <v>0</v>
      </c>
      <c r="F240" s="155">
        <f>Base_Données!R242</f>
        <v>0</v>
      </c>
      <c r="G240" s="154">
        <f>Base_Données!BS242</f>
        <v>0</v>
      </c>
      <c r="H240" s="155">
        <f>SIG!F240-SIG!G240</f>
        <v>0</v>
      </c>
      <c r="I240" s="159">
        <f>Base_Données!BI242+Base_Données!BJ242-Base_Données!GC242-Base_Données!GD242</f>
        <v>0</v>
      </c>
      <c r="J240" s="154">
        <f t="shared" si="6"/>
        <v>0</v>
      </c>
      <c r="K240" s="154">
        <f>Base_Données!BK242-Base_Données!GE242</f>
        <v>0</v>
      </c>
      <c r="L240" s="159">
        <f t="shared" si="7"/>
        <v>0</v>
      </c>
      <c r="M240" s="158">
        <f>Base_Données!S242</f>
        <v>0</v>
      </c>
      <c r="N240" s="154">
        <f>Base_Données!T242-(Base_Données!BU242+Base_Données!BZ242+Base_Données!CC242)</f>
        <v>0</v>
      </c>
      <c r="O240" s="154">
        <f>Base_Données!AC242+Base_Données!AL242-(Base_Données!CI242)</f>
        <v>0</v>
      </c>
      <c r="P240" s="154">
        <f>L240+Base_Données!GJ242+Base_Données!GE242+Base_Données!GB242+Base_Données!FV242+Base_Données!FS242+Base_Données!FO242+Base_Données!FE242+Base_Données!DS242-(Base_Données!BK242+Base_Données!BH242+Base_Données!AU242)</f>
        <v>0</v>
      </c>
      <c r="Q240" s="189">
        <f>P240+Base_Données!AV242-Base_Données!FE242-Base_Données!FO242</f>
        <v>0</v>
      </c>
      <c r="R240" s="329">
        <f>SIG!Q240+Base_Données!BD242+Base_Données!BH242+Base_Données!BL242+Base_Données!BN242-Base_Données!GB242-Base_Données!GJ242-Base_Données!GF242-Base_Données!FV242</f>
        <v>0</v>
      </c>
    </row>
    <row r="241" spans="1:18" customFormat="1" x14ac:dyDescent="0.25">
      <c r="A241" s="328">
        <f>Base_Données!A243</f>
        <v>0</v>
      </c>
      <c r="B241" s="181">
        <f>Base_Données!B243</f>
        <v>0</v>
      </c>
      <c r="C241" s="158">
        <f>Base_Données!C243</f>
        <v>0</v>
      </c>
      <c r="D241" s="156">
        <f>Base_Données!Q243</f>
        <v>0</v>
      </c>
      <c r="E241" s="156">
        <f>Base_Données!BR243</f>
        <v>0</v>
      </c>
      <c r="F241" s="155">
        <f>Base_Données!R243</f>
        <v>0</v>
      </c>
      <c r="G241" s="154">
        <f>Base_Données!BS243</f>
        <v>0</v>
      </c>
      <c r="H241" s="155">
        <f>SIG!F241-SIG!G241</f>
        <v>0</v>
      </c>
      <c r="I241" s="159">
        <f>Base_Données!BI243+Base_Données!BJ243-Base_Données!GC243-Base_Données!GD243</f>
        <v>0</v>
      </c>
      <c r="J241" s="154">
        <f t="shared" si="6"/>
        <v>0</v>
      </c>
      <c r="K241" s="154">
        <f>Base_Données!BK243-Base_Données!GE243</f>
        <v>0</v>
      </c>
      <c r="L241" s="159">
        <f t="shared" si="7"/>
        <v>0</v>
      </c>
      <c r="M241" s="158">
        <f>Base_Données!S243</f>
        <v>0</v>
      </c>
      <c r="N241" s="154">
        <f>Base_Données!T243-(Base_Données!BU243+Base_Données!BZ243+Base_Données!CC243)</f>
        <v>0</v>
      </c>
      <c r="O241" s="154">
        <f>Base_Données!AC243+Base_Données!AL243-(Base_Données!CI243)</f>
        <v>0</v>
      </c>
      <c r="P241" s="154">
        <f>L241+Base_Données!GJ243+Base_Données!GE243+Base_Données!GB243+Base_Données!FV243+Base_Données!FS243+Base_Données!FO243+Base_Données!FE243+Base_Données!DS243-(Base_Données!BK243+Base_Données!BH243+Base_Données!AU243)</f>
        <v>0</v>
      </c>
      <c r="Q241" s="189">
        <f>P241+Base_Données!AV243-Base_Données!FE243-Base_Données!FO243</f>
        <v>0</v>
      </c>
      <c r="R241" s="329">
        <f>SIG!Q241+Base_Données!BD243+Base_Données!BH243+Base_Données!BL243+Base_Données!BN243-Base_Données!GB243-Base_Données!GJ243-Base_Données!GF243-Base_Données!FV243</f>
        <v>0</v>
      </c>
    </row>
    <row r="242" spans="1:18" customFormat="1" x14ac:dyDescent="0.25">
      <c r="A242" s="328">
        <f>Base_Données!A244</f>
        <v>0</v>
      </c>
      <c r="B242" s="181">
        <f>Base_Données!B244</f>
        <v>0</v>
      </c>
      <c r="C242" s="158">
        <f>Base_Données!C244</f>
        <v>0</v>
      </c>
      <c r="D242" s="156">
        <f>Base_Données!Q244</f>
        <v>0</v>
      </c>
      <c r="E242" s="156">
        <f>Base_Données!BR244</f>
        <v>0</v>
      </c>
      <c r="F242" s="155">
        <f>Base_Données!R244</f>
        <v>0</v>
      </c>
      <c r="G242" s="154">
        <f>Base_Données!BS244</f>
        <v>0</v>
      </c>
      <c r="H242" s="155">
        <f>SIG!F242-SIG!G242</f>
        <v>0</v>
      </c>
      <c r="I242" s="159">
        <f>Base_Données!BI244+Base_Données!BJ244-Base_Données!GC244-Base_Données!GD244</f>
        <v>0</v>
      </c>
      <c r="J242" s="154">
        <f t="shared" si="6"/>
        <v>0</v>
      </c>
      <c r="K242" s="154">
        <f>Base_Données!BK244-Base_Données!GE244</f>
        <v>0</v>
      </c>
      <c r="L242" s="159">
        <f t="shared" si="7"/>
        <v>0</v>
      </c>
      <c r="M242" s="158">
        <f>Base_Données!S244</f>
        <v>0</v>
      </c>
      <c r="N242" s="154">
        <f>Base_Données!T244-(Base_Données!BU244+Base_Données!BZ244+Base_Données!CC244)</f>
        <v>0</v>
      </c>
      <c r="O242" s="154">
        <f>Base_Données!AC244+Base_Données!AL244-(Base_Données!CI244)</f>
        <v>0</v>
      </c>
      <c r="P242" s="154">
        <f>L242+Base_Données!GJ244+Base_Données!GE244+Base_Données!GB244+Base_Données!FV244+Base_Données!FS244+Base_Données!FO244+Base_Données!FE244+Base_Données!DS244-(Base_Données!BK244+Base_Données!BH244+Base_Données!AU244)</f>
        <v>0</v>
      </c>
      <c r="Q242" s="189">
        <f>P242+Base_Données!AV244-Base_Données!FE244-Base_Données!FO244</f>
        <v>0</v>
      </c>
      <c r="R242" s="329">
        <f>SIG!Q242+Base_Données!BD244+Base_Données!BH244+Base_Données!BL244+Base_Données!BN244-Base_Données!GB244-Base_Données!GJ244-Base_Données!GF244-Base_Données!FV244</f>
        <v>0</v>
      </c>
    </row>
    <row r="243" spans="1:18" customFormat="1" x14ac:dyDescent="0.25">
      <c r="A243" s="328">
        <f>Base_Données!A245</f>
        <v>0</v>
      </c>
      <c r="B243" s="181">
        <f>Base_Données!B245</f>
        <v>0</v>
      </c>
      <c r="C243" s="158">
        <f>Base_Données!C245</f>
        <v>0</v>
      </c>
      <c r="D243" s="156">
        <f>Base_Données!Q245</f>
        <v>0</v>
      </c>
      <c r="E243" s="156">
        <f>Base_Données!BR245</f>
        <v>0</v>
      </c>
      <c r="F243" s="155">
        <f>Base_Données!R245</f>
        <v>0</v>
      </c>
      <c r="G243" s="154">
        <f>Base_Données!BS245</f>
        <v>0</v>
      </c>
      <c r="H243" s="155">
        <f>SIG!F243-SIG!G243</f>
        <v>0</v>
      </c>
      <c r="I243" s="159">
        <f>Base_Données!BI245+Base_Données!BJ245-Base_Données!GC245-Base_Données!GD245</f>
        <v>0</v>
      </c>
      <c r="J243" s="154">
        <f t="shared" si="6"/>
        <v>0</v>
      </c>
      <c r="K243" s="154">
        <f>Base_Données!BK245-Base_Données!GE245</f>
        <v>0</v>
      </c>
      <c r="L243" s="159">
        <f t="shared" si="7"/>
        <v>0</v>
      </c>
      <c r="M243" s="158">
        <f>Base_Données!S245</f>
        <v>0</v>
      </c>
      <c r="N243" s="154">
        <f>Base_Données!T245-(Base_Données!BU245+Base_Données!BZ245+Base_Données!CC245)</f>
        <v>0</v>
      </c>
      <c r="O243" s="154">
        <f>Base_Données!AC245+Base_Données!AL245-(Base_Données!CI245)</f>
        <v>0</v>
      </c>
      <c r="P243" s="154">
        <f>L243+Base_Données!GJ245+Base_Données!GE245+Base_Données!GB245+Base_Données!FV245+Base_Données!FS245+Base_Données!FO245+Base_Données!FE245+Base_Données!DS245-(Base_Données!BK245+Base_Données!BH245+Base_Données!AU245)</f>
        <v>0</v>
      </c>
      <c r="Q243" s="189">
        <f>P243+Base_Données!AV245-Base_Données!FE245-Base_Données!FO245</f>
        <v>0</v>
      </c>
      <c r="R243" s="329">
        <f>SIG!Q243+Base_Données!BD245+Base_Données!BH245+Base_Données!BL245+Base_Données!BN245-Base_Données!GB245-Base_Données!GJ245-Base_Données!GF245-Base_Données!FV245</f>
        <v>0</v>
      </c>
    </row>
    <row r="244" spans="1:18" customFormat="1" x14ac:dyDescent="0.25">
      <c r="A244" s="328">
        <f>Base_Données!A246</f>
        <v>0</v>
      </c>
      <c r="B244" s="181">
        <f>Base_Données!B246</f>
        <v>0</v>
      </c>
      <c r="C244" s="158">
        <f>Base_Données!C246</f>
        <v>0</v>
      </c>
      <c r="D244" s="156">
        <f>Base_Données!Q246</f>
        <v>0</v>
      </c>
      <c r="E244" s="156">
        <f>Base_Données!BR246</f>
        <v>0</v>
      </c>
      <c r="F244" s="155">
        <f>Base_Données!R246</f>
        <v>0</v>
      </c>
      <c r="G244" s="154">
        <f>Base_Données!BS246</f>
        <v>0</v>
      </c>
      <c r="H244" s="155">
        <f>SIG!F244-SIG!G244</f>
        <v>0</v>
      </c>
      <c r="I244" s="159">
        <f>Base_Données!BI246+Base_Données!BJ246-Base_Données!GC246-Base_Données!GD246</f>
        <v>0</v>
      </c>
      <c r="J244" s="154">
        <f t="shared" si="6"/>
        <v>0</v>
      </c>
      <c r="K244" s="154">
        <f>Base_Données!BK246-Base_Données!GE246</f>
        <v>0</v>
      </c>
      <c r="L244" s="159">
        <f t="shared" si="7"/>
        <v>0</v>
      </c>
      <c r="M244" s="158">
        <f>Base_Données!S246</f>
        <v>0</v>
      </c>
      <c r="N244" s="154">
        <f>Base_Données!T246-(Base_Données!BU246+Base_Données!BZ246+Base_Données!CC246)</f>
        <v>0</v>
      </c>
      <c r="O244" s="154">
        <f>Base_Données!AC246+Base_Données!AL246-(Base_Données!CI246)</f>
        <v>0</v>
      </c>
      <c r="P244" s="154">
        <f>L244+Base_Données!GJ246+Base_Données!GE246+Base_Données!GB246+Base_Données!FV246+Base_Données!FS246+Base_Données!FO246+Base_Données!FE246+Base_Données!DS246-(Base_Données!BK246+Base_Données!BH246+Base_Données!AU246)</f>
        <v>0</v>
      </c>
      <c r="Q244" s="189">
        <f>P244+Base_Données!AV246-Base_Données!FE246-Base_Données!FO246</f>
        <v>0</v>
      </c>
      <c r="R244" s="329">
        <f>SIG!Q244+Base_Données!BD246+Base_Données!BH246+Base_Données!BL246+Base_Données!BN246-Base_Données!GB246-Base_Données!GJ246-Base_Données!GF246-Base_Données!FV246</f>
        <v>0</v>
      </c>
    </row>
    <row r="245" spans="1:18" customFormat="1" x14ac:dyDescent="0.25">
      <c r="A245" s="328">
        <f>Base_Données!A247</f>
        <v>0</v>
      </c>
      <c r="B245" s="181">
        <f>Base_Données!B247</f>
        <v>0</v>
      </c>
      <c r="C245" s="158">
        <f>Base_Données!C247</f>
        <v>0</v>
      </c>
      <c r="D245" s="156">
        <f>Base_Données!Q247</f>
        <v>0</v>
      </c>
      <c r="E245" s="156">
        <f>Base_Données!BR247</f>
        <v>0</v>
      </c>
      <c r="F245" s="155">
        <f>Base_Données!R247</f>
        <v>0</v>
      </c>
      <c r="G245" s="154">
        <f>Base_Données!BS247</f>
        <v>0</v>
      </c>
      <c r="H245" s="155">
        <f>SIG!F245-SIG!G245</f>
        <v>0</v>
      </c>
      <c r="I245" s="159">
        <f>Base_Données!BI247+Base_Données!BJ247-Base_Données!GC247-Base_Données!GD247</f>
        <v>0</v>
      </c>
      <c r="J245" s="154">
        <f t="shared" si="6"/>
        <v>0</v>
      </c>
      <c r="K245" s="154">
        <f>Base_Données!BK247-Base_Données!GE247</f>
        <v>0</v>
      </c>
      <c r="L245" s="159">
        <f t="shared" si="7"/>
        <v>0</v>
      </c>
      <c r="M245" s="158">
        <f>Base_Données!S247</f>
        <v>0</v>
      </c>
      <c r="N245" s="154">
        <f>Base_Données!T247-(Base_Données!BU247+Base_Données!BZ247+Base_Données!CC247)</f>
        <v>0</v>
      </c>
      <c r="O245" s="154">
        <f>Base_Données!AC247+Base_Données!AL247-(Base_Données!CI247)</f>
        <v>0</v>
      </c>
      <c r="P245" s="154">
        <f>L245+Base_Données!GJ247+Base_Données!GE247+Base_Données!GB247+Base_Données!FV247+Base_Données!FS247+Base_Données!FO247+Base_Données!FE247+Base_Données!DS247-(Base_Données!BK247+Base_Données!BH247+Base_Données!AU247)</f>
        <v>0</v>
      </c>
      <c r="Q245" s="189">
        <f>P245+Base_Données!AV247-Base_Données!FE247-Base_Données!FO247</f>
        <v>0</v>
      </c>
      <c r="R245" s="329">
        <f>SIG!Q245+Base_Données!BD247+Base_Données!BH247+Base_Données!BL247+Base_Données!BN247-Base_Données!GB247-Base_Données!GJ247-Base_Données!GF247-Base_Données!FV247</f>
        <v>0</v>
      </c>
    </row>
    <row r="246" spans="1:18" customFormat="1" x14ac:dyDescent="0.25">
      <c r="A246" s="328">
        <f>Base_Données!A248</f>
        <v>0</v>
      </c>
      <c r="B246" s="181">
        <f>Base_Données!B248</f>
        <v>0</v>
      </c>
      <c r="C246" s="158">
        <f>Base_Données!C248</f>
        <v>0</v>
      </c>
      <c r="D246" s="156">
        <f>Base_Données!Q248</f>
        <v>0</v>
      </c>
      <c r="E246" s="156">
        <f>Base_Données!BR248</f>
        <v>0</v>
      </c>
      <c r="F246" s="155">
        <f>Base_Données!R248</f>
        <v>0</v>
      </c>
      <c r="G246" s="154">
        <f>Base_Données!BS248</f>
        <v>0</v>
      </c>
      <c r="H246" s="155">
        <f>SIG!F246-SIG!G246</f>
        <v>0</v>
      </c>
      <c r="I246" s="159">
        <f>Base_Données!BI248+Base_Données!BJ248-Base_Données!GC248-Base_Données!GD248</f>
        <v>0</v>
      </c>
      <c r="J246" s="154">
        <f t="shared" si="6"/>
        <v>0</v>
      </c>
      <c r="K246" s="154">
        <f>Base_Données!BK248-Base_Données!GE248</f>
        <v>0</v>
      </c>
      <c r="L246" s="159">
        <f t="shared" si="7"/>
        <v>0</v>
      </c>
      <c r="M246" s="158">
        <f>Base_Données!S248</f>
        <v>0</v>
      </c>
      <c r="N246" s="154">
        <f>Base_Données!T248-(Base_Données!BU248+Base_Données!BZ248+Base_Données!CC248)</f>
        <v>0</v>
      </c>
      <c r="O246" s="154">
        <f>Base_Données!AC248+Base_Données!AL248-(Base_Données!CI248)</f>
        <v>0</v>
      </c>
      <c r="P246" s="154">
        <f>L246+Base_Données!GJ248+Base_Données!GE248+Base_Données!GB248+Base_Données!FV248+Base_Données!FS248+Base_Données!FO248+Base_Données!FE248+Base_Données!DS248-(Base_Données!BK248+Base_Données!BH248+Base_Données!AU248)</f>
        <v>0</v>
      </c>
      <c r="Q246" s="189">
        <f>P246+Base_Données!AV248-Base_Données!FE248-Base_Données!FO248</f>
        <v>0</v>
      </c>
      <c r="R246" s="329">
        <f>SIG!Q246+Base_Données!BD248+Base_Données!BH248+Base_Données!BL248+Base_Données!BN248-Base_Données!GB248-Base_Données!GJ248-Base_Données!GF248-Base_Données!FV248</f>
        <v>0</v>
      </c>
    </row>
    <row r="247" spans="1:18" customFormat="1" x14ac:dyDescent="0.25">
      <c r="A247" s="328">
        <f>Base_Données!A249</f>
        <v>0</v>
      </c>
      <c r="B247" s="181">
        <f>Base_Données!B249</f>
        <v>0</v>
      </c>
      <c r="C247" s="158">
        <f>Base_Données!C249</f>
        <v>0</v>
      </c>
      <c r="D247" s="156">
        <f>Base_Données!Q249</f>
        <v>0</v>
      </c>
      <c r="E247" s="156">
        <f>Base_Données!BR249</f>
        <v>0</v>
      </c>
      <c r="F247" s="155">
        <f>Base_Données!R249</f>
        <v>0</v>
      </c>
      <c r="G247" s="154">
        <f>Base_Données!BS249</f>
        <v>0</v>
      </c>
      <c r="H247" s="155">
        <f>SIG!F247-SIG!G247</f>
        <v>0</v>
      </c>
      <c r="I247" s="159">
        <f>Base_Données!BI249+Base_Données!BJ249-Base_Données!GC249-Base_Données!GD249</f>
        <v>0</v>
      </c>
      <c r="J247" s="154">
        <f t="shared" si="6"/>
        <v>0</v>
      </c>
      <c r="K247" s="154">
        <f>Base_Données!BK249-Base_Données!GE249</f>
        <v>0</v>
      </c>
      <c r="L247" s="159">
        <f t="shared" si="7"/>
        <v>0</v>
      </c>
      <c r="M247" s="158">
        <f>Base_Données!S249</f>
        <v>0</v>
      </c>
      <c r="N247" s="154">
        <f>Base_Données!T249-(Base_Données!BU249+Base_Données!BZ249+Base_Données!CC249)</f>
        <v>0</v>
      </c>
      <c r="O247" s="154">
        <f>Base_Données!AC249+Base_Données!AL249-(Base_Données!CI249)</f>
        <v>0</v>
      </c>
      <c r="P247" s="154">
        <f>L247+Base_Données!GJ249+Base_Données!GE249+Base_Données!GB249+Base_Données!FV249+Base_Données!FS249+Base_Données!FO249+Base_Données!FE249+Base_Données!DS249-(Base_Données!BK249+Base_Données!BH249+Base_Données!AU249)</f>
        <v>0</v>
      </c>
      <c r="Q247" s="189">
        <f>P247+Base_Données!AV249-Base_Données!FE249-Base_Données!FO249</f>
        <v>0</v>
      </c>
      <c r="R247" s="329">
        <f>SIG!Q247+Base_Données!BD249+Base_Données!BH249+Base_Données!BL249+Base_Données!BN249-Base_Données!GB249-Base_Données!GJ249-Base_Données!GF249-Base_Données!FV249</f>
        <v>0</v>
      </c>
    </row>
    <row r="248" spans="1:18" customFormat="1" x14ac:dyDescent="0.25">
      <c r="A248" s="328">
        <f>Base_Données!A250</f>
        <v>0</v>
      </c>
      <c r="B248" s="181">
        <f>Base_Données!B250</f>
        <v>0</v>
      </c>
      <c r="C248" s="158">
        <f>Base_Données!C250</f>
        <v>0</v>
      </c>
      <c r="D248" s="156">
        <f>Base_Données!Q250</f>
        <v>0</v>
      </c>
      <c r="E248" s="156">
        <f>Base_Données!BR250</f>
        <v>0</v>
      </c>
      <c r="F248" s="155">
        <f>Base_Données!R250</f>
        <v>0</v>
      </c>
      <c r="G248" s="154">
        <f>Base_Données!BS250</f>
        <v>0</v>
      </c>
      <c r="H248" s="155">
        <f>SIG!F248-SIG!G248</f>
        <v>0</v>
      </c>
      <c r="I248" s="159">
        <f>Base_Données!BI250+Base_Données!BJ250-Base_Données!GC250-Base_Données!GD250</f>
        <v>0</v>
      </c>
      <c r="J248" s="154">
        <f t="shared" si="6"/>
        <v>0</v>
      </c>
      <c r="K248" s="154">
        <f>Base_Données!BK250-Base_Données!GE250</f>
        <v>0</v>
      </c>
      <c r="L248" s="159">
        <f t="shared" si="7"/>
        <v>0</v>
      </c>
      <c r="M248" s="158">
        <f>Base_Données!S250</f>
        <v>0</v>
      </c>
      <c r="N248" s="154">
        <f>Base_Données!T250-(Base_Données!BU250+Base_Données!BZ250+Base_Données!CC250)</f>
        <v>0</v>
      </c>
      <c r="O248" s="154">
        <f>Base_Données!AC250+Base_Données!AL250-(Base_Données!CI250)</f>
        <v>0</v>
      </c>
      <c r="P248" s="154">
        <f>L248+Base_Données!GJ250+Base_Données!GE250+Base_Données!GB250+Base_Données!FV250+Base_Données!FS250+Base_Données!FO250+Base_Données!FE250+Base_Données!DS250-(Base_Données!BK250+Base_Données!BH250+Base_Données!AU250)</f>
        <v>0</v>
      </c>
      <c r="Q248" s="189">
        <f>P248+Base_Données!AV250-Base_Données!FE250-Base_Données!FO250</f>
        <v>0</v>
      </c>
      <c r="R248" s="329">
        <f>SIG!Q248+Base_Données!BD250+Base_Données!BH250+Base_Données!BL250+Base_Données!BN250-Base_Données!GB250-Base_Données!GJ250-Base_Données!GF250-Base_Données!FV250</f>
        <v>0</v>
      </c>
    </row>
    <row r="249" spans="1:18" customFormat="1" x14ac:dyDescent="0.25">
      <c r="A249" s="328">
        <f>Base_Données!A251</f>
        <v>0</v>
      </c>
      <c r="B249" s="181">
        <f>Base_Données!B251</f>
        <v>0</v>
      </c>
      <c r="C249" s="158">
        <f>Base_Données!C251</f>
        <v>0</v>
      </c>
      <c r="D249" s="156">
        <f>Base_Données!Q251</f>
        <v>0</v>
      </c>
      <c r="E249" s="156">
        <f>Base_Données!BR251</f>
        <v>0</v>
      </c>
      <c r="F249" s="155">
        <f>Base_Données!R251</f>
        <v>0</v>
      </c>
      <c r="G249" s="154">
        <f>Base_Données!BS251</f>
        <v>0</v>
      </c>
      <c r="H249" s="155">
        <f>SIG!F249-SIG!G249</f>
        <v>0</v>
      </c>
      <c r="I249" s="159">
        <f>Base_Données!BI251+Base_Données!BJ251-Base_Données!GC251-Base_Données!GD251</f>
        <v>0</v>
      </c>
      <c r="J249" s="154">
        <f t="shared" si="6"/>
        <v>0</v>
      </c>
      <c r="K249" s="154">
        <f>Base_Données!BK251-Base_Données!GE251</f>
        <v>0</v>
      </c>
      <c r="L249" s="159">
        <f t="shared" si="7"/>
        <v>0</v>
      </c>
      <c r="M249" s="158">
        <f>Base_Données!S251</f>
        <v>0</v>
      </c>
      <c r="N249" s="154">
        <f>Base_Données!T251-(Base_Données!BU251+Base_Données!BZ251+Base_Données!CC251)</f>
        <v>0</v>
      </c>
      <c r="O249" s="154">
        <f>Base_Données!AC251+Base_Données!AL251-(Base_Données!CI251)</f>
        <v>0</v>
      </c>
      <c r="P249" s="154">
        <f>L249+Base_Données!GJ251+Base_Données!GE251+Base_Données!GB251+Base_Données!FV251+Base_Données!FS251+Base_Données!FO251+Base_Données!FE251+Base_Données!DS251-(Base_Données!BK251+Base_Données!BH251+Base_Données!AU251)</f>
        <v>0</v>
      </c>
      <c r="Q249" s="189">
        <f>P249+Base_Données!AV251-Base_Données!FE251-Base_Données!FO251</f>
        <v>0</v>
      </c>
      <c r="R249" s="329">
        <f>SIG!Q249+Base_Données!BD251+Base_Données!BH251+Base_Données!BL251+Base_Données!BN251-Base_Données!GB251-Base_Données!GJ251-Base_Données!GF251-Base_Données!FV251</f>
        <v>0</v>
      </c>
    </row>
    <row r="250" spans="1:18" customFormat="1" x14ac:dyDescent="0.25">
      <c r="A250" s="328">
        <f>Base_Données!A252</f>
        <v>0</v>
      </c>
      <c r="B250" s="181">
        <f>Base_Données!B252</f>
        <v>0</v>
      </c>
      <c r="C250" s="158">
        <f>Base_Données!C252</f>
        <v>0</v>
      </c>
      <c r="D250" s="156">
        <f>Base_Données!Q252</f>
        <v>0</v>
      </c>
      <c r="E250" s="156">
        <f>Base_Données!BR252</f>
        <v>0</v>
      </c>
      <c r="F250" s="155">
        <f>Base_Données!R252</f>
        <v>0</v>
      </c>
      <c r="G250" s="154">
        <f>Base_Données!BS252</f>
        <v>0</v>
      </c>
      <c r="H250" s="155">
        <f>SIG!F250-SIG!G250</f>
        <v>0</v>
      </c>
      <c r="I250" s="159">
        <f>Base_Données!BI252+Base_Données!BJ252-Base_Données!GC252-Base_Données!GD252</f>
        <v>0</v>
      </c>
      <c r="J250" s="154">
        <f t="shared" si="6"/>
        <v>0</v>
      </c>
      <c r="K250" s="154">
        <f>Base_Données!BK252-Base_Données!GE252</f>
        <v>0</v>
      </c>
      <c r="L250" s="159">
        <f t="shared" si="7"/>
        <v>0</v>
      </c>
      <c r="M250" s="158">
        <f>Base_Données!S252</f>
        <v>0</v>
      </c>
      <c r="N250" s="154">
        <f>Base_Données!T252-(Base_Données!BU252+Base_Données!BZ252+Base_Données!CC252)</f>
        <v>0</v>
      </c>
      <c r="O250" s="154">
        <f>Base_Données!AC252+Base_Données!AL252-(Base_Données!CI252)</f>
        <v>0</v>
      </c>
      <c r="P250" s="154">
        <f>L250+Base_Données!GJ252+Base_Données!GE252+Base_Données!GB252+Base_Données!FV252+Base_Données!FS252+Base_Données!FO252+Base_Données!FE252+Base_Données!DS252-(Base_Données!BK252+Base_Données!BH252+Base_Données!AU252)</f>
        <v>0</v>
      </c>
      <c r="Q250" s="189">
        <f>P250+Base_Données!AV252-Base_Données!FE252-Base_Données!FO252</f>
        <v>0</v>
      </c>
      <c r="R250" s="329">
        <f>SIG!Q250+Base_Données!BD252+Base_Données!BH252+Base_Données!BL252+Base_Données!BN252-Base_Données!GB252-Base_Données!GJ252-Base_Données!GF252-Base_Données!FV252</f>
        <v>0</v>
      </c>
    </row>
    <row r="251" spans="1:18" customFormat="1" x14ac:dyDescent="0.25">
      <c r="A251" s="328">
        <f>Base_Données!A253</f>
        <v>0</v>
      </c>
      <c r="B251" s="181">
        <f>Base_Données!B253</f>
        <v>0</v>
      </c>
      <c r="C251" s="158">
        <f>Base_Données!C253</f>
        <v>0</v>
      </c>
      <c r="D251" s="156">
        <f>Base_Données!Q253</f>
        <v>0</v>
      </c>
      <c r="E251" s="156">
        <f>Base_Données!BR253</f>
        <v>0</v>
      </c>
      <c r="F251" s="155">
        <f>Base_Données!R253</f>
        <v>0</v>
      </c>
      <c r="G251" s="154">
        <f>Base_Données!BS253</f>
        <v>0</v>
      </c>
      <c r="H251" s="155">
        <f>SIG!F251-SIG!G251</f>
        <v>0</v>
      </c>
      <c r="I251" s="159">
        <f>Base_Données!BI253+Base_Données!BJ253-Base_Données!GC253-Base_Données!GD253</f>
        <v>0</v>
      </c>
      <c r="J251" s="154">
        <f t="shared" si="6"/>
        <v>0</v>
      </c>
      <c r="K251" s="154">
        <f>Base_Données!BK253-Base_Données!GE253</f>
        <v>0</v>
      </c>
      <c r="L251" s="159">
        <f t="shared" si="7"/>
        <v>0</v>
      </c>
      <c r="M251" s="158">
        <f>Base_Données!S253</f>
        <v>0</v>
      </c>
      <c r="N251" s="154">
        <f>Base_Données!T253-(Base_Données!BU253+Base_Données!BZ253+Base_Données!CC253)</f>
        <v>0</v>
      </c>
      <c r="O251" s="154">
        <f>Base_Données!AC253+Base_Données!AL253-(Base_Données!CI253)</f>
        <v>0</v>
      </c>
      <c r="P251" s="154">
        <f>L251+Base_Données!GJ253+Base_Données!GE253+Base_Données!GB253+Base_Données!FV253+Base_Données!FS253+Base_Données!FO253+Base_Données!FE253+Base_Données!DS253-(Base_Données!BK253+Base_Données!BH253+Base_Données!AU253)</f>
        <v>0</v>
      </c>
      <c r="Q251" s="189">
        <f>P251+Base_Données!AV253-Base_Données!FE253-Base_Données!FO253</f>
        <v>0</v>
      </c>
      <c r="R251" s="329">
        <f>SIG!Q251+Base_Données!BD253+Base_Données!BH253+Base_Données!BL253+Base_Données!BN253-Base_Données!GB253-Base_Données!GJ253-Base_Données!GF253-Base_Données!FV253</f>
        <v>0</v>
      </c>
    </row>
    <row r="252" spans="1:18" customFormat="1" x14ac:dyDescent="0.25">
      <c r="A252" s="328">
        <f>Base_Données!A254</f>
        <v>0</v>
      </c>
      <c r="B252" s="181">
        <f>Base_Données!B254</f>
        <v>0</v>
      </c>
      <c r="C252" s="158">
        <f>Base_Données!C254</f>
        <v>0</v>
      </c>
      <c r="D252" s="156">
        <f>Base_Données!Q254</f>
        <v>0</v>
      </c>
      <c r="E252" s="156">
        <f>Base_Données!BR254</f>
        <v>0</v>
      </c>
      <c r="F252" s="155">
        <f>Base_Données!R254</f>
        <v>0</v>
      </c>
      <c r="G252" s="154">
        <f>Base_Données!BS254</f>
        <v>0</v>
      </c>
      <c r="H252" s="155">
        <f>SIG!F252-SIG!G252</f>
        <v>0</v>
      </c>
      <c r="I252" s="159">
        <f>Base_Données!BI254+Base_Données!BJ254-Base_Données!GC254-Base_Données!GD254</f>
        <v>0</v>
      </c>
      <c r="J252" s="154">
        <f t="shared" si="6"/>
        <v>0</v>
      </c>
      <c r="K252" s="154">
        <f>Base_Données!BK254-Base_Données!GE254</f>
        <v>0</v>
      </c>
      <c r="L252" s="159">
        <f t="shared" si="7"/>
        <v>0</v>
      </c>
      <c r="M252" s="158">
        <f>Base_Données!S254</f>
        <v>0</v>
      </c>
      <c r="N252" s="154">
        <f>Base_Données!T254-(Base_Données!BU254+Base_Données!BZ254+Base_Données!CC254)</f>
        <v>0</v>
      </c>
      <c r="O252" s="154">
        <f>Base_Données!AC254+Base_Données!AL254-(Base_Données!CI254)</f>
        <v>0</v>
      </c>
      <c r="P252" s="154">
        <f>L252+Base_Données!GJ254+Base_Données!GE254+Base_Données!GB254+Base_Données!FV254+Base_Données!FS254+Base_Données!FO254+Base_Données!FE254+Base_Données!DS254-(Base_Données!BK254+Base_Données!BH254+Base_Données!AU254)</f>
        <v>0</v>
      </c>
      <c r="Q252" s="189">
        <f>P252+Base_Données!AV254-Base_Données!FE254-Base_Données!FO254</f>
        <v>0</v>
      </c>
      <c r="R252" s="329">
        <f>SIG!Q252+Base_Données!BD254+Base_Données!BH254+Base_Données!BL254+Base_Données!BN254-Base_Données!GB254-Base_Données!GJ254-Base_Données!GF254-Base_Données!FV254</f>
        <v>0</v>
      </c>
    </row>
    <row r="253" spans="1:18" customFormat="1" x14ac:dyDescent="0.25">
      <c r="A253" s="328">
        <f>Base_Données!A255</f>
        <v>0</v>
      </c>
      <c r="B253" s="181">
        <f>Base_Données!B255</f>
        <v>0</v>
      </c>
      <c r="C253" s="158">
        <f>Base_Données!C255</f>
        <v>0</v>
      </c>
      <c r="D253" s="156">
        <f>Base_Données!Q255</f>
        <v>0</v>
      </c>
      <c r="E253" s="156">
        <f>Base_Données!BR255</f>
        <v>0</v>
      </c>
      <c r="F253" s="155">
        <f>Base_Données!R255</f>
        <v>0</v>
      </c>
      <c r="G253" s="154">
        <f>Base_Données!BS255</f>
        <v>0</v>
      </c>
      <c r="H253" s="155">
        <f>SIG!F253-SIG!G253</f>
        <v>0</v>
      </c>
      <c r="I253" s="159">
        <f>Base_Données!BI255+Base_Données!BJ255-Base_Données!GC255-Base_Données!GD255</f>
        <v>0</v>
      </c>
      <c r="J253" s="154">
        <f t="shared" si="6"/>
        <v>0</v>
      </c>
      <c r="K253" s="154">
        <f>Base_Données!BK255-Base_Données!GE255</f>
        <v>0</v>
      </c>
      <c r="L253" s="159">
        <f t="shared" si="7"/>
        <v>0</v>
      </c>
      <c r="M253" s="158">
        <f>Base_Données!S255</f>
        <v>0</v>
      </c>
      <c r="N253" s="154">
        <f>Base_Données!T255-(Base_Données!BU255+Base_Données!BZ255+Base_Données!CC255)</f>
        <v>0</v>
      </c>
      <c r="O253" s="154">
        <f>Base_Données!AC255+Base_Données!AL255-(Base_Données!CI255)</f>
        <v>0</v>
      </c>
      <c r="P253" s="154">
        <f>L253+Base_Données!GJ255+Base_Données!GE255+Base_Données!GB255+Base_Données!FV255+Base_Données!FS255+Base_Données!FO255+Base_Données!FE255+Base_Données!DS255-(Base_Données!BK255+Base_Données!BH255+Base_Données!AU255)</f>
        <v>0</v>
      </c>
      <c r="Q253" s="189">
        <f>P253+Base_Données!AV255-Base_Données!FE255-Base_Données!FO255</f>
        <v>0</v>
      </c>
      <c r="R253" s="329">
        <f>SIG!Q253+Base_Données!BD255+Base_Données!BH255+Base_Données!BL255+Base_Données!BN255-Base_Données!GB255-Base_Données!GJ255-Base_Données!GF255-Base_Données!FV255</f>
        <v>0</v>
      </c>
    </row>
    <row r="254" spans="1:18" customFormat="1" x14ac:dyDescent="0.25">
      <c r="A254" s="328">
        <f>Base_Données!A256</f>
        <v>0</v>
      </c>
      <c r="B254" s="181">
        <f>Base_Données!B256</f>
        <v>0</v>
      </c>
      <c r="C254" s="158">
        <f>Base_Données!C256</f>
        <v>0</v>
      </c>
      <c r="D254" s="156">
        <f>Base_Données!Q256</f>
        <v>0</v>
      </c>
      <c r="E254" s="156">
        <f>Base_Données!BR256</f>
        <v>0</v>
      </c>
      <c r="F254" s="155">
        <f>Base_Données!R256</f>
        <v>0</v>
      </c>
      <c r="G254" s="154">
        <f>Base_Données!BS256</f>
        <v>0</v>
      </c>
      <c r="H254" s="155">
        <f>SIG!F254-SIG!G254</f>
        <v>0</v>
      </c>
      <c r="I254" s="159">
        <f>Base_Données!BI256+Base_Données!BJ256-Base_Données!GC256-Base_Données!GD256</f>
        <v>0</v>
      </c>
      <c r="J254" s="154">
        <f t="shared" si="6"/>
        <v>0</v>
      </c>
      <c r="K254" s="154">
        <f>Base_Données!BK256-Base_Données!GE256</f>
        <v>0</v>
      </c>
      <c r="L254" s="159">
        <f t="shared" si="7"/>
        <v>0</v>
      </c>
      <c r="M254" s="158">
        <f>Base_Données!S256</f>
        <v>0</v>
      </c>
      <c r="N254" s="154">
        <f>Base_Données!T256-(Base_Données!BU256+Base_Données!BZ256+Base_Données!CC256)</f>
        <v>0</v>
      </c>
      <c r="O254" s="154">
        <f>Base_Données!AC256+Base_Données!AL256-(Base_Données!CI256)</f>
        <v>0</v>
      </c>
      <c r="P254" s="154">
        <f>L254+Base_Données!GJ256+Base_Données!GE256+Base_Données!GB256+Base_Données!FV256+Base_Données!FS256+Base_Données!FO256+Base_Données!FE256+Base_Données!DS256-(Base_Données!BK256+Base_Données!BH256+Base_Données!AU256)</f>
        <v>0</v>
      </c>
      <c r="Q254" s="189">
        <f>P254+Base_Données!AV256-Base_Données!FE256-Base_Données!FO256</f>
        <v>0</v>
      </c>
      <c r="R254" s="329">
        <f>SIG!Q254+Base_Données!BD256+Base_Données!BH256+Base_Données!BL256+Base_Données!BN256-Base_Données!GB256-Base_Données!GJ256-Base_Données!GF256-Base_Données!FV256</f>
        <v>0</v>
      </c>
    </row>
    <row r="255" spans="1:18" customFormat="1" x14ac:dyDescent="0.25">
      <c r="A255" s="328">
        <f>Base_Données!A257</f>
        <v>0</v>
      </c>
      <c r="B255" s="181">
        <f>Base_Données!B257</f>
        <v>0</v>
      </c>
      <c r="C255" s="158">
        <f>Base_Données!C257</f>
        <v>0</v>
      </c>
      <c r="D255" s="156">
        <f>Base_Données!Q257</f>
        <v>0</v>
      </c>
      <c r="E255" s="156">
        <f>Base_Données!BR257</f>
        <v>0</v>
      </c>
      <c r="F255" s="155">
        <f>Base_Données!R257</f>
        <v>0</v>
      </c>
      <c r="G255" s="154">
        <f>Base_Données!BS257</f>
        <v>0</v>
      </c>
      <c r="H255" s="155">
        <f>SIG!F255-SIG!G255</f>
        <v>0</v>
      </c>
      <c r="I255" s="159">
        <f>Base_Données!BI257+Base_Données!BJ257-Base_Données!GC257-Base_Données!GD257</f>
        <v>0</v>
      </c>
      <c r="J255" s="154">
        <f t="shared" si="6"/>
        <v>0</v>
      </c>
      <c r="K255" s="154">
        <f>Base_Données!BK257-Base_Données!GE257</f>
        <v>0</v>
      </c>
      <c r="L255" s="159">
        <f t="shared" si="7"/>
        <v>0</v>
      </c>
      <c r="M255" s="158">
        <f>Base_Données!S257</f>
        <v>0</v>
      </c>
      <c r="N255" s="154">
        <f>Base_Données!T257-(Base_Données!BU257+Base_Données!BZ257+Base_Données!CC257)</f>
        <v>0</v>
      </c>
      <c r="O255" s="154">
        <f>Base_Données!AC257+Base_Données!AL257-(Base_Données!CI257)</f>
        <v>0</v>
      </c>
      <c r="P255" s="154">
        <f>L255+Base_Données!GJ257+Base_Données!GE257+Base_Données!GB257+Base_Données!FV257+Base_Données!FS257+Base_Données!FO257+Base_Données!FE257+Base_Données!DS257-(Base_Données!BK257+Base_Données!BH257+Base_Données!AU257)</f>
        <v>0</v>
      </c>
      <c r="Q255" s="189">
        <f>P255+Base_Données!AV257-Base_Données!FE257-Base_Données!FO257</f>
        <v>0</v>
      </c>
      <c r="R255" s="329">
        <f>SIG!Q255+Base_Données!BD257+Base_Données!BH257+Base_Données!BL257+Base_Données!BN257-Base_Données!GB257-Base_Données!GJ257-Base_Données!GF257-Base_Données!FV257</f>
        <v>0</v>
      </c>
    </row>
    <row r="256" spans="1:18" customFormat="1" x14ac:dyDescent="0.25">
      <c r="A256" s="328">
        <f>Base_Données!A258</f>
        <v>0</v>
      </c>
      <c r="B256" s="181">
        <f>Base_Données!B258</f>
        <v>0</v>
      </c>
      <c r="C256" s="158">
        <f>Base_Données!C258</f>
        <v>0</v>
      </c>
      <c r="D256" s="156">
        <f>Base_Données!Q258</f>
        <v>0</v>
      </c>
      <c r="E256" s="156">
        <f>Base_Données!BR258</f>
        <v>0</v>
      </c>
      <c r="F256" s="155">
        <f>Base_Données!R258</f>
        <v>0</v>
      </c>
      <c r="G256" s="154">
        <f>Base_Données!BS258</f>
        <v>0</v>
      </c>
      <c r="H256" s="155">
        <f>SIG!F256-SIG!G256</f>
        <v>0</v>
      </c>
      <c r="I256" s="159">
        <f>Base_Données!BI258+Base_Données!BJ258-Base_Données!GC258-Base_Données!GD258</f>
        <v>0</v>
      </c>
      <c r="J256" s="154">
        <f t="shared" si="6"/>
        <v>0</v>
      </c>
      <c r="K256" s="154">
        <f>Base_Données!BK258-Base_Données!GE258</f>
        <v>0</v>
      </c>
      <c r="L256" s="159">
        <f t="shared" si="7"/>
        <v>0</v>
      </c>
      <c r="M256" s="158">
        <f>Base_Données!S258</f>
        <v>0</v>
      </c>
      <c r="N256" s="154">
        <f>Base_Données!T258-(Base_Données!BU258+Base_Données!BZ258+Base_Données!CC258)</f>
        <v>0</v>
      </c>
      <c r="O256" s="154">
        <f>Base_Données!AC258+Base_Données!AL258-(Base_Données!CI258)</f>
        <v>0</v>
      </c>
      <c r="P256" s="154">
        <f>L256+Base_Données!GJ258+Base_Données!GE258+Base_Données!GB258+Base_Données!FV258+Base_Données!FS258+Base_Données!FO258+Base_Données!FE258+Base_Données!DS258-(Base_Données!BK258+Base_Données!BH258+Base_Données!AU258)</f>
        <v>0</v>
      </c>
      <c r="Q256" s="189">
        <f>P256+Base_Données!AV258-Base_Données!FE258-Base_Données!FO258</f>
        <v>0</v>
      </c>
      <c r="R256" s="329">
        <f>SIG!Q256+Base_Données!BD258+Base_Données!BH258+Base_Données!BL258+Base_Données!BN258-Base_Données!GB258-Base_Données!GJ258-Base_Données!GF258-Base_Données!FV258</f>
        <v>0</v>
      </c>
    </row>
    <row r="257" spans="1:18" customFormat="1" x14ac:dyDescent="0.25">
      <c r="A257" s="328">
        <f>Base_Données!A259</f>
        <v>0</v>
      </c>
      <c r="B257" s="181">
        <f>Base_Données!B259</f>
        <v>0</v>
      </c>
      <c r="C257" s="158">
        <f>Base_Données!C259</f>
        <v>0</v>
      </c>
      <c r="D257" s="156">
        <f>Base_Données!Q259</f>
        <v>0</v>
      </c>
      <c r="E257" s="156">
        <f>Base_Données!BR259</f>
        <v>0</v>
      </c>
      <c r="F257" s="155">
        <f>Base_Données!R259</f>
        <v>0</v>
      </c>
      <c r="G257" s="154">
        <f>Base_Données!BS259</f>
        <v>0</v>
      </c>
      <c r="H257" s="155">
        <f>SIG!F257-SIG!G257</f>
        <v>0</v>
      </c>
      <c r="I257" s="159">
        <f>Base_Données!BI259+Base_Données!BJ259-Base_Données!GC259-Base_Données!GD259</f>
        <v>0</v>
      </c>
      <c r="J257" s="154">
        <f t="shared" si="6"/>
        <v>0</v>
      </c>
      <c r="K257" s="154">
        <f>Base_Données!BK259-Base_Données!GE259</f>
        <v>0</v>
      </c>
      <c r="L257" s="159">
        <f t="shared" si="7"/>
        <v>0</v>
      </c>
      <c r="M257" s="158">
        <f>Base_Données!S259</f>
        <v>0</v>
      </c>
      <c r="N257" s="154">
        <f>Base_Données!T259-(Base_Données!BU259+Base_Données!BZ259+Base_Données!CC259)</f>
        <v>0</v>
      </c>
      <c r="O257" s="154">
        <f>Base_Données!AC259+Base_Données!AL259-(Base_Données!CI259)</f>
        <v>0</v>
      </c>
      <c r="P257" s="154">
        <f>L257+Base_Données!GJ259+Base_Données!GE259+Base_Données!GB259+Base_Données!FV259+Base_Données!FS259+Base_Données!FO259+Base_Données!FE259+Base_Données!DS259-(Base_Données!BK259+Base_Données!BH259+Base_Données!AU259)</f>
        <v>0</v>
      </c>
      <c r="Q257" s="189">
        <f>P257+Base_Données!AV259-Base_Données!FE259-Base_Données!FO259</f>
        <v>0</v>
      </c>
      <c r="R257" s="329">
        <f>SIG!Q257+Base_Données!BD259+Base_Données!BH259+Base_Données!BL259+Base_Données!BN259-Base_Données!GB259-Base_Données!GJ259-Base_Données!GF259-Base_Données!FV259</f>
        <v>0</v>
      </c>
    </row>
    <row r="258" spans="1:18" customFormat="1" x14ac:dyDescent="0.25">
      <c r="A258" s="328">
        <f>Base_Données!A260</f>
        <v>0</v>
      </c>
      <c r="B258" s="181">
        <f>Base_Données!B260</f>
        <v>0</v>
      </c>
      <c r="C258" s="158">
        <f>Base_Données!C260</f>
        <v>0</v>
      </c>
      <c r="D258" s="156">
        <f>Base_Données!Q260</f>
        <v>0</v>
      </c>
      <c r="E258" s="156">
        <f>Base_Données!BR260</f>
        <v>0</v>
      </c>
      <c r="F258" s="155">
        <f>Base_Données!R260</f>
        <v>0</v>
      </c>
      <c r="G258" s="154">
        <f>Base_Données!BS260</f>
        <v>0</v>
      </c>
      <c r="H258" s="155">
        <f>SIG!F258-SIG!G258</f>
        <v>0</v>
      </c>
      <c r="I258" s="159">
        <f>Base_Données!BI260+Base_Données!BJ260-Base_Données!GC260-Base_Données!GD260</f>
        <v>0</v>
      </c>
      <c r="J258" s="154">
        <f t="shared" si="6"/>
        <v>0</v>
      </c>
      <c r="K258" s="154">
        <f>Base_Données!BK260-Base_Données!GE260</f>
        <v>0</v>
      </c>
      <c r="L258" s="159">
        <f t="shared" si="7"/>
        <v>0</v>
      </c>
      <c r="M258" s="158">
        <f>Base_Données!S260</f>
        <v>0</v>
      </c>
      <c r="N258" s="154">
        <f>Base_Données!T260-(Base_Données!BU260+Base_Données!BZ260+Base_Données!CC260)</f>
        <v>0</v>
      </c>
      <c r="O258" s="154">
        <f>Base_Données!AC260+Base_Données!AL260-(Base_Données!CI260)</f>
        <v>0</v>
      </c>
      <c r="P258" s="154">
        <f>L258+Base_Données!GJ260+Base_Données!GE260+Base_Données!GB260+Base_Données!FV260+Base_Données!FS260+Base_Données!FO260+Base_Données!FE260+Base_Données!DS260-(Base_Données!BK260+Base_Données!BH260+Base_Données!AU260)</f>
        <v>0</v>
      </c>
      <c r="Q258" s="189">
        <f>P258+Base_Données!AV260-Base_Données!FE260-Base_Données!FO260</f>
        <v>0</v>
      </c>
      <c r="R258" s="329">
        <f>SIG!Q258+Base_Données!BD260+Base_Données!BH260+Base_Données!BL260+Base_Données!BN260-Base_Données!GB260-Base_Données!GJ260-Base_Données!GF260-Base_Données!FV260</f>
        <v>0</v>
      </c>
    </row>
    <row r="259" spans="1:18" customFormat="1" x14ac:dyDescent="0.25">
      <c r="A259" s="328">
        <f>Base_Données!A261</f>
        <v>0</v>
      </c>
      <c r="B259" s="181">
        <f>Base_Données!B261</f>
        <v>0</v>
      </c>
      <c r="C259" s="158">
        <f>Base_Données!C261</f>
        <v>0</v>
      </c>
      <c r="D259" s="156">
        <f>Base_Données!Q261</f>
        <v>0</v>
      </c>
      <c r="E259" s="156">
        <f>Base_Données!BR261</f>
        <v>0</v>
      </c>
      <c r="F259" s="155">
        <f>Base_Données!R261</f>
        <v>0</v>
      </c>
      <c r="G259" s="154">
        <f>Base_Données!BS261</f>
        <v>0</v>
      </c>
      <c r="H259" s="155">
        <f>SIG!F259-SIG!G259</f>
        <v>0</v>
      </c>
      <c r="I259" s="159">
        <f>Base_Données!BI261+Base_Données!BJ261-Base_Données!GC261-Base_Données!GD261</f>
        <v>0</v>
      </c>
      <c r="J259" s="154">
        <f t="shared" si="6"/>
        <v>0</v>
      </c>
      <c r="K259" s="154">
        <f>Base_Données!BK261-Base_Données!GE261</f>
        <v>0</v>
      </c>
      <c r="L259" s="159">
        <f t="shared" si="7"/>
        <v>0</v>
      </c>
      <c r="M259" s="158">
        <f>Base_Données!S261</f>
        <v>0</v>
      </c>
      <c r="N259" s="154">
        <f>Base_Données!T261-(Base_Données!BU261+Base_Données!BZ261+Base_Données!CC261)</f>
        <v>0</v>
      </c>
      <c r="O259" s="154">
        <f>Base_Données!AC261+Base_Données!AL261-(Base_Données!CI261)</f>
        <v>0</v>
      </c>
      <c r="P259" s="154">
        <f>L259+Base_Données!GJ261+Base_Données!GE261+Base_Données!GB261+Base_Données!FV261+Base_Données!FS261+Base_Données!FO261+Base_Données!FE261+Base_Données!DS261-(Base_Données!BK261+Base_Données!BH261+Base_Données!AU261)</f>
        <v>0</v>
      </c>
      <c r="Q259" s="189">
        <f>P259+Base_Données!AV261-Base_Données!FE261-Base_Données!FO261</f>
        <v>0</v>
      </c>
      <c r="R259" s="329">
        <f>SIG!Q259+Base_Données!BD261+Base_Données!BH261+Base_Données!BL261+Base_Données!BN261-Base_Données!GB261-Base_Données!GJ261-Base_Données!GF261-Base_Données!FV261</f>
        <v>0</v>
      </c>
    </row>
    <row r="260" spans="1:18" customFormat="1" x14ac:dyDescent="0.25">
      <c r="A260" s="328">
        <f>Base_Données!A262</f>
        <v>0</v>
      </c>
      <c r="B260" s="181">
        <f>Base_Données!B262</f>
        <v>0</v>
      </c>
      <c r="C260" s="158">
        <f>Base_Données!C262</f>
        <v>0</v>
      </c>
      <c r="D260" s="156">
        <f>Base_Données!Q262</f>
        <v>0</v>
      </c>
      <c r="E260" s="156">
        <f>Base_Données!BR262</f>
        <v>0</v>
      </c>
      <c r="F260" s="155">
        <f>Base_Données!R262</f>
        <v>0</v>
      </c>
      <c r="G260" s="154">
        <f>Base_Données!BS262</f>
        <v>0</v>
      </c>
      <c r="H260" s="155">
        <f>SIG!F260-SIG!G260</f>
        <v>0</v>
      </c>
      <c r="I260" s="159">
        <f>Base_Données!BI262+Base_Données!BJ262-Base_Données!GC262-Base_Données!GD262</f>
        <v>0</v>
      </c>
      <c r="J260" s="154">
        <f t="shared" ref="J260:J323" si="8">H260+(I260)</f>
        <v>0</v>
      </c>
      <c r="K260" s="154">
        <f>Base_Données!BK262-Base_Données!GE262</f>
        <v>0</v>
      </c>
      <c r="L260" s="159">
        <f t="shared" ref="L260:L323" si="9">D260-E260</f>
        <v>0</v>
      </c>
      <c r="M260" s="158">
        <f>Base_Données!S262</f>
        <v>0</v>
      </c>
      <c r="N260" s="154">
        <f>Base_Données!T262-(Base_Données!BU262+Base_Données!BZ262+Base_Données!CC262)</f>
        <v>0</v>
      </c>
      <c r="O260" s="154">
        <f>Base_Données!AC262+Base_Données!AL262-(Base_Données!CI262)</f>
        <v>0</v>
      </c>
      <c r="P260" s="154">
        <f>L260+Base_Données!GJ262+Base_Données!GE262+Base_Données!GB262+Base_Données!FV262+Base_Données!FS262+Base_Données!FO262+Base_Données!FE262+Base_Données!DS262-(Base_Données!BK262+Base_Données!BH262+Base_Données!AU262)</f>
        <v>0</v>
      </c>
      <c r="Q260" s="189">
        <f>P260+Base_Données!AV262-Base_Données!FE262-Base_Données!FO262</f>
        <v>0</v>
      </c>
      <c r="R260" s="329">
        <f>SIG!Q260+Base_Données!BD262+Base_Données!BH262+Base_Données!BL262+Base_Données!BN262-Base_Données!GB262-Base_Données!GJ262-Base_Données!GF262-Base_Données!FV262</f>
        <v>0</v>
      </c>
    </row>
    <row r="261" spans="1:18" customFormat="1" x14ac:dyDescent="0.25">
      <c r="A261" s="328">
        <f>Base_Données!A263</f>
        <v>0</v>
      </c>
      <c r="B261" s="181">
        <f>Base_Données!B263</f>
        <v>0</v>
      </c>
      <c r="C261" s="158">
        <f>Base_Données!C263</f>
        <v>0</v>
      </c>
      <c r="D261" s="156">
        <f>Base_Données!Q263</f>
        <v>0</v>
      </c>
      <c r="E261" s="156">
        <f>Base_Données!BR263</f>
        <v>0</v>
      </c>
      <c r="F261" s="155">
        <f>Base_Données!R263</f>
        <v>0</v>
      </c>
      <c r="G261" s="154">
        <f>Base_Données!BS263</f>
        <v>0</v>
      </c>
      <c r="H261" s="155">
        <f>SIG!F261-SIG!G261</f>
        <v>0</v>
      </c>
      <c r="I261" s="159">
        <f>Base_Données!BI263+Base_Données!BJ263-Base_Données!GC263-Base_Données!GD263</f>
        <v>0</v>
      </c>
      <c r="J261" s="154">
        <f t="shared" si="8"/>
        <v>0</v>
      </c>
      <c r="K261" s="154">
        <f>Base_Données!BK263-Base_Données!GE263</f>
        <v>0</v>
      </c>
      <c r="L261" s="159">
        <f t="shared" si="9"/>
        <v>0</v>
      </c>
      <c r="M261" s="158">
        <f>Base_Données!S263</f>
        <v>0</v>
      </c>
      <c r="N261" s="154">
        <f>Base_Données!T263-(Base_Données!BU263+Base_Données!BZ263+Base_Données!CC263)</f>
        <v>0</v>
      </c>
      <c r="O261" s="154">
        <f>Base_Données!AC263+Base_Données!AL263-(Base_Données!CI263)</f>
        <v>0</v>
      </c>
      <c r="P261" s="154">
        <f>L261+Base_Données!GJ263+Base_Données!GE263+Base_Données!GB263+Base_Données!FV263+Base_Données!FS263+Base_Données!FO263+Base_Données!FE263+Base_Données!DS263-(Base_Données!BK263+Base_Données!BH263+Base_Données!AU263)</f>
        <v>0</v>
      </c>
      <c r="Q261" s="189">
        <f>P261+Base_Données!AV263-Base_Données!FE263-Base_Données!FO263</f>
        <v>0</v>
      </c>
      <c r="R261" s="329">
        <f>SIG!Q261+Base_Données!BD263+Base_Données!BH263+Base_Données!BL263+Base_Données!BN263-Base_Données!GB263-Base_Données!GJ263-Base_Données!GF263-Base_Données!FV263</f>
        <v>0</v>
      </c>
    </row>
    <row r="262" spans="1:18" customFormat="1" x14ac:dyDescent="0.25">
      <c r="A262" s="328">
        <f>Base_Données!A264</f>
        <v>0</v>
      </c>
      <c r="B262" s="181">
        <f>Base_Données!B264</f>
        <v>0</v>
      </c>
      <c r="C262" s="158">
        <f>Base_Données!C264</f>
        <v>0</v>
      </c>
      <c r="D262" s="156">
        <f>Base_Données!Q264</f>
        <v>0</v>
      </c>
      <c r="E262" s="156">
        <f>Base_Données!BR264</f>
        <v>0</v>
      </c>
      <c r="F262" s="155">
        <f>Base_Données!R264</f>
        <v>0</v>
      </c>
      <c r="G262" s="154">
        <f>Base_Données!BS264</f>
        <v>0</v>
      </c>
      <c r="H262" s="155">
        <f>SIG!F262-SIG!G262</f>
        <v>0</v>
      </c>
      <c r="I262" s="159">
        <f>Base_Données!BI264+Base_Données!BJ264-Base_Données!GC264-Base_Données!GD264</f>
        <v>0</v>
      </c>
      <c r="J262" s="154">
        <f t="shared" si="8"/>
        <v>0</v>
      </c>
      <c r="K262" s="154">
        <f>Base_Données!BK264-Base_Données!GE264</f>
        <v>0</v>
      </c>
      <c r="L262" s="159">
        <f t="shared" si="9"/>
        <v>0</v>
      </c>
      <c r="M262" s="158">
        <f>Base_Données!S264</f>
        <v>0</v>
      </c>
      <c r="N262" s="154">
        <f>Base_Données!T264-(Base_Données!BU264+Base_Données!BZ264+Base_Données!CC264)</f>
        <v>0</v>
      </c>
      <c r="O262" s="154">
        <f>Base_Données!AC264+Base_Données!AL264-(Base_Données!CI264)</f>
        <v>0</v>
      </c>
      <c r="P262" s="154">
        <f>L262+Base_Données!GJ264+Base_Données!GE264+Base_Données!GB264+Base_Données!FV264+Base_Données!FS264+Base_Données!FO264+Base_Données!FE264+Base_Données!DS264-(Base_Données!BK264+Base_Données!BH264+Base_Données!AU264)</f>
        <v>0</v>
      </c>
      <c r="Q262" s="189">
        <f>P262+Base_Données!AV264-Base_Données!FE264-Base_Données!FO264</f>
        <v>0</v>
      </c>
      <c r="R262" s="329">
        <f>SIG!Q262+Base_Données!BD264+Base_Données!BH264+Base_Données!BL264+Base_Données!BN264-Base_Données!GB264-Base_Données!GJ264-Base_Données!GF264-Base_Données!FV264</f>
        <v>0</v>
      </c>
    </row>
    <row r="263" spans="1:18" customFormat="1" x14ac:dyDescent="0.25">
      <c r="A263" s="328">
        <f>Base_Données!A265</f>
        <v>0</v>
      </c>
      <c r="B263" s="181">
        <f>Base_Données!B265</f>
        <v>0</v>
      </c>
      <c r="C263" s="158">
        <f>Base_Données!C265</f>
        <v>0</v>
      </c>
      <c r="D263" s="156">
        <f>Base_Données!Q265</f>
        <v>0</v>
      </c>
      <c r="E263" s="156">
        <f>Base_Données!BR265</f>
        <v>0</v>
      </c>
      <c r="F263" s="155">
        <f>Base_Données!R265</f>
        <v>0</v>
      </c>
      <c r="G263" s="154">
        <f>Base_Données!BS265</f>
        <v>0</v>
      </c>
      <c r="H263" s="155">
        <f>SIG!F263-SIG!G263</f>
        <v>0</v>
      </c>
      <c r="I263" s="159">
        <f>Base_Données!BI265+Base_Données!BJ265-Base_Données!GC265-Base_Données!GD265</f>
        <v>0</v>
      </c>
      <c r="J263" s="154">
        <f t="shared" si="8"/>
        <v>0</v>
      </c>
      <c r="K263" s="154">
        <f>Base_Données!BK265-Base_Données!GE265</f>
        <v>0</v>
      </c>
      <c r="L263" s="159">
        <f t="shared" si="9"/>
        <v>0</v>
      </c>
      <c r="M263" s="158">
        <f>Base_Données!S265</f>
        <v>0</v>
      </c>
      <c r="N263" s="154">
        <f>Base_Données!T265-(Base_Données!BU265+Base_Données!BZ265+Base_Données!CC265)</f>
        <v>0</v>
      </c>
      <c r="O263" s="154">
        <f>Base_Données!AC265+Base_Données!AL265-(Base_Données!CI265)</f>
        <v>0</v>
      </c>
      <c r="P263" s="154">
        <f>L263+Base_Données!GJ265+Base_Données!GE265+Base_Données!GB265+Base_Données!FV265+Base_Données!FS265+Base_Données!FO265+Base_Données!FE265+Base_Données!DS265-(Base_Données!BK265+Base_Données!BH265+Base_Données!AU265)</f>
        <v>0</v>
      </c>
      <c r="Q263" s="189">
        <f>P263+Base_Données!AV265-Base_Données!FE265-Base_Données!FO265</f>
        <v>0</v>
      </c>
      <c r="R263" s="329">
        <f>SIG!Q263+Base_Données!BD265+Base_Données!BH265+Base_Données!BL265+Base_Données!BN265-Base_Données!GB265-Base_Données!GJ265-Base_Données!GF265-Base_Données!FV265</f>
        <v>0</v>
      </c>
    </row>
    <row r="264" spans="1:18" customFormat="1" x14ac:dyDescent="0.25">
      <c r="A264" s="328">
        <f>Base_Données!A266</f>
        <v>0</v>
      </c>
      <c r="B264" s="181">
        <f>Base_Données!B266</f>
        <v>0</v>
      </c>
      <c r="C264" s="158">
        <f>Base_Données!C266</f>
        <v>0</v>
      </c>
      <c r="D264" s="156">
        <f>Base_Données!Q266</f>
        <v>0</v>
      </c>
      <c r="E264" s="156">
        <f>Base_Données!BR266</f>
        <v>0</v>
      </c>
      <c r="F264" s="155">
        <f>Base_Données!R266</f>
        <v>0</v>
      </c>
      <c r="G264" s="154">
        <f>Base_Données!BS266</f>
        <v>0</v>
      </c>
      <c r="H264" s="155">
        <f>SIG!F264-SIG!G264</f>
        <v>0</v>
      </c>
      <c r="I264" s="159">
        <f>Base_Données!BI266+Base_Données!BJ266-Base_Données!GC266-Base_Données!GD266</f>
        <v>0</v>
      </c>
      <c r="J264" s="154">
        <f t="shared" si="8"/>
        <v>0</v>
      </c>
      <c r="K264" s="154">
        <f>Base_Données!BK266-Base_Données!GE266</f>
        <v>0</v>
      </c>
      <c r="L264" s="159">
        <f t="shared" si="9"/>
        <v>0</v>
      </c>
      <c r="M264" s="158">
        <f>Base_Données!S266</f>
        <v>0</v>
      </c>
      <c r="N264" s="154">
        <f>Base_Données!T266-(Base_Données!BU266+Base_Données!BZ266+Base_Données!CC266)</f>
        <v>0</v>
      </c>
      <c r="O264" s="154">
        <f>Base_Données!AC266+Base_Données!AL266-(Base_Données!CI266)</f>
        <v>0</v>
      </c>
      <c r="P264" s="154">
        <f>L264+Base_Données!GJ266+Base_Données!GE266+Base_Données!GB266+Base_Données!FV266+Base_Données!FS266+Base_Données!FO266+Base_Données!FE266+Base_Données!DS266-(Base_Données!BK266+Base_Données!BH266+Base_Données!AU266)</f>
        <v>0</v>
      </c>
      <c r="Q264" s="189">
        <f>P264+Base_Données!AV266-Base_Données!FE266-Base_Données!FO266</f>
        <v>0</v>
      </c>
      <c r="R264" s="329">
        <f>SIG!Q264+Base_Données!BD266+Base_Données!BH266+Base_Données!BL266+Base_Données!BN266-Base_Données!GB266-Base_Données!GJ266-Base_Données!GF266-Base_Données!FV266</f>
        <v>0</v>
      </c>
    </row>
    <row r="265" spans="1:18" customFormat="1" x14ac:dyDescent="0.25">
      <c r="A265" s="328">
        <f>Base_Données!A267</f>
        <v>0</v>
      </c>
      <c r="B265" s="181">
        <f>Base_Données!B267</f>
        <v>0</v>
      </c>
      <c r="C265" s="158">
        <f>Base_Données!C267</f>
        <v>0</v>
      </c>
      <c r="D265" s="156">
        <f>Base_Données!Q267</f>
        <v>0</v>
      </c>
      <c r="E265" s="156">
        <f>Base_Données!BR267</f>
        <v>0</v>
      </c>
      <c r="F265" s="155">
        <f>Base_Données!R267</f>
        <v>0</v>
      </c>
      <c r="G265" s="154">
        <f>Base_Données!BS267</f>
        <v>0</v>
      </c>
      <c r="H265" s="155">
        <f>SIG!F265-SIG!G265</f>
        <v>0</v>
      </c>
      <c r="I265" s="159">
        <f>Base_Données!BI267+Base_Données!BJ267-Base_Données!GC267-Base_Données!GD267</f>
        <v>0</v>
      </c>
      <c r="J265" s="154">
        <f t="shared" si="8"/>
        <v>0</v>
      </c>
      <c r="K265" s="154">
        <f>Base_Données!BK267-Base_Données!GE267</f>
        <v>0</v>
      </c>
      <c r="L265" s="159">
        <f t="shared" si="9"/>
        <v>0</v>
      </c>
      <c r="M265" s="158">
        <f>Base_Données!S267</f>
        <v>0</v>
      </c>
      <c r="N265" s="154">
        <f>Base_Données!T267-(Base_Données!BU267+Base_Données!BZ267+Base_Données!CC267)</f>
        <v>0</v>
      </c>
      <c r="O265" s="154">
        <f>Base_Données!AC267+Base_Données!AL267-(Base_Données!CI267)</f>
        <v>0</v>
      </c>
      <c r="P265" s="154">
        <f>L265+Base_Données!GJ267+Base_Données!GE267+Base_Données!GB267+Base_Données!FV267+Base_Données!FS267+Base_Données!FO267+Base_Données!FE267+Base_Données!DS267-(Base_Données!BK267+Base_Données!BH267+Base_Données!AU267)</f>
        <v>0</v>
      </c>
      <c r="Q265" s="189">
        <f>P265+Base_Données!AV267-Base_Données!FE267-Base_Données!FO267</f>
        <v>0</v>
      </c>
      <c r="R265" s="329">
        <f>SIG!Q265+Base_Données!BD267+Base_Données!BH267+Base_Données!BL267+Base_Données!BN267-Base_Données!GB267-Base_Données!GJ267-Base_Données!GF267-Base_Données!FV267</f>
        <v>0</v>
      </c>
    </row>
    <row r="266" spans="1:18" customFormat="1" x14ac:dyDescent="0.25">
      <c r="A266" s="328">
        <f>Base_Données!A268</f>
        <v>0</v>
      </c>
      <c r="B266" s="181">
        <f>Base_Données!B268</f>
        <v>0</v>
      </c>
      <c r="C266" s="158">
        <f>Base_Données!C268</f>
        <v>0</v>
      </c>
      <c r="D266" s="156">
        <f>Base_Données!Q268</f>
        <v>0</v>
      </c>
      <c r="E266" s="156">
        <f>Base_Données!BR268</f>
        <v>0</v>
      </c>
      <c r="F266" s="155">
        <f>Base_Données!R268</f>
        <v>0</v>
      </c>
      <c r="G266" s="154">
        <f>Base_Données!BS268</f>
        <v>0</v>
      </c>
      <c r="H266" s="155">
        <f>SIG!F266-SIG!G266</f>
        <v>0</v>
      </c>
      <c r="I266" s="159">
        <f>Base_Données!BI268+Base_Données!BJ268-Base_Données!GC268-Base_Données!GD268</f>
        <v>0</v>
      </c>
      <c r="J266" s="154">
        <f t="shared" si="8"/>
        <v>0</v>
      </c>
      <c r="K266" s="154">
        <f>Base_Données!BK268-Base_Données!GE268</f>
        <v>0</v>
      </c>
      <c r="L266" s="159">
        <f t="shared" si="9"/>
        <v>0</v>
      </c>
      <c r="M266" s="158">
        <f>Base_Données!S268</f>
        <v>0</v>
      </c>
      <c r="N266" s="154">
        <f>Base_Données!T268-(Base_Données!BU268+Base_Données!BZ268+Base_Données!CC268)</f>
        <v>0</v>
      </c>
      <c r="O266" s="154">
        <f>Base_Données!AC268+Base_Données!AL268-(Base_Données!CI268)</f>
        <v>0</v>
      </c>
      <c r="P266" s="154">
        <f>L266+Base_Données!GJ268+Base_Données!GE268+Base_Données!GB268+Base_Données!FV268+Base_Données!FS268+Base_Données!FO268+Base_Données!FE268+Base_Données!DS268-(Base_Données!BK268+Base_Données!BH268+Base_Données!AU268)</f>
        <v>0</v>
      </c>
      <c r="Q266" s="189">
        <f>P266+Base_Données!AV268-Base_Données!FE268-Base_Données!FO268</f>
        <v>0</v>
      </c>
      <c r="R266" s="329">
        <f>SIG!Q266+Base_Données!BD268+Base_Données!BH268+Base_Données!BL268+Base_Données!BN268-Base_Données!GB268-Base_Données!GJ268-Base_Données!GF268-Base_Données!FV268</f>
        <v>0</v>
      </c>
    </row>
    <row r="267" spans="1:18" customFormat="1" x14ac:dyDescent="0.25">
      <c r="A267" s="328">
        <f>Base_Données!A269</f>
        <v>0</v>
      </c>
      <c r="B267" s="181">
        <f>Base_Données!B269</f>
        <v>0</v>
      </c>
      <c r="C267" s="158">
        <f>Base_Données!C269</f>
        <v>0</v>
      </c>
      <c r="D267" s="156">
        <f>Base_Données!Q269</f>
        <v>0</v>
      </c>
      <c r="E267" s="156">
        <f>Base_Données!BR269</f>
        <v>0</v>
      </c>
      <c r="F267" s="155">
        <f>Base_Données!R269</f>
        <v>0</v>
      </c>
      <c r="G267" s="154">
        <f>Base_Données!BS269</f>
        <v>0</v>
      </c>
      <c r="H267" s="155">
        <f>SIG!F267-SIG!G267</f>
        <v>0</v>
      </c>
      <c r="I267" s="159">
        <f>Base_Données!BI269+Base_Données!BJ269-Base_Données!GC269-Base_Données!GD269</f>
        <v>0</v>
      </c>
      <c r="J267" s="154">
        <f t="shared" si="8"/>
        <v>0</v>
      </c>
      <c r="K267" s="154">
        <f>Base_Données!BK269-Base_Données!GE269</f>
        <v>0</v>
      </c>
      <c r="L267" s="159">
        <f t="shared" si="9"/>
        <v>0</v>
      </c>
      <c r="M267" s="158">
        <f>Base_Données!S269</f>
        <v>0</v>
      </c>
      <c r="N267" s="154">
        <f>Base_Données!T269-(Base_Données!BU269+Base_Données!BZ269+Base_Données!CC269)</f>
        <v>0</v>
      </c>
      <c r="O267" s="154">
        <f>Base_Données!AC269+Base_Données!AL269-(Base_Données!CI269)</f>
        <v>0</v>
      </c>
      <c r="P267" s="154">
        <f>L267+Base_Données!GJ269+Base_Données!GE269+Base_Données!GB269+Base_Données!FV269+Base_Données!FS269+Base_Données!FO269+Base_Données!FE269+Base_Données!DS269-(Base_Données!BK269+Base_Données!BH269+Base_Données!AU269)</f>
        <v>0</v>
      </c>
      <c r="Q267" s="189">
        <f>P267+Base_Données!AV269-Base_Données!FE269-Base_Données!FO269</f>
        <v>0</v>
      </c>
      <c r="R267" s="329">
        <f>SIG!Q267+Base_Données!BD269+Base_Données!BH269+Base_Données!BL269+Base_Données!BN269-Base_Données!GB269-Base_Données!GJ269-Base_Données!GF269-Base_Données!FV269</f>
        <v>0</v>
      </c>
    </row>
    <row r="268" spans="1:18" customFormat="1" x14ac:dyDescent="0.25">
      <c r="A268" s="328">
        <f>Base_Données!A270</f>
        <v>0</v>
      </c>
      <c r="B268" s="181">
        <f>Base_Données!B270</f>
        <v>0</v>
      </c>
      <c r="C268" s="158">
        <f>Base_Données!C270</f>
        <v>0</v>
      </c>
      <c r="D268" s="156">
        <f>Base_Données!Q270</f>
        <v>0</v>
      </c>
      <c r="E268" s="156">
        <f>Base_Données!BR270</f>
        <v>0</v>
      </c>
      <c r="F268" s="155">
        <f>Base_Données!R270</f>
        <v>0</v>
      </c>
      <c r="G268" s="154">
        <f>Base_Données!BS270</f>
        <v>0</v>
      </c>
      <c r="H268" s="155">
        <f>SIG!F268-SIG!G268</f>
        <v>0</v>
      </c>
      <c r="I268" s="159">
        <f>Base_Données!BI270+Base_Données!BJ270-Base_Données!GC270-Base_Données!GD270</f>
        <v>0</v>
      </c>
      <c r="J268" s="154">
        <f t="shared" si="8"/>
        <v>0</v>
      </c>
      <c r="K268" s="154">
        <f>Base_Données!BK270-Base_Données!GE270</f>
        <v>0</v>
      </c>
      <c r="L268" s="159">
        <f t="shared" si="9"/>
        <v>0</v>
      </c>
      <c r="M268" s="158">
        <f>Base_Données!S270</f>
        <v>0</v>
      </c>
      <c r="N268" s="154">
        <f>Base_Données!T270-(Base_Données!BU270+Base_Données!BZ270+Base_Données!CC270)</f>
        <v>0</v>
      </c>
      <c r="O268" s="154">
        <f>Base_Données!AC270+Base_Données!AL270-(Base_Données!CI270)</f>
        <v>0</v>
      </c>
      <c r="P268" s="154">
        <f>L268+Base_Données!GJ270+Base_Données!GE270+Base_Données!GB270+Base_Données!FV270+Base_Données!FS270+Base_Données!FO270+Base_Données!FE270+Base_Données!DS270-(Base_Données!BK270+Base_Données!BH270+Base_Données!AU270)</f>
        <v>0</v>
      </c>
      <c r="Q268" s="189">
        <f>P268+Base_Données!AV270-Base_Données!FE270-Base_Données!FO270</f>
        <v>0</v>
      </c>
      <c r="R268" s="329">
        <f>SIG!Q268+Base_Données!BD270+Base_Données!BH270+Base_Données!BL270+Base_Données!BN270-Base_Données!GB270-Base_Données!GJ270-Base_Données!GF270-Base_Données!FV270</f>
        <v>0</v>
      </c>
    </row>
    <row r="269" spans="1:18" customFormat="1" x14ac:dyDescent="0.25">
      <c r="A269" s="328">
        <f>Base_Données!A271</f>
        <v>0</v>
      </c>
      <c r="B269" s="181">
        <f>Base_Données!B271</f>
        <v>0</v>
      </c>
      <c r="C269" s="158">
        <f>Base_Données!C271</f>
        <v>0</v>
      </c>
      <c r="D269" s="156">
        <f>Base_Données!Q271</f>
        <v>0</v>
      </c>
      <c r="E269" s="156">
        <f>Base_Données!BR271</f>
        <v>0</v>
      </c>
      <c r="F269" s="155">
        <f>Base_Données!R271</f>
        <v>0</v>
      </c>
      <c r="G269" s="154">
        <f>Base_Données!BS271</f>
        <v>0</v>
      </c>
      <c r="H269" s="155">
        <f>SIG!F269-SIG!G269</f>
        <v>0</v>
      </c>
      <c r="I269" s="159">
        <f>Base_Données!BI271+Base_Données!BJ271-Base_Données!GC271-Base_Données!GD271</f>
        <v>0</v>
      </c>
      <c r="J269" s="154">
        <f t="shared" si="8"/>
        <v>0</v>
      </c>
      <c r="K269" s="154">
        <f>Base_Données!BK271-Base_Données!GE271</f>
        <v>0</v>
      </c>
      <c r="L269" s="159">
        <f t="shared" si="9"/>
        <v>0</v>
      </c>
      <c r="M269" s="158">
        <f>Base_Données!S271</f>
        <v>0</v>
      </c>
      <c r="N269" s="154">
        <f>Base_Données!T271-(Base_Données!BU271+Base_Données!BZ271+Base_Données!CC271)</f>
        <v>0</v>
      </c>
      <c r="O269" s="154">
        <f>Base_Données!AC271+Base_Données!AL271-(Base_Données!CI271)</f>
        <v>0</v>
      </c>
      <c r="P269" s="154">
        <f>L269+Base_Données!GJ271+Base_Données!GE271+Base_Données!GB271+Base_Données!FV271+Base_Données!FS271+Base_Données!FO271+Base_Données!FE271+Base_Données!DS271-(Base_Données!BK271+Base_Données!BH271+Base_Données!AU271)</f>
        <v>0</v>
      </c>
      <c r="Q269" s="189">
        <f>P269+Base_Données!AV271-Base_Données!FE271-Base_Données!FO271</f>
        <v>0</v>
      </c>
      <c r="R269" s="329">
        <f>SIG!Q269+Base_Données!BD271+Base_Données!BH271+Base_Données!BL271+Base_Données!BN271-Base_Données!GB271-Base_Données!GJ271-Base_Données!GF271-Base_Données!FV271</f>
        <v>0</v>
      </c>
    </row>
    <row r="270" spans="1:18" customFormat="1" x14ac:dyDescent="0.25">
      <c r="A270" s="328">
        <f>Base_Données!A272</f>
        <v>0</v>
      </c>
      <c r="B270" s="181">
        <f>Base_Données!B272</f>
        <v>0</v>
      </c>
      <c r="C270" s="158">
        <f>Base_Données!C272</f>
        <v>0</v>
      </c>
      <c r="D270" s="156">
        <f>Base_Données!Q272</f>
        <v>0</v>
      </c>
      <c r="E270" s="156">
        <f>Base_Données!BR272</f>
        <v>0</v>
      </c>
      <c r="F270" s="155">
        <f>Base_Données!R272</f>
        <v>0</v>
      </c>
      <c r="G270" s="154">
        <f>Base_Données!BS272</f>
        <v>0</v>
      </c>
      <c r="H270" s="155">
        <f>SIG!F270-SIG!G270</f>
        <v>0</v>
      </c>
      <c r="I270" s="159">
        <f>Base_Données!BI272+Base_Données!BJ272-Base_Données!GC272-Base_Données!GD272</f>
        <v>0</v>
      </c>
      <c r="J270" s="154">
        <f t="shared" si="8"/>
        <v>0</v>
      </c>
      <c r="K270" s="154">
        <f>Base_Données!BK272-Base_Données!GE272</f>
        <v>0</v>
      </c>
      <c r="L270" s="159">
        <f t="shared" si="9"/>
        <v>0</v>
      </c>
      <c r="M270" s="158">
        <f>Base_Données!S272</f>
        <v>0</v>
      </c>
      <c r="N270" s="154">
        <f>Base_Données!T272-(Base_Données!BU272+Base_Données!BZ272+Base_Données!CC272)</f>
        <v>0</v>
      </c>
      <c r="O270" s="154">
        <f>Base_Données!AC272+Base_Données!AL272-(Base_Données!CI272)</f>
        <v>0</v>
      </c>
      <c r="P270" s="154">
        <f>L270+Base_Données!GJ272+Base_Données!GE272+Base_Données!GB272+Base_Données!FV272+Base_Données!FS272+Base_Données!FO272+Base_Données!FE272+Base_Données!DS272-(Base_Données!BK272+Base_Données!BH272+Base_Données!AU272)</f>
        <v>0</v>
      </c>
      <c r="Q270" s="189">
        <f>P270+Base_Données!AV272-Base_Données!FE272-Base_Données!FO272</f>
        <v>0</v>
      </c>
      <c r="R270" s="329">
        <f>SIG!Q270+Base_Données!BD272+Base_Données!BH272+Base_Données!BL272+Base_Données!BN272-Base_Données!GB272-Base_Données!GJ272-Base_Données!GF272-Base_Données!FV272</f>
        <v>0</v>
      </c>
    </row>
    <row r="271" spans="1:18" customFormat="1" x14ac:dyDescent="0.25">
      <c r="A271" s="328">
        <f>Base_Données!A273</f>
        <v>0</v>
      </c>
      <c r="B271" s="181">
        <f>Base_Données!B273</f>
        <v>0</v>
      </c>
      <c r="C271" s="158">
        <f>Base_Données!C273</f>
        <v>0</v>
      </c>
      <c r="D271" s="156">
        <f>Base_Données!Q273</f>
        <v>0</v>
      </c>
      <c r="E271" s="156">
        <f>Base_Données!BR273</f>
        <v>0</v>
      </c>
      <c r="F271" s="155">
        <f>Base_Données!R273</f>
        <v>0</v>
      </c>
      <c r="G271" s="154">
        <f>Base_Données!BS273</f>
        <v>0</v>
      </c>
      <c r="H271" s="155">
        <f>SIG!F271-SIG!G271</f>
        <v>0</v>
      </c>
      <c r="I271" s="159">
        <f>Base_Données!BI273+Base_Données!BJ273-Base_Données!GC273-Base_Données!GD273</f>
        <v>0</v>
      </c>
      <c r="J271" s="154">
        <f t="shared" si="8"/>
        <v>0</v>
      </c>
      <c r="K271" s="154">
        <f>Base_Données!BK273-Base_Données!GE273</f>
        <v>0</v>
      </c>
      <c r="L271" s="159">
        <f t="shared" si="9"/>
        <v>0</v>
      </c>
      <c r="M271" s="158">
        <f>Base_Données!S273</f>
        <v>0</v>
      </c>
      <c r="N271" s="154">
        <f>Base_Données!T273-(Base_Données!BU273+Base_Données!BZ273+Base_Données!CC273)</f>
        <v>0</v>
      </c>
      <c r="O271" s="154">
        <f>Base_Données!AC273+Base_Données!AL273-(Base_Données!CI273)</f>
        <v>0</v>
      </c>
      <c r="P271" s="154">
        <f>L271+Base_Données!GJ273+Base_Données!GE273+Base_Données!GB273+Base_Données!FV273+Base_Données!FS273+Base_Données!FO273+Base_Données!FE273+Base_Données!DS273-(Base_Données!BK273+Base_Données!BH273+Base_Données!AU273)</f>
        <v>0</v>
      </c>
      <c r="Q271" s="189">
        <f>P271+Base_Données!AV273-Base_Données!FE273-Base_Données!FO273</f>
        <v>0</v>
      </c>
      <c r="R271" s="329">
        <f>SIG!Q271+Base_Données!BD273+Base_Données!BH273+Base_Données!BL273+Base_Données!BN273-Base_Données!GB273-Base_Données!GJ273-Base_Données!GF273-Base_Données!FV273</f>
        <v>0</v>
      </c>
    </row>
    <row r="272" spans="1:18" customFormat="1" x14ac:dyDescent="0.25">
      <c r="A272" s="328">
        <f>Base_Données!A274</f>
        <v>0</v>
      </c>
      <c r="B272" s="181">
        <f>Base_Données!B274</f>
        <v>0</v>
      </c>
      <c r="C272" s="158">
        <f>Base_Données!C274</f>
        <v>0</v>
      </c>
      <c r="D272" s="156">
        <f>Base_Données!Q274</f>
        <v>0</v>
      </c>
      <c r="E272" s="156">
        <f>Base_Données!BR274</f>
        <v>0</v>
      </c>
      <c r="F272" s="155">
        <f>Base_Données!R274</f>
        <v>0</v>
      </c>
      <c r="G272" s="154">
        <f>Base_Données!BS274</f>
        <v>0</v>
      </c>
      <c r="H272" s="155">
        <f>SIG!F272-SIG!G272</f>
        <v>0</v>
      </c>
      <c r="I272" s="159">
        <f>Base_Données!BI274+Base_Données!BJ274-Base_Données!GC274-Base_Données!GD274</f>
        <v>0</v>
      </c>
      <c r="J272" s="154">
        <f t="shared" si="8"/>
        <v>0</v>
      </c>
      <c r="K272" s="154">
        <f>Base_Données!BK274-Base_Données!GE274</f>
        <v>0</v>
      </c>
      <c r="L272" s="159">
        <f t="shared" si="9"/>
        <v>0</v>
      </c>
      <c r="M272" s="158">
        <f>Base_Données!S274</f>
        <v>0</v>
      </c>
      <c r="N272" s="154">
        <f>Base_Données!T274-(Base_Données!BU274+Base_Données!BZ274+Base_Données!CC274)</f>
        <v>0</v>
      </c>
      <c r="O272" s="154">
        <f>Base_Données!AC274+Base_Données!AL274-(Base_Données!CI274)</f>
        <v>0</v>
      </c>
      <c r="P272" s="154">
        <f>L272+Base_Données!GJ274+Base_Données!GE274+Base_Données!GB274+Base_Données!FV274+Base_Données!FS274+Base_Données!FO274+Base_Données!FE274+Base_Données!DS274-(Base_Données!BK274+Base_Données!BH274+Base_Données!AU274)</f>
        <v>0</v>
      </c>
      <c r="Q272" s="189">
        <f>P272+Base_Données!AV274-Base_Données!FE274-Base_Données!FO274</f>
        <v>0</v>
      </c>
      <c r="R272" s="329">
        <f>SIG!Q272+Base_Données!BD274+Base_Données!BH274+Base_Données!BL274+Base_Données!BN274-Base_Données!GB274-Base_Données!GJ274-Base_Données!GF274-Base_Données!FV274</f>
        <v>0</v>
      </c>
    </row>
    <row r="273" spans="1:18" customFormat="1" x14ac:dyDescent="0.25">
      <c r="A273" s="328">
        <f>Base_Données!A275</f>
        <v>0</v>
      </c>
      <c r="B273" s="181">
        <f>Base_Données!B275</f>
        <v>0</v>
      </c>
      <c r="C273" s="158">
        <f>Base_Données!C275</f>
        <v>0</v>
      </c>
      <c r="D273" s="156">
        <f>Base_Données!Q275</f>
        <v>0</v>
      </c>
      <c r="E273" s="156">
        <f>Base_Données!BR275</f>
        <v>0</v>
      </c>
      <c r="F273" s="155">
        <f>Base_Données!R275</f>
        <v>0</v>
      </c>
      <c r="G273" s="154">
        <f>Base_Données!BS275</f>
        <v>0</v>
      </c>
      <c r="H273" s="155">
        <f>SIG!F273-SIG!G273</f>
        <v>0</v>
      </c>
      <c r="I273" s="159">
        <f>Base_Données!BI275+Base_Données!BJ275-Base_Données!GC275-Base_Données!GD275</f>
        <v>0</v>
      </c>
      <c r="J273" s="154">
        <f t="shared" si="8"/>
        <v>0</v>
      </c>
      <c r="K273" s="154">
        <f>Base_Données!BK275-Base_Données!GE275</f>
        <v>0</v>
      </c>
      <c r="L273" s="159">
        <f t="shared" si="9"/>
        <v>0</v>
      </c>
      <c r="M273" s="158">
        <f>Base_Données!S275</f>
        <v>0</v>
      </c>
      <c r="N273" s="154">
        <f>Base_Données!T275-(Base_Données!BU275+Base_Données!BZ275+Base_Données!CC275)</f>
        <v>0</v>
      </c>
      <c r="O273" s="154">
        <f>Base_Données!AC275+Base_Données!AL275-(Base_Données!CI275)</f>
        <v>0</v>
      </c>
      <c r="P273" s="154">
        <f>L273+Base_Données!GJ275+Base_Données!GE275+Base_Données!GB275+Base_Données!FV275+Base_Données!FS275+Base_Données!FO275+Base_Données!FE275+Base_Données!DS275-(Base_Données!BK275+Base_Données!BH275+Base_Données!AU275)</f>
        <v>0</v>
      </c>
      <c r="Q273" s="189">
        <f>P273+Base_Données!AV275-Base_Données!FE275-Base_Données!FO275</f>
        <v>0</v>
      </c>
      <c r="R273" s="329">
        <f>SIG!Q273+Base_Données!BD275+Base_Données!BH275+Base_Données!BL275+Base_Données!BN275-Base_Données!GB275-Base_Données!GJ275-Base_Données!GF275-Base_Données!FV275</f>
        <v>0</v>
      </c>
    </row>
    <row r="274" spans="1:18" customFormat="1" x14ac:dyDescent="0.25">
      <c r="A274" s="328">
        <f>Base_Données!A276</f>
        <v>0</v>
      </c>
      <c r="B274" s="181">
        <f>Base_Données!B276</f>
        <v>0</v>
      </c>
      <c r="C274" s="158">
        <f>Base_Données!C276</f>
        <v>0</v>
      </c>
      <c r="D274" s="156">
        <f>Base_Données!Q276</f>
        <v>0</v>
      </c>
      <c r="E274" s="156">
        <f>Base_Données!BR276</f>
        <v>0</v>
      </c>
      <c r="F274" s="155">
        <f>Base_Données!R276</f>
        <v>0</v>
      </c>
      <c r="G274" s="154">
        <f>Base_Données!BS276</f>
        <v>0</v>
      </c>
      <c r="H274" s="155">
        <f>SIG!F274-SIG!G274</f>
        <v>0</v>
      </c>
      <c r="I274" s="159">
        <f>Base_Données!BI276+Base_Données!BJ276-Base_Données!GC276-Base_Données!GD276</f>
        <v>0</v>
      </c>
      <c r="J274" s="154">
        <f t="shared" si="8"/>
        <v>0</v>
      </c>
      <c r="K274" s="154">
        <f>Base_Données!BK276-Base_Données!GE276</f>
        <v>0</v>
      </c>
      <c r="L274" s="159">
        <f t="shared" si="9"/>
        <v>0</v>
      </c>
      <c r="M274" s="158">
        <f>Base_Données!S276</f>
        <v>0</v>
      </c>
      <c r="N274" s="154">
        <f>Base_Données!T276-(Base_Données!BU276+Base_Données!BZ276+Base_Données!CC276)</f>
        <v>0</v>
      </c>
      <c r="O274" s="154">
        <f>Base_Données!AC276+Base_Données!AL276-(Base_Données!CI276)</f>
        <v>0</v>
      </c>
      <c r="P274" s="154">
        <f>L274+Base_Données!GJ276+Base_Données!GE276+Base_Données!GB276+Base_Données!FV276+Base_Données!FS276+Base_Données!FO276+Base_Données!FE276+Base_Données!DS276-(Base_Données!BK276+Base_Données!BH276+Base_Données!AU276)</f>
        <v>0</v>
      </c>
      <c r="Q274" s="189">
        <f>P274+Base_Données!AV276-Base_Données!FE276-Base_Données!FO276</f>
        <v>0</v>
      </c>
      <c r="R274" s="329">
        <f>SIG!Q274+Base_Données!BD276+Base_Données!BH276+Base_Données!BL276+Base_Données!BM276+Base_Données!BN276-Base_Données!GB276-Base_Données!GJ276-Base_Données!GF276</f>
        <v>0</v>
      </c>
    </row>
    <row r="275" spans="1:18" customFormat="1" x14ac:dyDescent="0.25">
      <c r="A275" s="328">
        <f>Base_Données!A277</f>
        <v>0</v>
      </c>
      <c r="B275" s="181">
        <f>Base_Données!B277</f>
        <v>0</v>
      </c>
      <c r="C275" s="158">
        <f>Base_Données!C277</f>
        <v>0</v>
      </c>
      <c r="D275" s="156">
        <f>Base_Données!Q277</f>
        <v>0</v>
      </c>
      <c r="E275" s="156">
        <f>Base_Données!BR277</f>
        <v>0</v>
      </c>
      <c r="F275" s="155">
        <f>Base_Données!R277</f>
        <v>0</v>
      </c>
      <c r="G275" s="154">
        <f>Base_Données!BS277</f>
        <v>0</v>
      </c>
      <c r="H275" s="155">
        <f>SIG!F275-SIG!G275</f>
        <v>0</v>
      </c>
      <c r="I275" s="159">
        <f>Base_Données!BI277+Base_Données!BJ277-Base_Données!GC277-Base_Données!GD277</f>
        <v>0</v>
      </c>
      <c r="J275" s="154">
        <f t="shared" si="8"/>
        <v>0</v>
      </c>
      <c r="K275" s="154">
        <f>Base_Données!BK277-Base_Données!GE277</f>
        <v>0</v>
      </c>
      <c r="L275" s="159">
        <f t="shared" si="9"/>
        <v>0</v>
      </c>
      <c r="M275" s="158">
        <f>Base_Données!S277</f>
        <v>0</v>
      </c>
      <c r="N275" s="154">
        <f>Base_Données!T277-(Base_Données!BU277+Base_Données!BZ277+Base_Données!CC277)</f>
        <v>0</v>
      </c>
      <c r="O275" s="154">
        <f>Base_Données!AC277+Base_Données!AL277-(Base_Données!CI277)</f>
        <v>0</v>
      </c>
      <c r="P275" s="154">
        <f>L275+Base_Données!GJ277+Base_Données!GE277+Base_Données!GB277+Base_Données!FV277+Base_Données!FS277+Base_Données!FO277+Base_Données!FE277+Base_Données!DS277-(Base_Données!BK277+Base_Données!BH277+Base_Données!AU277)</f>
        <v>0</v>
      </c>
      <c r="Q275" s="189">
        <f>P275+Base_Données!AV277-Base_Données!FE277-Base_Données!FO277</f>
        <v>0</v>
      </c>
      <c r="R275" s="329">
        <f>SIG!Q275+Base_Données!BD277+Base_Données!BH277+Base_Données!BL277+Base_Données!BM277+Base_Données!BN277-Base_Données!GB277-Base_Données!GJ277-Base_Données!GF277</f>
        <v>0</v>
      </c>
    </row>
    <row r="276" spans="1:18" customFormat="1" x14ac:dyDescent="0.25">
      <c r="A276" s="328">
        <f>Base_Données!A278</f>
        <v>0</v>
      </c>
      <c r="B276" s="181">
        <f>Base_Données!B278</f>
        <v>0</v>
      </c>
      <c r="C276" s="158">
        <f>Base_Données!C278</f>
        <v>0</v>
      </c>
      <c r="D276" s="156">
        <f>Base_Données!Q278</f>
        <v>0</v>
      </c>
      <c r="E276" s="156">
        <f>Base_Données!BR278</f>
        <v>0</v>
      </c>
      <c r="F276" s="155">
        <f>Base_Données!R278</f>
        <v>0</v>
      </c>
      <c r="G276" s="154">
        <f>Base_Données!BS278</f>
        <v>0</v>
      </c>
      <c r="H276" s="155">
        <f>SIG!F276-SIG!G276</f>
        <v>0</v>
      </c>
      <c r="I276" s="159">
        <f>Base_Données!BI278+Base_Données!BJ278-Base_Données!GC278-Base_Données!GD278</f>
        <v>0</v>
      </c>
      <c r="J276" s="154">
        <f t="shared" si="8"/>
        <v>0</v>
      </c>
      <c r="K276" s="154">
        <f>Base_Données!BK278-Base_Données!GE278</f>
        <v>0</v>
      </c>
      <c r="L276" s="159">
        <f t="shared" si="9"/>
        <v>0</v>
      </c>
      <c r="M276" s="158">
        <f>Base_Données!S278</f>
        <v>0</v>
      </c>
      <c r="N276" s="154">
        <f>Base_Données!T278-(Base_Données!BU278+Base_Données!BZ278+Base_Données!CC278)</f>
        <v>0</v>
      </c>
      <c r="O276" s="154">
        <f>Base_Données!AC278+Base_Données!AL278-(Base_Données!CI278)</f>
        <v>0</v>
      </c>
      <c r="P276" s="154">
        <f>L276+Base_Données!GJ278+Base_Données!GE278+Base_Données!GB278+Base_Données!FV278+Base_Données!FS278+Base_Données!FO278+Base_Données!FE278+Base_Données!DS278-(Base_Données!BK278+Base_Données!BH278+Base_Données!AU278)</f>
        <v>0</v>
      </c>
      <c r="Q276" s="189">
        <f>P276+Base_Données!AV278-Base_Données!FE278-Base_Données!FO278</f>
        <v>0</v>
      </c>
      <c r="R276" s="329">
        <f>SIG!Q276+Base_Données!BD278+Base_Données!BH278+Base_Données!BL278+Base_Données!BM278+Base_Données!BN278-Base_Données!GB278-Base_Données!GJ278-Base_Données!GF278</f>
        <v>0</v>
      </c>
    </row>
    <row r="277" spans="1:18" customFormat="1" x14ac:dyDescent="0.25">
      <c r="A277" s="328">
        <f>Base_Données!A279</f>
        <v>0</v>
      </c>
      <c r="B277" s="181">
        <f>Base_Données!B279</f>
        <v>0</v>
      </c>
      <c r="C277" s="158">
        <f>Base_Données!C279</f>
        <v>0</v>
      </c>
      <c r="D277" s="156">
        <f>Base_Données!Q279</f>
        <v>0</v>
      </c>
      <c r="E277" s="156">
        <f>Base_Données!BR279</f>
        <v>0</v>
      </c>
      <c r="F277" s="155">
        <f>Base_Données!R279</f>
        <v>0</v>
      </c>
      <c r="G277" s="154">
        <f>Base_Données!BS279</f>
        <v>0</v>
      </c>
      <c r="H277" s="155">
        <f>SIG!F277-SIG!G277</f>
        <v>0</v>
      </c>
      <c r="I277" s="159">
        <f>Base_Données!BI279+Base_Données!BJ279-Base_Données!GC279-Base_Données!GD279</f>
        <v>0</v>
      </c>
      <c r="J277" s="154">
        <f t="shared" si="8"/>
        <v>0</v>
      </c>
      <c r="K277" s="154">
        <f>Base_Données!BK279-Base_Données!GE279</f>
        <v>0</v>
      </c>
      <c r="L277" s="159">
        <f t="shared" si="9"/>
        <v>0</v>
      </c>
      <c r="M277" s="158">
        <f>Base_Données!S279</f>
        <v>0</v>
      </c>
      <c r="N277" s="154">
        <f>Base_Données!T279-(Base_Données!BU279+Base_Données!BZ279+Base_Données!CC279)</f>
        <v>0</v>
      </c>
      <c r="O277" s="154">
        <f>Base_Données!AC279+Base_Données!AL279-(Base_Données!CI279)</f>
        <v>0</v>
      </c>
      <c r="P277" s="154">
        <f>L277+Base_Données!GJ279+Base_Données!GE279+Base_Données!GB279+Base_Données!FV279+Base_Données!FS279+Base_Données!FO279+Base_Données!FE279+Base_Données!DS279-(Base_Données!BK279+Base_Données!BH279+Base_Données!AU279)</f>
        <v>0</v>
      </c>
      <c r="Q277" s="189">
        <f>P277+Base_Données!AV279-Base_Données!FE279-Base_Données!FO279</f>
        <v>0</v>
      </c>
      <c r="R277" s="329">
        <f>SIG!Q277+Base_Données!BD279+Base_Données!BH279+Base_Données!BL279+Base_Données!BM279+Base_Données!BN279-Base_Données!GB279-Base_Données!GJ279-Base_Données!GF279</f>
        <v>0</v>
      </c>
    </row>
    <row r="278" spans="1:18" customFormat="1" x14ac:dyDescent="0.25">
      <c r="A278" s="328">
        <f>Base_Données!A280</f>
        <v>0</v>
      </c>
      <c r="B278" s="181">
        <f>Base_Données!B280</f>
        <v>0</v>
      </c>
      <c r="C278" s="158">
        <f>Base_Données!C280</f>
        <v>0</v>
      </c>
      <c r="D278" s="156">
        <f>Base_Données!Q280</f>
        <v>0</v>
      </c>
      <c r="E278" s="156">
        <f>Base_Données!BR280</f>
        <v>0</v>
      </c>
      <c r="F278" s="155">
        <f>Base_Données!R280</f>
        <v>0</v>
      </c>
      <c r="G278" s="154">
        <f>Base_Données!BS280</f>
        <v>0</v>
      </c>
      <c r="H278" s="155">
        <f>SIG!F278-SIG!G278</f>
        <v>0</v>
      </c>
      <c r="I278" s="159">
        <f>Base_Données!BI280+Base_Données!BJ280-Base_Données!GC280-Base_Données!GD280</f>
        <v>0</v>
      </c>
      <c r="J278" s="154">
        <f t="shared" si="8"/>
        <v>0</v>
      </c>
      <c r="K278" s="154">
        <f>Base_Données!BK280-Base_Données!GE280</f>
        <v>0</v>
      </c>
      <c r="L278" s="159">
        <f t="shared" si="9"/>
        <v>0</v>
      </c>
      <c r="M278" s="158">
        <f>Base_Données!S280</f>
        <v>0</v>
      </c>
      <c r="N278" s="154">
        <f>Base_Données!T280-(Base_Données!BU280+Base_Données!BZ280+Base_Données!CC280)</f>
        <v>0</v>
      </c>
      <c r="O278" s="154">
        <f>Base_Données!AC280+Base_Données!AL280-(Base_Données!CI280)</f>
        <v>0</v>
      </c>
      <c r="P278" s="154">
        <f>L278+Base_Données!GJ280+Base_Données!GE280+Base_Données!GB280+Base_Données!FV280+Base_Données!FS280+Base_Données!FO280+Base_Données!FE280+Base_Données!DS280-(Base_Données!BK280+Base_Données!BH280+Base_Données!AU280)</f>
        <v>0</v>
      </c>
      <c r="Q278" s="189">
        <f>P278+Base_Données!AV280-Base_Données!FE280-Base_Données!FO280</f>
        <v>0</v>
      </c>
      <c r="R278" s="329">
        <f>SIG!Q278+Base_Données!BD280+Base_Données!BH280+Base_Données!BL280+Base_Données!BM280+Base_Données!BN280-Base_Données!GB280-Base_Données!GJ280-Base_Données!GF280</f>
        <v>0</v>
      </c>
    </row>
    <row r="279" spans="1:18" customFormat="1" x14ac:dyDescent="0.25">
      <c r="A279" s="328">
        <f>Base_Données!A281</f>
        <v>0</v>
      </c>
      <c r="B279" s="181">
        <f>Base_Données!B281</f>
        <v>0</v>
      </c>
      <c r="C279" s="158">
        <f>Base_Données!C281</f>
        <v>0</v>
      </c>
      <c r="D279" s="156">
        <f>Base_Données!Q281</f>
        <v>0</v>
      </c>
      <c r="E279" s="156">
        <f>Base_Données!BR281</f>
        <v>0</v>
      </c>
      <c r="F279" s="155">
        <f>Base_Données!R281</f>
        <v>0</v>
      </c>
      <c r="G279" s="154">
        <f>Base_Données!BS281</f>
        <v>0</v>
      </c>
      <c r="H279" s="155">
        <f>SIG!F279-SIG!G279</f>
        <v>0</v>
      </c>
      <c r="I279" s="159">
        <f>Base_Données!BI281+Base_Données!BJ281-Base_Données!GC281-Base_Données!GD281</f>
        <v>0</v>
      </c>
      <c r="J279" s="154">
        <f t="shared" si="8"/>
        <v>0</v>
      </c>
      <c r="K279" s="154">
        <f>Base_Données!BK281-Base_Données!GE281</f>
        <v>0</v>
      </c>
      <c r="L279" s="159">
        <f t="shared" si="9"/>
        <v>0</v>
      </c>
      <c r="M279" s="158">
        <f>Base_Données!S281</f>
        <v>0</v>
      </c>
      <c r="N279" s="154">
        <f>Base_Données!T281-(Base_Données!BU281+Base_Données!BZ281+Base_Données!CC281)</f>
        <v>0</v>
      </c>
      <c r="O279" s="154">
        <f>Base_Données!AC281+Base_Données!AL281-(Base_Données!CI281)</f>
        <v>0</v>
      </c>
      <c r="P279" s="154">
        <f>L279+Base_Données!GJ281+Base_Données!GE281+Base_Données!GB281+Base_Données!FV281+Base_Données!FS281+Base_Données!FO281+Base_Données!FE281+Base_Données!DS281-(Base_Données!BK281+Base_Données!BH281+Base_Données!AU281)</f>
        <v>0</v>
      </c>
      <c r="Q279" s="189">
        <f>P279+Base_Données!AV281-Base_Données!FE281-Base_Données!FO281</f>
        <v>0</v>
      </c>
      <c r="R279" s="329">
        <f>SIG!Q279+Base_Données!BD281+Base_Données!BH281+Base_Données!BL281+Base_Données!BM281+Base_Données!BN281-Base_Données!GB281-Base_Données!GJ281-Base_Données!GF281</f>
        <v>0</v>
      </c>
    </row>
    <row r="280" spans="1:18" customFormat="1" x14ac:dyDescent="0.25">
      <c r="A280" s="328">
        <f>Base_Données!A282</f>
        <v>0</v>
      </c>
      <c r="B280" s="181">
        <f>Base_Données!B282</f>
        <v>0</v>
      </c>
      <c r="C280" s="158">
        <f>Base_Données!C282</f>
        <v>0</v>
      </c>
      <c r="D280" s="156">
        <f>Base_Données!Q282</f>
        <v>0</v>
      </c>
      <c r="E280" s="156">
        <f>Base_Données!BR282</f>
        <v>0</v>
      </c>
      <c r="F280" s="155">
        <f>Base_Données!R282</f>
        <v>0</v>
      </c>
      <c r="G280" s="154">
        <f>Base_Données!BS282</f>
        <v>0</v>
      </c>
      <c r="H280" s="155">
        <f>SIG!F280-SIG!G280</f>
        <v>0</v>
      </c>
      <c r="I280" s="159">
        <f>Base_Données!BI282+Base_Données!BJ282-Base_Données!GC282-Base_Données!GD282</f>
        <v>0</v>
      </c>
      <c r="J280" s="154">
        <f t="shared" si="8"/>
        <v>0</v>
      </c>
      <c r="K280" s="154">
        <f>Base_Données!BK282-Base_Données!GE282</f>
        <v>0</v>
      </c>
      <c r="L280" s="159">
        <f t="shared" si="9"/>
        <v>0</v>
      </c>
      <c r="M280" s="158">
        <f>Base_Données!S282</f>
        <v>0</v>
      </c>
      <c r="N280" s="154">
        <f>Base_Données!T282-(Base_Données!BU282+Base_Données!BZ282+Base_Données!CC282)</f>
        <v>0</v>
      </c>
      <c r="O280" s="154">
        <f>Base_Données!AC282+Base_Données!AL282-(Base_Données!CI282)</f>
        <v>0</v>
      </c>
      <c r="P280" s="154">
        <f>L280+Base_Données!GJ282+Base_Données!GE282+Base_Données!GB282+Base_Données!FV282+Base_Données!FS282+Base_Données!FO282+Base_Données!FE282+Base_Données!DS282-(Base_Données!BK282+Base_Données!BH282+Base_Données!AU282)</f>
        <v>0</v>
      </c>
      <c r="Q280" s="189">
        <f>P280+Base_Données!AV282-Base_Données!FE282-Base_Données!FO282</f>
        <v>0</v>
      </c>
      <c r="R280" s="329">
        <f>SIG!Q280+Base_Données!BD282+Base_Données!BH282+Base_Données!BL282+Base_Données!BM282+Base_Données!BN282-Base_Données!GB282-Base_Données!GJ282-Base_Données!GF282</f>
        <v>0</v>
      </c>
    </row>
    <row r="281" spans="1:18" customFormat="1" x14ac:dyDescent="0.25">
      <c r="A281" s="328">
        <f>Base_Données!A283</f>
        <v>0</v>
      </c>
      <c r="B281" s="181">
        <f>Base_Données!B283</f>
        <v>0</v>
      </c>
      <c r="C281" s="158">
        <f>Base_Données!C283</f>
        <v>0</v>
      </c>
      <c r="D281" s="156">
        <f>Base_Données!Q283</f>
        <v>0</v>
      </c>
      <c r="E281" s="156">
        <f>Base_Données!BR283</f>
        <v>0</v>
      </c>
      <c r="F281" s="155">
        <f>Base_Données!R283</f>
        <v>0</v>
      </c>
      <c r="G281" s="154">
        <f>Base_Données!BS283</f>
        <v>0</v>
      </c>
      <c r="H281" s="155">
        <f>SIG!F281-SIG!G281</f>
        <v>0</v>
      </c>
      <c r="I281" s="159">
        <f>Base_Données!BI283+Base_Données!BJ283-Base_Données!GC283-Base_Données!GD283</f>
        <v>0</v>
      </c>
      <c r="J281" s="154">
        <f t="shared" si="8"/>
        <v>0</v>
      </c>
      <c r="K281" s="154">
        <f>Base_Données!BK283-Base_Données!GE283</f>
        <v>0</v>
      </c>
      <c r="L281" s="159">
        <f t="shared" si="9"/>
        <v>0</v>
      </c>
      <c r="M281" s="158">
        <f>Base_Données!S283</f>
        <v>0</v>
      </c>
      <c r="N281" s="154">
        <f>Base_Données!T283-(Base_Données!BU283+Base_Données!BZ283+Base_Données!CC283)</f>
        <v>0</v>
      </c>
      <c r="O281" s="154">
        <f>Base_Données!AC283+Base_Données!AL283-(Base_Données!CI283)</f>
        <v>0</v>
      </c>
      <c r="P281" s="154">
        <f>L281+Base_Données!GJ283+Base_Données!GE283+Base_Données!GB283+Base_Données!FV283+Base_Données!FS283+Base_Données!FO283+Base_Données!FE283+Base_Données!DS283-(Base_Données!BK283+Base_Données!BH283+Base_Données!AU283)</f>
        <v>0</v>
      </c>
      <c r="Q281" s="189">
        <f>P281+Base_Données!AV283-Base_Données!FE283-Base_Données!FO283</f>
        <v>0</v>
      </c>
      <c r="R281" s="329">
        <f>SIG!Q281+Base_Données!BD283+Base_Données!BH283+Base_Données!BL283+Base_Données!BM283+Base_Données!BN283-Base_Données!GB283-Base_Données!GJ283-Base_Données!GF283</f>
        <v>0</v>
      </c>
    </row>
    <row r="282" spans="1:18" customFormat="1" x14ac:dyDescent="0.25">
      <c r="A282" s="328">
        <f>Base_Données!A284</f>
        <v>0</v>
      </c>
      <c r="B282" s="181">
        <f>Base_Données!B284</f>
        <v>0</v>
      </c>
      <c r="C282" s="158">
        <f>Base_Données!C284</f>
        <v>0</v>
      </c>
      <c r="D282" s="156">
        <f>Base_Données!Q284</f>
        <v>0</v>
      </c>
      <c r="E282" s="156">
        <f>Base_Données!BR284</f>
        <v>0</v>
      </c>
      <c r="F282" s="155">
        <f>Base_Données!R284</f>
        <v>0</v>
      </c>
      <c r="G282" s="154">
        <f>Base_Données!BS284</f>
        <v>0</v>
      </c>
      <c r="H282" s="155">
        <f>SIG!F282-SIG!G282</f>
        <v>0</v>
      </c>
      <c r="I282" s="159">
        <f>Base_Données!BI284+Base_Données!BJ284-Base_Données!GC284-Base_Données!GD284</f>
        <v>0</v>
      </c>
      <c r="J282" s="154">
        <f t="shared" si="8"/>
        <v>0</v>
      </c>
      <c r="K282" s="154">
        <f>Base_Données!BK284-Base_Données!GE284</f>
        <v>0</v>
      </c>
      <c r="L282" s="159">
        <f t="shared" si="9"/>
        <v>0</v>
      </c>
      <c r="M282" s="158">
        <f>Base_Données!S284</f>
        <v>0</v>
      </c>
      <c r="N282" s="154">
        <f>Base_Données!T284-(Base_Données!BU284+Base_Données!BZ284+Base_Données!CC284)</f>
        <v>0</v>
      </c>
      <c r="O282" s="154">
        <f>Base_Données!AC284+Base_Données!AL284-(Base_Données!CI284)</f>
        <v>0</v>
      </c>
      <c r="P282" s="154">
        <f>L282+Base_Données!GJ284+Base_Données!GE284+Base_Données!GB284+Base_Données!FV284+Base_Données!FS284+Base_Données!FO284+Base_Données!FE284+Base_Données!DS284-(Base_Données!BK284+Base_Données!BH284+Base_Données!AU284)</f>
        <v>0</v>
      </c>
      <c r="Q282" s="189">
        <f>P282+Base_Données!AV284-Base_Données!FE284-Base_Données!FO284</f>
        <v>0</v>
      </c>
      <c r="R282" s="329">
        <f>SIG!Q282+Base_Données!BD284+Base_Données!BH284+Base_Données!BL284+Base_Données!BM284+Base_Données!BN284-Base_Données!GB284-Base_Données!GJ284-Base_Données!GF284</f>
        <v>0</v>
      </c>
    </row>
    <row r="283" spans="1:18" customFormat="1" x14ac:dyDescent="0.25">
      <c r="A283" s="328">
        <f>Base_Données!A285</f>
        <v>0</v>
      </c>
      <c r="B283" s="181">
        <f>Base_Données!B285</f>
        <v>0</v>
      </c>
      <c r="C283" s="158">
        <f>Base_Données!C285</f>
        <v>0</v>
      </c>
      <c r="D283" s="156">
        <f>Base_Données!Q285</f>
        <v>0</v>
      </c>
      <c r="E283" s="156">
        <f>Base_Données!BR285</f>
        <v>0</v>
      </c>
      <c r="F283" s="155">
        <f>Base_Données!R285</f>
        <v>0</v>
      </c>
      <c r="G283" s="154">
        <f>Base_Données!BS285</f>
        <v>0</v>
      </c>
      <c r="H283" s="155">
        <f>SIG!F283-SIG!G283</f>
        <v>0</v>
      </c>
      <c r="I283" s="159">
        <f>Base_Données!BI285+Base_Données!BJ285-Base_Données!GC285-Base_Données!GD285</f>
        <v>0</v>
      </c>
      <c r="J283" s="154">
        <f t="shared" si="8"/>
        <v>0</v>
      </c>
      <c r="K283" s="154">
        <f>Base_Données!BK285-Base_Données!GE285</f>
        <v>0</v>
      </c>
      <c r="L283" s="159">
        <f t="shared" si="9"/>
        <v>0</v>
      </c>
      <c r="M283" s="158">
        <f>Base_Données!S285</f>
        <v>0</v>
      </c>
      <c r="N283" s="154">
        <f>Base_Données!T285-(Base_Données!BU285+Base_Données!BZ285+Base_Données!CC285)</f>
        <v>0</v>
      </c>
      <c r="O283" s="154">
        <f>Base_Données!AC285+Base_Données!AL285-(Base_Données!CI285)</f>
        <v>0</v>
      </c>
      <c r="P283" s="154">
        <f>L283+Base_Données!GJ285+Base_Données!GE285+Base_Données!GB285+Base_Données!FV285+Base_Données!FS285+Base_Données!FO285+Base_Données!FE285+Base_Données!DS285-(Base_Données!BK285+Base_Données!BH285+Base_Données!AU285)</f>
        <v>0</v>
      </c>
      <c r="Q283" s="189">
        <f>P283+Base_Données!AV285-Base_Données!FE285-Base_Données!FO285</f>
        <v>0</v>
      </c>
      <c r="R283" s="329">
        <f>SIG!Q283+Base_Données!BD285+Base_Données!BH285+Base_Données!BL285+Base_Données!BM285+Base_Données!BN285-Base_Données!GB285-Base_Données!GJ285-Base_Données!GF285</f>
        <v>0</v>
      </c>
    </row>
    <row r="284" spans="1:18" customFormat="1" x14ac:dyDescent="0.25">
      <c r="A284" s="328">
        <f>Base_Données!A286</f>
        <v>0</v>
      </c>
      <c r="B284" s="181">
        <f>Base_Données!B286</f>
        <v>0</v>
      </c>
      <c r="C284" s="158">
        <f>Base_Données!C286</f>
        <v>0</v>
      </c>
      <c r="D284" s="156">
        <f>Base_Données!Q286</f>
        <v>0</v>
      </c>
      <c r="E284" s="156">
        <f>Base_Données!BR286</f>
        <v>0</v>
      </c>
      <c r="F284" s="155">
        <f>Base_Données!R286</f>
        <v>0</v>
      </c>
      <c r="G284" s="154">
        <f>Base_Données!BS286</f>
        <v>0</v>
      </c>
      <c r="H284" s="155">
        <f>SIG!F284-SIG!G284</f>
        <v>0</v>
      </c>
      <c r="I284" s="159">
        <f>Base_Données!BI286+Base_Données!BJ286-Base_Données!GC286-Base_Données!GD286</f>
        <v>0</v>
      </c>
      <c r="J284" s="154">
        <f t="shared" si="8"/>
        <v>0</v>
      </c>
      <c r="K284" s="154">
        <f>Base_Données!BK286-Base_Données!GE286</f>
        <v>0</v>
      </c>
      <c r="L284" s="159">
        <f t="shared" si="9"/>
        <v>0</v>
      </c>
      <c r="M284" s="158">
        <f>Base_Données!S286</f>
        <v>0</v>
      </c>
      <c r="N284" s="154">
        <f>Base_Données!T286-(Base_Données!BU286+Base_Données!BZ286+Base_Données!CC286)</f>
        <v>0</v>
      </c>
      <c r="O284" s="154">
        <f>Base_Données!AC286+Base_Données!AL286-(Base_Données!CI286)</f>
        <v>0</v>
      </c>
      <c r="P284" s="154">
        <f>L284+Base_Données!GJ286+Base_Données!GE286+Base_Données!GB286+Base_Données!FV286+Base_Données!FS286+Base_Données!FO286+Base_Données!FE286+Base_Données!DS286-(Base_Données!BK286+Base_Données!BH286+Base_Données!AU286)</f>
        <v>0</v>
      </c>
      <c r="Q284" s="189">
        <f>P284+Base_Données!AV286-Base_Données!FE286-Base_Données!FO286</f>
        <v>0</v>
      </c>
      <c r="R284" s="329">
        <f>SIG!Q284+Base_Données!BD286+Base_Données!BH286+Base_Données!BL286+Base_Données!BM286+Base_Données!BN286-Base_Données!GB286-Base_Données!GJ286-Base_Données!GF286</f>
        <v>0</v>
      </c>
    </row>
    <row r="285" spans="1:18" customFormat="1" x14ac:dyDescent="0.25">
      <c r="A285" s="328">
        <f>Base_Données!A287</f>
        <v>0</v>
      </c>
      <c r="B285" s="181">
        <f>Base_Données!B287</f>
        <v>0</v>
      </c>
      <c r="C285" s="158">
        <f>Base_Données!C287</f>
        <v>0</v>
      </c>
      <c r="D285" s="156">
        <f>Base_Données!Q287</f>
        <v>0</v>
      </c>
      <c r="E285" s="156">
        <f>Base_Données!BR287</f>
        <v>0</v>
      </c>
      <c r="F285" s="155">
        <f>Base_Données!R287</f>
        <v>0</v>
      </c>
      <c r="G285" s="154">
        <f>Base_Données!BS287</f>
        <v>0</v>
      </c>
      <c r="H285" s="155">
        <f>SIG!F285-SIG!G285</f>
        <v>0</v>
      </c>
      <c r="I285" s="159">
        <f>Base_Données!BI287+Base_Données!BJ287-Base_Données!GC287-Base_Données!GD287</f>
        <v>0</v>
      </c>
      <c r="J285" s="154">
        <f t="shared" si="8"/>
        <v>0</v>
      </c>
      <c r="K285" s="154">
        <f>Base_Données!BK287-Base_Données!GE287</f>
        <v>0</v>
      </c>
      <c r="L285" s="159">
        <f t="shared" si="9"/>
        <v>0</v>
      </c>
      <c r="M285" s="158">
        <f>Base_Données!S287</f>
        <v>0</v>
      </c>
      <c r="N285" s="154">
        <f>Base_Données!T287-(Base_Données!BU287+Base_Données!BZ287+Base_Données!CC287)</f>
        <v>0</v>
      </c>
      <c r="O285" s="154">
        <f>Base_Données!AC287+Base_Données!AL287-(Base_Données!CI287)</f>
        <v>0</v>
      </c>
      <c r="P285" s="154">
        <f>L285+Base_Données!GJ287+Base_Données!GE287+Base_Données!GB287+Base_Données!FV287+Base_Données!FS287+Base_Données!FO287+Base_Données!FE287+Base_Données!DS287-(Base_Données!BK287+Base_Données!BH287+Base_Données!AU287)</f>
        <v>0</v>
      </c>
      <c r="Q285" s="189">
        <f>P285+Base_Données!AV287-Base_Données!FE287-Base_Données!FO287</f>
        <v>0</v>
      </c>
      <c r="R285" s="329">
        <f>SIG!Q285+Base_Données!BD287+Base_Données!BH287+Base_Données!BL287+Base_Données!BM287+Base_Données!BN287-Base_Données!GB287-Base_Données!GJ287-Base_Données!GF287</f>
        <v>0</v>
      </c>
    </row>
    <row r="286" spans="1:18" customFormat="1" x14ac:dyDescent="0.25">
      <c r="A286" s="328">
        <f>Base_Données!A288</f>
        <v>0</v>
      </c>
      <c r="B286" s="181">
        <f>Base_Données!B288</f>
        <v>0</v>
      </c>
      <c r="C286" s="158">
        <f>Base_Données!C288</f>
        <v>0</v>
      </c>
      <c r="D286" s="156">
        <f>Base_Données!Q288</f>
        <v>0</v>
      </c>
      <c r="E286" s="156">
        <f>Base_Données!BR288</f>
        <v>0</v>
      </c>
      <c r="F286" s="155">
        <f>Base_Données!R288</f>
        <v>0</v>
      </c>
      <c r="G286" s="154">
        <f>Base_Données!BS288</f>
        <v>0</v>
      </c>
      <c r="H286" s="155">
        <f>SIG!F286-SIG!G286</f>
        <v>0</v>
      </c>
      <c r="I286" s="159">
        <f>Base_Données!BI288+Base_Données!BJ288-Base_Données!GC288-Base_Données!GD288</f>
        <v>0</v>
      </c>
      <c r="J286" s="154">
        <f t="shared" si="8"/>
        <v>0</v>
      </c>
      <c r="K286" s="154">
        <f>Base_Données!BK288-Base_Données!GE288</f>
        <v>0</v>
      </c>
      <c r="L286" s="159">
        <f t="shared" si="9"/>
        <v>0</v>
      </c>
      <c r="M286" s="158">
        <f>Base_Données!S288</f>
        <v>0</v>
      </c>
      <c r="N286" s="154">
        <f>Base_Données!T288-(Base_Données!BU288+Base_Données!BZ288+Base_Données!CC288)</f>
        <v>0</v>
      </c>
      <c r="O286" s="154">
        <f>Base_Données!AC288+Base_Données!AL288-(Base_Données!CI288)</f>
        <v>0</v>
      </c>
      <c r="P286" s="154">
        <f>L286+Base_Données!GJ288+Base_Données!GE288+Base_Données!GB288+Base_Données!FV288+Base_Données!FS288+Base_Données!FO288+Base_Données!FE288+Base_Données!DS288-(Base_Données!BK288+Base_Données!BH288+Base_Données!AU288)</f>
        <v>0</v>
      </c>
      <c r="Q286" s="189">
        <f>P286+Base_Données!AV288-Base_Données!FE288-Base_Données!FO288</f>
        <v>0</v>
      </c>
      <c r="R286" s="329">
        <f>SIG!Q286+Base_Données!BD288+Base_Données!BH288+Base_Données!BL288+Base_Données!BM288+Base_Données!BN288-Base_Données!GB288-Base_Données!GJ288-Base_Données!GF288</f>
        <v>0</v>
      </c>
    </row>
    <row r="287" spans="1:18" customFormat="1" x14ac:dyDescent="0.25">
      <c r="A287" s="328">
        <f>Base_Données!A289</f>
        <v>0</v>
      </c>
      <c r="B287" s="181">
        <f>Base_Données!B289</f>
        <v>0</v>
      </c>
      <c r="C287" s="158">
        <f>Base_Données!C289</f>
        <v>0</v>
      </c>
      <c r="D287" s="156">
        <f>Base_Données!Q289</f>
        <v>0</v>
      </c>
      <c r="E287" s="156">
        <f>Base_Données!BR289</f>
        <v>0</v>
      </c>
      <c r="F287" s="155">
        <f>Base_Données!R289</f>
        <v>0</v>
      </c>
      <c r="G287" s="154">
        <f>Base_Données!BS289</f>
        <v>0</v>
      </c>
      <c r="H287" s="155">
        <f>SIG!F287-SIG!G287</f>
        <v>0</v>
      </c>
      <c r="I287" s="159">
        <f>Base_Données!BI289+Base_Données!BJ289-Base_Données!GC289-Base_Données!GD289</f>
        <v>0</v>
      </c>
      <c r="J287" s="154">
        <f t="shared" si="8"/>
        <v>0</v>
      </c>
      <c r="K287" s="154">
        <f>Base_Données!BK289-Base_Données!GE289</f>
        <v>0</v>
      </c>
      <c r="L287" s="159">
        <f t="shared" si="9"/>
        <v>0</v>
      </c>
      <c r="M287" s="158">
        <f>Base_Données!S289</f>
        <v>0</v>
      </c>
      <c r="N287" s="154">
        <f>Base_Données!T289-(Base_Données!BU289+Base_Données!BZ289+Base_Données!CC289)</f>
        <v>0</v>
      </c>
      <c r="O287" s="154">
        <f>Base_Données!AC289+Base_Données!AL289-(Base_Données!CI289)</f>
        <v>0</v>
      </c>
      <c r="P287" s="154">
        <f>L287+Base_Données!GJ289+Base_Données!GE289+Base_Données!GB289+Base_Données!FV289+Base_Données!FS289+Base_Données!FO289+Base_Données!FE289+Base_Données!DS289-(Base_Données!BK289+Base_Données!BH289+Base_Données!AU289)</f>
        <v>0</v>
      </c>
      <c r="Q287" s="189">
        <f>P287+Base_Données!AV289-Base_Données!FE289-Base_Données!FO289</f>
        <v>0</v>
      </c>
      <c r="R287" s="329">
        <f>SIG!Q287+Base_Données!BD289+Base_Données!BH289+Base_Données!BL289+Base_Données!BM289+Base_Données!BN289-Base_Données!GB289-Base_Données!GJ289-Base_Données!GF289</f>
        <v>0</v>
      </c>
    </row>
    <row r="288" spans="1:18" customFormat="1" x14ac:dyDescent="0.25">
      <c r="A288" s="328">
        <f>Base_Données!A290</f>
        <v>0</v>
      </c>
      <c r="B288" s="181">
        <f>Base_Données!B290</f>
        <v>0</v>
      </c>
      <c r="C288" s="158">
        <f>Base_Données!C290</f>
        <v>0</v>
      </c>
      <c r="D288" s="156">
        <f>Base_Données!Q290</f>
        <v>0</v>
      </c>
      <c r="E288" s="156">
        <f>Base_Données!BR290</f>
        <v>0</v>
      </c>
      <c r="F288" s="155">
        <f>Base_Données!R290</f>
        <v>0</v>
      </c>
      <c r="G288" s="154">
        <f>Base_Données!BS290</f>
        <v>0</v>
      </c>
      <c r="H288" s="155">
        <f>SIG!F288-SIG!G288</f>
        <v>0</v>
      </c>
      <c r="I288" s="159">
        <f>Base_Données!BI290+Base_Données!BJ290-Base_Données!GC290-Base_Données!GD290</f>
        <v>0</v>
      </c>
      <c r="J288" s="154">
        <f t="shared" si="8"/>
        <v>0</v>
      </c>
      <c r="K288" s="154">
        <f>Base_Données!BK290-Base_Données!GE290</f>
        <v>0</v>
      </c>
      <c r="L288" s="159">
        <f t="shared" si="9"/>
        <v>0</v>
      </c>
      <c r="M288" s="158">
        <f>Base_Données!S290</f>
        <v>0</v>
      </c>
      <c r="N288" s="154">
        <f>Base_Données!T290-(Base_Données!BU290+Base_Données!BZ290+Base_Données!CC290)</f>
        <v>0</v>
      </c>
      <c r="O288" s="154">
        <f>Base_Données!AC290+Base_Données!AL290-(Base_Données!CI290)</f>
        <v>0</v>
      </c>
      <c r="P288" s="154">
        <f>L288+Base_Données!GJ290+Base_Données!GE290+Base_Données!GB290+Base_Données!FV290+Base_Données!FS290+Base_Données!FO290+Base_Données!FE290+Base_Données!DS290-(Base_Données!BK290+Base_Données!BH290+Base_Données!AU290)</f>
        <v>0</v>
      </c>
      <c r="Q288" s="189">
        <f>P288+Base_Données!AV290-Base_Données!FE290-Base_Données!FO290</f>
        <v>0</v>
      </c>
      <c r="R288" s="329">
        <f>SIG!Q288+Base_Données!BD290+Base_Données!BH290+Base_Données!BL290+Base_Données!BM290+Base_Données!BN290-Base_Données!GB290-Base_Données!GJ290-Base_Données!GF290</f>
        <v>0</v>
      </c>
    </row>
    <row r="289" spans="1:18" customFormat="1" x14ac:dyDescent="0.25">
      <c r="A289" s="328">
        <f>Base_Données!A291</f>
        <v>0</v>
      </c>
      <c r="B289" s="181">
        <f>Base_Données!B291</f>
        <v>0</v>
      </c>
      <c r="C289" s="158">
        <f>Base_Données!C291</f>
        <v>0</v>
      </c>
      <c r="D289" s="156">
        <f>Base_Données!Q291</f>
        <v>0</v>
      </c>
      <c r="E289" s="156">
        <f>Base_Données!BR291</f>
        <v>0</v>
      </c>
      <c r="F289" s="155">
        <f>Base_Données!R291</f>
        <v>0</v>
      </c>
      <c r="G289" s="154">
        <f>Base_Données!BS291</f>
        <v>0</v>
      </c>
      <c r="H289" s="155">
        <f>SIG!F289-SIG!G289</f>
        <v>0</v>
      </c>
      <c r="I289" s="159">
        <f>Base_Données!BI291+Base_Données!BJ291-Base_Données!GC291-Base_Données!GD291</f>
        <v>0</v>
      </c>
      <c r="J289" s="154">
        <f t="shared" si="8"/>
        <v>0</v>
      </c>
      <c r="K289" s="154">
        <f>Base_Données!BK291-Base_Données!GE291</f>
        <v>0</v>
      </c>
      <c r="L289" s="159">
        <f t="shared" si="9"/>
        <v>0</v>
      </c>
      <c r="M289" s="158">
        <f>Base_Données!S291</f>
        <v>0</v>
      </c>
      <c r="N289" s="154">
        <f>Base_Données!T291-(Base_Données!BU291+Base_Données!BZ291+Base_Données!CC291)</f>
        <v>0</v>
      </c>
      <c r="O289" s="154">
        <f>Base_Données!AC291+Base_Données!AL291-(Base_Données!CI291)</f>
        <v>0</v>
      </c>
      <c r="P289" s="154">
        <f>L289+Base_Données!GJ291+Base_Données!GE291+Base_Données!GB291+Base_Données!FV291+Base_Données!FS291+Base_Données!FO291+Base_Données!FE291+Base_Données!DS291-(Base_Données!BK291+Base_Données!BH291+Base_Données!AU291)</f>
        <v>0</v>
      </c>
      <c r="Q289" s="189">
        <f>P289+Base_Données!AV291-Base_Données!FE291-Base_Données!FO291</f>
        <v>0</v>
      </c>
      <c r="R289" s="329">
        <f>SIG!Q289+Base_Données!BD291+Base_Données!BH291+Base_Données!BL291+Base_Données!BM291+Base_Données!BN291-Base_Données!GB291-Base_Données!GJ291-Base_Données!GF291</f>
        <v>0</v>
      </c>
    </row>
    <row r="290" spans="1:18" customFormat="1" x14ac:dyDescent="0.25">
      <c r="A290" s="328">
        <f>Base_Données!A292</f>
        <v>0</v>
      </c>
      <c r="B290" s="181">
        <f>Base_Données!B292</f>
        <v>0</v>
      </c>
      <c r="C290" s="158">
        <f>Base_Données!C292</f>
        <v>0</v>
      </c>
      <c r="D290" s="156">
        <f>Base_Données!Q292</f>
        <v>0</v>
      </c>
      <c r="E290" s="156">
        <f>Base_Données!BR292</f>
        <v>0</v>
      </c>
      <c r="F290" s="155">
        <f>Base_Données!R292</f>
        <v>0</v>
      </c>
      <c r="G290" s="154">
        <f>Base_Données!BS292</f>
        <v>0</v>
      </c>
      <c r="H290" s="155">
        <f>SIG!F290-SIG!G290</f>
        <v>0</v>
      </c>
      <c r="I290" s="159">
        <f>Base_Données!BI292+Base_Données!BJ292-Base_Données!GC292-Base_Données!GD292</f>
        <v>0</v>
      </c>
      <c r="J290" s="154">
        <f t="shared" si="8"/>
        <v>0</v>
      </c>
      <c r="K290" s="154">
        <f>Base_Données!BK292-Base_Données!GE292</f>
        <v>0</v>
      </c>
      <c r="L290" s="159">
        <f t="shared" si="9"/>
        <v>0</v>
      </c>
      <c r="M290" s="158">
        <f>Base_Données!S292</f>
        <v>0</v>
      </c>
      <c r="N290" s="154">
        <f>Base_Données!T292-(Base_Données!BU292+Base_Données!BZ292+Base_Données!CC292)</f>
        <v>0</v>
      </c>
      <c r="O290" s="154">
        <f>Base_Données!AC292+Base_Données!AL292-(Base_Données!CI292)</f>
        <v>0</v>
      </c>
      <c r="P290" s="154">
        <f>L290+Base_Données!GJ292+Base_Données!GE292+Base_Données!GB292+Base_Données!FV292+Base_Données!FS292+Base_Données!FO292+Base_Données!FE292+Base_Données!DS292-(Base_Données!BK292+Base_Données!BH292+Base_Données!AU292)</f>
        <v>0</v>
      </c>
      <c r="Q290" s="189">
        <f>P290+Base_Données!AV292-Base_Données!FE292-Base_Données!FO292</f>
        <v>0</v>
      </c>
      <c r="R290" s="329">
        <f>SIG!Q290+Base_Données!BD292+Base_Données!BH292+Base_Données!BL292+Base_Données!BM292+Base_Données!BN292-Base_Données!GB292-Base_Données!GJ292-Base_Données!GF292</f>
        <v>0</v>
      </c>
    </row>
    <row r="291" spans="1:18" customFormat="1" x14ac:dyDescent="0.25">
      <c r="A291" s="328">
        <f>Base_Données!A293</f>
        <v>0</v>
      </c>
      <c r="B291" s="181">
        <f>Base_Données!B293</f>
        <v>0</v>
      </c>
      <c r="C291" s="158">
        <f>Base_Données!C293</f>
        <v>0</v>
      </c>
      <c r="D291" s="156">
        <f>Base_Données!Q293</f>
        <v>0</v>
      </c>
      <c r="E291" s="156">
        <f>Base_Données!BR293</f>
        <v>0</v>
      </c>
      <c r="F291" s="155">
        <f>Base_Données!R293</f>
        <v>0</v>
      </c>
      <c r="G291" s="154">
        <f>Base_Données!BS293</f>
        <v>0</v>
      </c>
      <c r="H291" s="155">
        <f>SIG!F291-SIG!G291</f>
        <v>0</v>
      </c>
      <c r="I291" s="159">
        <f>Base_Données!BI293+Base_Données!BJ293-Base_Données!GC293-Base_Données!GD293</f>
        <v>0</v>
      </c>
      <c r="J291" s="154">
        <f t="shared" si="8"/>
        <v>0</v>
      </c>
      <c r="K291" s="154">
        <f>Base_Données!BK293-Base_Données!GE293</f>
        <v>0</v>
      </c>
      <c r="L291" s="159">
        <f t="shared" si="9"/>
        <v>0</v>
      </c>
      <c r="M291" s="158">
        <f>Base_Données!S293</f>
        <v>0</v>
      </c>
      <c r="N291" s="154">
        <f>Base_Données!T293-(Base_Données!BU293+Base_Données!BZ293+Base_Données!CC293)</f>
        <v>0</v>
      </c>
      <c r="O291" s="154">
        <f>Base_Données!AC293+Base_Données!AL293-(Base_Données!CI293)</f>
        <v>0</v>
      </c>
      <c r="P291" s="154">
        <f>L291+Base_Données!GJ293+Base_Données!GE293+Base_Données!GB293+Base_Données!FV293+Base_Données!FS293+Base_Données!FO293+Base_Données!FE293+Base_Données!DS293-(Base_Données!BK293+Base_Données!BH293+Base_Données!AU293)</f>
        <v>0</v>
      </c>
      <c r="Q291" s="189">
        <f>P291+Base_Données!AV293-Base_Données!FE293-Base_Données!FO293</f>
        <v>0</v>
      </c>
      <c r="R291" s="329">
        <f>SIG!Q291+Base_Données!BD293+Base_Données!BH293+Base_Données!BL293+Base_Données!BM293+Base_Données!BN293-Base_Données!GB293-Base_Données!GJ293-Base_Données!GF293</f>
        <v>0</v>
      </c>
    </row>
    <row r="292" spans="1:18" customFormat="1" x14ac:dyDescent="0.25">
      <c r="A292" s="328">
        <f>Base_Données!A294</f>
        <v>0</v>
      </c>
      <c r="B292" s="181">
        <f>Base_Données!B294</f>
        <v>0</v>
      </c>
      <c r="C292" s="158">
        <f>Base_Données!C294</f>
        <v>0</v>
      </c>
      <c r="D292" s="156">
        <f>Base_Données!Q294</f>
        <v>0</v>
      </c>
      <c r="E292" s="156">
        <f>Base_Données!BR294</f>
        <v>0</v>
      </c>
      <c r="F292" s="155">
        <f>Base_Données!R294</f>
        <v>0</v>
      </c>
      <c r="G292" s="154">
        <f>Base_Données!BS294</f>
        <v>0</v>
      </c>
      <c r="H292" s="155">
        <f>SIG!F292-SIG!G292</f>
        <v>0</v>
      </c>
      <c r="I292" s="159">
        <f>Base_Données!BI294+Base_Données!BJ294-Base_Données!GC294-Base_Données!GD294</f>
        <v>0</v>
      </c>
      <c r="J292" s="154">
        <f t="shared" si="8"/>
        <v>0</v>
      </c>
      <c r="K292" s="154">
        <f>Base_Données!BK294-Base_Données!GE294</f>
        <v>0</v>
      </c>
      <c r="L292" s="159">
        <f t="shared" si="9"/>
        <v>0</v>
      </c>
      <c r="M292" s="158">
        <f>Base_Données!S294</f>
        <v>0</v>
      </c>
      <c r="N292" s="154">
        <f>Base_Données!T294-(Base_Données!BU294+Base_Données!BZ294+Base_Données!CC294)</f>
        <v>0</v>
      </c>
      <c r="O292" s="154">
        <f>Base_Données!AC294+Base_Données!AL294-(Base_Données!CI294)</f>
        <v>0</v>
      </c>
      <c r="P292" s="154">
        <f>L292+Base_Données!GJ294+Base_Données!GE294+Base_Données!GB294+Base_Données!FV294+Base_Données!FS294+Base_Données!FO294+Base_Données!FE294+Base_Données!DS294-(Base_Données!BK294+Base_Données!BH294+Base_Données!AU294)</f>
        <v>0</v>
      </c>
      <c r="Q292" s="189">
        <f>P292+Base_Données!AV294-Base_Données!FE294-Base_Données!FO294</f>
        <v>0</v>
      </c>
      <c r="R292" s="329">
        <f>SIG!Q292+Base_Données!BD294+Base_Données!BH294+Base_Données!BL294+Base_Données!BM294+Base_Données!BN294-Base_Données!GB294-Base_Données!GJ294-Base_Données!GF294</f>
        <v>0</v>
      </c>
    </row>
    <row r="293" spans="1:18" customFormat="1" x14ac:dyDescent="0.25">
      <c r="A293" s="328">
        <f>Base_Données!A295</f>
        <v>0</v>
      </c>
      <c r="B293" s="181">
        <f>Base_Données!B295</f>
        <v>0</v>
      </c>
      <c r="C293" s="158">
        <f>Base_Données!C295</f>
        <v>0</v>
      </c>
      <c r="D293" s="156">
        <f>Base_Données!Q295</f>
        <v>0</v>
      </c>
      <c r="E293" s="156">
        <f>Base_Données!BR295</f>
        <v>0</v>
      </c>
      <c r="F293" s="155">
        <f>Base_Données!R295</f>
        <v>0</v>
      </c>
      <c r="G293" s="154">
        <f>Base_Données!BS295</f>
        <v>0</v>
      </c>
      <c r="H293" s="155">
        <f>SIG!F293-SIG!G293</f>
        <v>0</v>
      </c>
      <c r="I293" s="159">
        <f>Base_Données!BI295+Base_Données!BJ295-Base_Données!GC295-Base_Données!GD295</f>
        <v>0</v>
      </c>
      <c r="J293" s="154">
        <f t="shared" si="8"/>
        <v>0</v>
      </c>
      <c r="K293" s="154">
        <f>Base_Données!BK295-Base_Données!GE295</f>
        <v>0</v>
      </c>
      <c r="L293" s="159">
        <f t="shared" si="9"/>
        <v>0</v>
      </c>
      <c r="M293" s="158">
        <f>Base_Données!S295</f>
        <v>0</v>
      </c>
      <c r="N293" s="154">
        <f>Base_Données!T295-(Base_Données!BU295+Base_Données!BZ295+Base_Données!CC295)</f>
        <v>0</v>
      </c>
      <c r="O293" s="154">
        <f>Base_Données!AC295+Base_Données!AL295-(Base_Données!CI295)</f>
        <v>0</v>
      </c>
      <c r="P293" s="154">
        <f>L293+Base_Données!GJ295+Base_Données!GE295+Base_Données!GB295+Base_Données!FV295+Base_Données!FS295+Base_Données!FO295+Base_Données!FE295+Base_Données!DS295-(Base_Données!BK295+Base_Données!BH295+Base_Données!AU295)</f>
        <v>0</v>
      </c>
      <c r="Q293" s="189">
        <f>P293+Base_Données!AV295-Base_Données!FE295-Base_Données!FO295</f>
        <v>0</v>
      </c>
      <c r="R293" s="329">
        <f>SIG!Q293+Base_Données!BD295+Base_Données!BH295+Base_Données!BL295+Base_Données!BM295+Base_Données!BN295-Base_Données!GB295-Base_Données!GJ295-Base_Données!GF295</f>
        <v>0</v>
      </c>
    </row>
    <row r="294" spans="1:18" customFormat="1" x14ac:dyDescent="0.25">
      <c r="A294" s="328">
        <f>Base_Données!A296</f>
        <v>0</v>
      </c>
      <c r="B294" s="181">
        <f>Base_Données!B296</f>
        <v>0</v>
      </c>
      <c r="C294" s="158">
        <f>Base_Données!C296</f>
        <v>0</v>
      </c>
      <c r="D294" s="156">
        <f>Base_Données!Q296</f>
        <v>0</v>
      </c>
      <c r="E294" s="156">
        <f>Base_Données!BR296</f>
        <v>0</v>
      </c>
      <c r="F294" s="155">
        <f>Base_Données!R296</f>
        <v>0</v>
      </c>
      <c r="G294" s="154">
        <f>Base_Données!BS296</f>
        <v>0</v>
      </c>
      <c r="H294" s="155">
        <f>SIG!F294-SIG!G294</f>
        <v>0</v>
      </c>
      <c r="I294" s="159">
        <f>Base_Données!BI296+Base_Données!BJ296-Base_Données!GC296-Base_Données!GD296</f>
        <v>0</v>
      </c>
      <c r="J294" s="154">
        <f t="shared" si="8"/>
        <v>0</v>
      </c>
      <c r="K294" s="154">
        <f>Base_Données!BK296-Base_Données!GE296</f>
        <v>0</v>
      </c>
      <c r="L294" s="159">
        <f t="shared" si="9"/>
        <v>0</v>
      </c>
      <c r="M294" s="158">
        <f>Base_Données!S296</f>
        <v>0</v>
      </c>
      <c r="N294" s="154">
        <f>Base_Données!T296-(Base_Données!BU296+Base_Données!BZ296+Base_Données!CC296)</f>
        <v>0</v>
      </c>
      <c r="O294" s="154">
        <f>Base_Données!AC296+Base_Données!AL296-(Base_Données!CI296)</f>
        <v>0</v>
      </c>
      <c r="P294" s="154">
        <f>L294+Base_Données!GJ296+Base_Données!GE296+Base_Données!GB296+Base_Données!FV296+Base_Données!FS296+Base_Données!FO296+Base_Données!FE296+Base_Données!DS296-(Base_Données!BK296+Base_Données!BH296+Base_Données!AU296)</f>
        <v>0</v>
      </c>
      <c r="Q294" s="189">
        <f>P294+Base_Données!AV296-Base_Données!FE296-Base_Données!FO296</f>
        <v>0</v>
      </c>
      <c r="R294" s="329">
        <f>SIG!Q294+Base_Données!BD296+Base_Données!BH296+Base_Données!BL296+Base_Données!BM296+Base_Données!BN296-Base_Données!GB296-Base_Données!GJ296-Base_Données!GF296</f>
        <v>0</v>
      </c>
    </row>
    <row r="295" spans="1:18" customFormat="1" x14ac:dyDescent="0.25">
      <c r="A295" s="328">
        <f>Base_Données!A297</f>
        <v>0</v>
      </c>
      <c r="B295" s="181">
        <f>Base_Données!B297</f>
        <v>0</v>
      </c>
      <c r="C295" s="158">
        <f>Base_Données!C297</f>
        <v>0</v>
      </c>
      <c r="D295" s="156">
        <f>Base_Données!Q297</f>
        <v>0</v>
      </c>
      <c r="E295" s="156">
        <f>Base_Données!BR297</f>
        <v>0</v>
      </c>
      <c r="F295" s="155">
        <f>Base_Données!R297</f>
        <v>0</v>
      </c>
      <c r="G295" s="154">
        <f>Base_Données!BS297</f>
        <v>0</v>
      </c>
      <c r="H295" s="155">
        <f>SIG!F295-SIG!G295</f>
        <v>0</v>
      </c>
      <c r="I295" s="159">
        <f>Base_Données!BI297+Base_Données!BJ297-Base_Données!GC297-Base_Données!GD297</f>
        <v>0</v>
      </c>
      <c r="J295" s="154">
        <f t="shared" si="8"/>
        <v>0</v>
      </c>
      <c r="K295" s="154">
        <f>Base_Données!BK297-Base_Données!GE297</f>
        <v>0</v>
      </c>
      <c r="L295" s="159">
        <f t="shared" si="9"/>
        <v>0</v>
      </c>
      <c r="M295" s="158">
        <f>Base_Données!S297</f>
        <v>0</v>
      </c>
      <c r="N295" s="154">
        <f>Base_Données!T297-(Base_Données!BU297+Base_Données!BZ297+Base_Données!CC297)</f>
        <v>0</v>
      </c>
      <c r="O295" s="154">
        <f>Base_Données!AC297+Base_Données!AL297-(Base_Données!CI297)</f>
        <v>0</v>
      </c>
      <c r="P295" s="154">
        <f>L295+Base_Données!GJ297+Base_Données!GE297+Base_Données!GB297+Base_Données!FV297+Base_Données!FS297+Base_Données!FO297+Base_Données!FE297+Base_Données!DS297-(Base_Données!BK297+Base_Données!BH297+Base_Données!AU297)</f>
        <v>0</v>
      </c>
      <c r="Q295" s="189">
        <f>P295+Base_Données!AV297-Base_Données!FE297-Base_Données!FO297</f>
        <v>0</v>
      </c>
      <c r="R295" s="329">
        <f>SIG!Q295+Base_Données!BD297+Base_Données!BH297+Base_Données!BL297+Base_Données!BM297+Base_Données!BN297-Base_Données!GB297-Base_Données!GJ297-Base_Données!GF297</f>
        <v>0</v>
      </c>
    </row>
    <row r="296" spans="1:18" customFormat="1" x14ac:dyDescent="0.25">
      <c r="A296" s="328">
        <f>Base_Données!A298</f>
        <v>0</v>
      </c>
      <c r="B296" s="181">
        <f>Base_Données!B298</f>
        <v>0</v>
      </c>
      <c r="C296" s="158">
        <f>Base_Données!C298</f>
        <v>0</v>
      </c>
      <c r="D296" s="156">
        <f>Base_Données!Q298</f>
        <v>0</v>
      </c>
      <c r="E296" s="156">
        <f>Base_Données!BR298</f>
        <v>0</v>
      </c>
      <c r="F296" s="155">
        <f>Base_Données!R298</f>
        <v>0</v>
      </c>
      <c r="G296" s="154">
        <f>Base_Données!BS298</f>
        <v>0</v>
      </c>
      <c r="H296" s="155">
        <f>SIG!F296-SIG!G296</f>
        <v>0</v>
      </c>
      <c r="I296" s="159">
        <f>Base_Données!BI298+Base_Données!BJ298-Base_Données!GC298-Base_Données!GD298</f>
        <v>0</v>
      </c>
      <c r="J296" s="154">
        <f t="shared" si="8"/>
        <v>0</v>
      </c>
      <c r="K296" s="154">
        <f>Base_Données!BK298-Base_Données!GE298</f>
        <v>0</v>
      </c>
      <c r="L296" s="159">
        <f t="shared" si="9"/>
        <v>0</v>
      </c>
      <c r="M296" s="158">
        <f>Base_Données!S298</f>
        <v>0</v>
      </c>
      <c r="N296" s="154">
        <f>Base_Données!T298-(Base_Données!BU298+Base_Données!BZ298+Base_Données!CC298)</f>
        <v>0</v>
      </c>
      <c r="O296" s="154">
        <f>Base_Données!AC298+Base_Données!AL298-(Base_Données!CI298)</f>
        <v>0</v>
      </c>
      <c r="P296" s="154">
        <f>L296+Base_Données!GJ298+Base_Données!GE298+Base_Données!GB298+Base_Données!FV298+Base_Données!FS298+Base_Données!FO298+Base_Données!FE298+Base_Données!DS298-(Base_Données!BK298+Base_Données!BH298+Base_Données!AU298)</f>
        <v>0</v>
      </c>
      <c r="Q296" s="189">
        <f>P296+Base_Données!AV298-Base_Données!FE298-Base_Données!FO298</f>
        <v>0</v>
      </c>
      <c r="R296" s="329">
        <f>SIG!Q296+Base_Données!BD298+Base_Données!BH298+Base_Données!BL298+Base_Données!BM298+Base_Données!BN298-Base_Données!GB298-Base_Données!GJ298-Base_Données!GF298</f>
        <v>0</v>
      </c>
    </row>
    <row r="297" spans="1:18" customFormat="1" x14ac:dyDescent="0.25">
      <c r="A297" s="328">
        <f>Base_Données!A299</f>
        <v>0</v>
      </c>
      <c r="B297" s="181">
        <f>Base_Données!B299</f>
        <v>0</v>
      </c>
      <c r="C297" s="158">
        <f>Base_Données!C299</f>
        <v>0</v>
      </c>
      <c r="D297" s="156">
        <f>Base_Données!Q299</f>
        <v>0</v>
      </c>
      <c r="E297" s="156">
        <f>Base_Données!BR299</f>
        <v>0</v>
      </c>
      <c r="F297" s="155">
        <f>Base_Données!R299</f>
        <v>0</v>
      </c>
      <c r="G297" s="154">
        <f>Base_Données!BS299</f>
        <v>0</v>
      </c>
      <c r="H297" s="155">
        <f>SIG!F297-SIG!G297</f>
        <v>0</v>
      </c>
      <c r="I297" s="159">
        <f>Base_Données!BI299+Base_Données!BJ299-Base_Données!GC299-Base_Données!GD299</f>
        <v>0</v>
      </c>
      <c r="J297" s="154">
        <f t="shared" si="8"/>
        <v>0</v>
      </c>
      <c r="K297" s="154">
        <f>Base_Données!BK299-Base_Données!GE299</f>
        <v>0</v>
      </c>
      <c r="L297" s="159">
        <f t="shared" si="9"/>
        <v>0</v>
      </c>
      <c r="M297" s="158">
        <f>Base_Données!S299</f>
        <v>0</v>
      </c>
      <c r="N297" s="154">
        <f>Base_Données!T299-(Base_Données!BU299+Base_Données!BZ299+Base_Données!CC299)</f>
        <v>0</v>
      </c>
      <c r="O297" s="154">
        <f>Base_Données!AC299+Base_Données!AL299-(Base_Données!CI299)</f>
        <v>0</v>
      </c>
      <c r="P297" s="154">
        <f>L297+Base_Données!GJ299+Base_Données!GE299+Base_Données!GB299+Base_Données!FV299+Base_Données!FS299+Base_Données!FO299+Base_Données!FE299+Base_Données!DS299-(Base_Données!BK299+Base_Données!BH299+Base_Données!AU299)</f>
        <v>0</v>
      </c>
      <c r="Q297" s="189">
        <f>P297+Base_Données!AV299-Base_Données!FE299-Base_Données!FO299</f>
        <v>0</v>
      </c>
      <c r="R297" s="329">
        <f>SIG!Q297+Base_Données!BD299+Base_Données!BH299+Base_Données!BL299+Base_Données!BM299+Base_Données!BN299-Base_Données!GB299-Base_Données!GJ299-Base_Données!GF299</f>
        <v>0</v>
      </c>
    </row>
    <row r="298" spans="1:18" customFormat="1" x14ac:dyDescent="0.25">
      <c r="A298" s="328">
        <f>Base_Données!A300</f>
        <v>0</v>
      </c>
      <c r="B298" s="181">
        <f>Base_Données!B300</f>
        <v>0</v>
      </c>
      <c r="C298" s="158">
        <f>Base_Données!C300</f>
        <v>0</v>
      </c>
      <c r="D298" s="156">
        <f>Base_Données!Q300</f>
        <v>0</v>
      </c>
      <c r="E298" s="156">
        <f>Base_Données!BR300</f>
        <v>0</v>
      </c>
      <c r="F298" s="155">
        <f>Base_Données!R300</f>
        <v>0</v>
      </c>
      <c r="G298" s="154">
        <f>Base_Données!BS300</f>
        <v>0</v>
      </c>
      <c r="H298" s="155">
        <f>SIG!F298-SIG!G298</f>
        <v>0</v>
      </c>
      <c r="I298" s="159">
        <f>Base_Données!BI300+Base_Données!BJ300-Base_Données!GC300-Base_Données!GD300</f>
        <v>0</v>
      </c>
      <c r="J298" s="154">
        <f t="shared" si="8"/>
        <v>0</v>
      </c>
      <c r="K298" s="154">
        <f>Base_Données!BK300-Base_Données!GE300</f>
        <v>0</v>
      </c>
      <c r="L298" s="159">
        <f t="shared" si="9"/>
        <v>0</v>
      </c>
      <c r="M298" s="158">
        <f>Base_Données!S300</f>
        <v>0</v>
      </c>
      <c r="N298" s="154">
        <f>Base_Données!T300-(Base_Données!BU300+Base_Données!BZ300+Base_Données!CC300)</f>
        <v>0</v>
      </c>
      <c r="O298" s="154">
        <f>Base_Données!AC300+Base_Données!AL300-(Base_Données!CI300)</f>
        <v>0</v>
      </c>
      <c r="P298" s="154">
        <f>L298+Base_Données!GJ300+Base_Données!GE300+Base_Données!GB300+Base_Données!FV300+Base_Données!FS300+Base_Données!FO300+Base_Données!FE300+Base_Données!DS300-(Base_Données!BK300+Base_Données!BH300+Base_Données!AU300)</f>
        <v>0</v>
      </c>
      <c r="Q298" s="189">
        <f>P298+Base_Données!AV300-Base_Données!FE300-Base_Données!FO300</f>
        <v>0</v>
      </c>
      <c r="R298" s="329">
        <f>SIG!Q298+Base_Données!BD300+Base_Données!BH300+Base_Données!BL300+Base_Données!BM300+Base_Données!BN300-Base_Données!GB300-Base_Données!GJ300-Base_Données!GF300</f>
        <v>0</v>
      </c>
    </row>
    <row r="299" spans="1:18" customFormat="1" x14ac:dyDescent="0.25">
      <c r="A299" s="328">
        <f>Base_Données!A301</f>
        <v>0</v>
      </c>
      <c r="B299" s="181">
        <f>Base_Données!B301</f>
        <v>0</v>
      </c>
      <c r="C299" s="158">
        <f>Base_Données!C301</f>
        <v>0</v>
      </c>
      <c r="D299" s="156">
        <f>Base_Données!Q301</f>
        <v>0</v>
      </c>
      <c r="E299" s="156">
        <f>Base_Données!BR301</f>
        <v>0</v>
      </c>
      <c r="F299" s="155">
        <f>Base_Données!R301</f>
        <v>0</v>
      </c>
      <c r="G299" s="154">
        <f>Base_Données!BS301</f>
        <v>0</v>
      </c>
      <c r="H299" s="155">
        <f>SIG!F299-SIG!G299</f>
        <v>0</v>
      </c>
      <c r="I299" s="159">
        <f>Base_Données!BI301+Base_Données!BJ301-Base_Données!GC301-Base_Données!GD301</f>
        <v>0</v>
      </c>
      <c r="J299" s="154">
        <f t="shared" si="8"/>
        <v>0</v>
      </c>
      <c r="K299" s="154">
        <f>Base_Données!BK301-Base_Données!GE301</f>
        <v>0</v>
      </c>
      <c r="L299" s="159">
        <f t="shared" si="9"/>
        <v>0</v>
      </c>
      <c r="M299" s="158">
        <f>Base_Données!S301</f>
        <v>0</v>
      </c>
      <c r="N299" s="154">
        <f>Base_Données!T301-(Base_Données!BU301+Base_Données!BZ301+Base_Données!CC301)</f>
        <v>0</v>
      </c>
      <c r="O299" s="154">
        <f>Base_Données!AC301+Base_Données!AL301-(Base_Données!CI301)</f>
        <v>0</v>
      </c>
      <c r="P299" s="154">
        <f>L299+Base_Données!GJ301+Base_Données!GE301+Base_Données!GB301+Base_Données!FV301+Base_Données!FS301+Base_Données!FO301+Base_Données!FE301+Base_Données!DS301-(Base_Données!BK301+Base_Données!BH301+Base_Données!AU301)</f>
        <v>0</v>
      </c>
      <c r="Q299" s="189">
        <f>P299+Base_Données!AV301-Base_Données!FE301-Base_Données!FO301</f>
        <v>0</v>
      </c>
      <c r="R299" s="329">
        <f>SIG!Q299+Base_Données!BD301+Base_Données!BH301+Base_Données!BL301+Base_Données!BM301+Base_Données!BN301-Base_Données!GB301-Base_Données!GJ301-Base_Données!GF301</f>
        <v>0</v>
      </c>
    </row>
    <row r="300" spans="1:18" customFormat="1" x14ac:dyDescent="0.25">
      <c r="A300" s="328">
        <f>Base_Données!A302</f>
        <v>0</v>
      </c>
      <c r="B300" s="181">
        <f>Base_Données!B302</f>
        <v>0</v>
      </c>
      <c r="C300" s="158">
        <f>Base_Données!C302</f>
        <v>0</v>
      </c>
      <c r="D300" s="156">
        <f>Base_Données!Q302</f>
        <v>0</v>
      </c>
      <c r="E300" s="156">
        <f>Base_Données!BR302</f>
        <v>0</v>
      </c>
      <c r="F300" s="155">
        <f>Base_Données!R302</f>
        <v>0</v>
      </c>
      <c r="G300" s="154">
        <f>Base_Données!BS302</f>
        <v>0</v>
      </c>
      <c r="H300" s="155">
        <f>SIG!F300-SIG!G300</f>
        <v>0</v>
      </c>
      <c r="I300" s="159">
        <f>Base_Données!BI302+Base_Données!BJ302-Base_Données!GC302-Base_Données!GD302</f>
        <v>0</v>
      </c>
      <c r="J300" s="154">
        <f t="shared" si="8"/>
        <v>0</v>
      </c>
      <c r="K300" s="154">
        <f>Base_Données!BK302-Base_Données!GE302</f>
        <v>0</v>
      </c>
      <c r="L300" s="159">
        <f t="shared" si="9"/>
        <v>0</v>
      </c>
      <c r="M300" s="158">
        <f>Base_Données!S302</f>
        <v>0</v>
      </c>
      <c r="N300" s="154">
        <f>Base_Données!T302-(Base_Données!BU302+Base_Données!BZ302+Base_Données!CC302)</f>
        <v>0</v>
      </c>
      <c r="O300" s="154">
        <f>Base_Données!AC302+Base_Données!AL302-(Base_Données!CI302)</f>
        <v>0</v>
      </c>
      <c r="P300" s="154">
        <f>L300+Base_Données!GJ302+Base_Données!GE302+Base_Données!GB302+Base_Données!FV302+Base_Données!FS302+Base_Données!FO302+Base_Données!FE302+Base_Données!DS302-(Base_Données!BK302+Base_Données!BH302+Base_Données!AU302)</f>
        <v>0</v>
      </c>
      <c r="Q300" s="189">
        <f>P300+Base_Données!AV302-Base_Données!FE302-Base_Données!FO302</f>
        <v>0</v>
      </c>
      <c r="R300" s="329">
        <f>SIG!Q300+Base_Données!BD302+Base_Données!BH302+Base_Données!BL302+Base_Données!BM302+Base_Données!BN302-Base_Données!GB302-Base_Données!GJ302-Base_Données!GF302</f>
        <v>0</v>
      </c>
    </row>
    <row r="301" spans="1:18" customFormat="1" x14ac:dyDescent="0.25">
      <c r="A301" s="328">
        <f>Base_Données!A303</f>
        <v>0</v>
      </c>
      <c r="B301" s="181">
        <f>Base_Données!B303</f>
        <v>0</v>
      </c>
      <c r="C301" s="158">
        <f>Base_Données!C303</f>
        <v>0</v>
      </c>
      <c r="D301" s="156">
        <f>Base_Données!Q303</f>
        <v>0</v>
      </c>
      <c r="E301" s="156">
        <f>Base_Données!BR303</f>
        <v>0</v>
      </c>
      <c r="F301" s="155">
        <f>Base_Données!R303</f>
        <v>0</v>
      </c>
      <c r="G301" s="154">
        <f>Base_Données!BS303</f>
        <v>0</v>
      </c>
      <c r="H301" s="155">
        <f>SIG!F301-SIG!G301</f>
        <v>0</v>
      </c>
      <c r="I301" s="159">
        <f>Base_Données!BI303+Base_Données!BJ303-Base_Données!GC303-Base_Données!GD303</f>
        <v>0</v>
      </c>
      <c r="J301" s="154">
        <f t="shared" si="8"/>
        <v>0</v>
      </c>
      <c r="K301" s="154">
        <f>Base_Données!BK303-Base_Données!GE303</f>
        <v>0</v>
      </c>
      <c r="L301" s="159">
        <f t="shared" si="9"/>
        <v>0</v>
      </c>
      <c r="M301" s="158">
        <f>Base_Données!S303</f>
        <v>0</v>
      </c>
      <c r="N301" s="154">
        <f>Base_Données!T303-(Base_Données!BU303+Base_Données!BZ303+Base_Données!CC303)</f>
        <v>0</v>
      </c>
      <c r="O301" s="154">
        <f>Base_Données!AC303+Base_Données!AL303-(Base_Données!CI303)</f>
        <v>0</v>
      </c>
      <c r="P301" s="154">
        <f>L301+Base_Données!GJ303+Base_Données!GE303+Base_Données!GB303+Base_Données!FV303+Base_Données!FS303+Base_Données!FO303+Base_Données!FE303+Base_Données!DS303-(Base_Données!BK303+Base_Données!BH303+Base_Données!AU303)</f>
        <v>0</v>
      </c>
      <c r="Q301" s="189">
        <f>P301+Base_Données!AV303-Base_Données!FE303-Base_Données!FO303</f>
        <v>0</v>
      </c>
      <c r="R301" s="329">
        <f>SIG!Q301+Base_Données!BD303+Base_Données!BH303+Base_Données!BL303+Base_Données!BM303+Base_Données!BN303-Base_Données!GB303-Base_Données!GJ303-Base_Données!GF303</f>
        <v>0</v>
      </c>
    </row>
    <row r="302" spans="1:18" customFormat="1" x14ac:dyDescent="0.25">
      <c r="A302" s="328">
        <f>Base_Données!A304</f>
        <v>0</v>
      </c>
      <c r="B302" s="181">
        <f>Base_Données!B304</f>
        <v>0</v>
      </c>
      <c r="C302" s="158">
        <f>Base_Données!C304</f>
        <v>0</v>
      </c>
      <c r="D302" s="156">
        <f>Base_Données!Q304</f>
        <v>0</v>
      </c>
      <c r="E302" s="156">
        <f>Base_Données!BR304</f>
        <v>0</v>
      </c>
      <c r="F302" s="155">
        <f>Base_Données!R304</f>
        <v>0</v>
      </c>
      <c r="G302" s="154">
        <f>Base_Données!BS304</f>
        <v>0</v>
      </c>
      <c r="H302" s="155">
        <f>SIG!F302-SIG!G302</f>
        <v>0</v>
      </c>
      <c r="I302" s="159">
        <f>Base_Données!BI304+Base_Données!BJ304-Base_Données!GC304-Base_Données!GD304</f>
        <v>0</v>
      </c>
      <c r="J302" s="154">
        <f t="shared" si="8"/>
        <v>0</v>
      </c>
      <c r="K302" s="154">
        <f>Base_Données!BK304-Base_Données!GE304</f>
        <v>0</v>
      </c>
      <c r="L302" s="159">
        <f t="shared" si="9"/>
        <v>0</v>
      </c>
      <c r="M302" s="158">
        <f>Base_Données!S304</f>
        <v>0</v>
      </c>
      <c r="N302" s="154">
        <f>Base_Données!T304-(Base_Données!BU304+Base_Données!BZ304+Base_Données!CC304)</f>
        <v>0</v>
      </c>
      <c r="O302" s="154">
        <f>Base_Données!AC304+Base_Données!AL304-(Base_Données!CI304)</f>
        <v>0</v>
      </c>
      <c r="P302" s="154">
        <f>L302+Base_Données!GJ304+Base_Données!GE304+Base_Données!GB304+Base_Données!FV304+Base_Données!FS304+Base_Données!FO304+Base_Données!FE304+Base_Données!DS304-(Base_Données!BK304+Base_Données!BH304+Base_Données!AU304)</f>
        <v>0</v>
      </c>
      <c r="Q302" s="189">
        <f>P302+Base_Données!AV304-Base_Données!FE304-Base_Données!FO304</f>
        <v>0</v>
      </c>
      <c r="R302" s="329">
        <f>SIG!Q302+Base_Données!BD304+Base_Données!BH304+Base_Données!BL304+Base_Données!BM304+Base_Données!BN304-Base_Données!GB304-Base_Données!GJ304-Base_Données!GF304</f>
        <v>0</v>
      </c>
    </row>
    <row r="303" spans="1:18" customFormat="1" x14ac:dyDescent="0.25">
      <c r="A303" s="328">
        <f>Base_Données!A305</f>
        <v>0</v>
      </c>
      <c r="B303" s="181">
        <f>Base_Données!B305</f>
        <v>0</v>
      </c>
      <c r="C303" s="158">
        <f>Base_Données!C305</f>
        <v>0</v>
      </c>
      <c r="D303" s="156">
        <f>Base_Données!Q305</f>
        <v>0</v>
      </c>
      <c r="E303" s="156">
        <f>Base_Données!BR305</f>
        <v>0</v>
      </c>
      <c r="F303" s="155">
        <f>Base_Données!R305</f>
        <v>0</v>
      </c>
      <c r="G303" s="154">
        <f>Base_Données!BS305</f>
        <v>0</v>
      </c>
      <c r="H303" s="155">
        <f>SIG!F303-SIG!G303</f>
        <v>0</v>
      </c>
      <c r="I303" s="159">
        <f>Base_Données!BI305+Base_Données!BJ305-Base_Données!GC305-Base_Données!GD305</f>
        <v>0</v>
      </c>
      <c r="J303" s="154">
        <f t="shared" si="8"/>
        <v>0</v>
      </c>
      <c r="K303" s="154">
        <f>Base_Données!BK305-Base_Données!GE305</f>
        <v>0</v>
      </c>
      <c r="L303" s="159">
        <f t="shared" si="9"/>
        <v>0</v>
      </c>
      <c r="M303" s="158">
        <f>Base_Données!S305</f>
        <v>0</v>
      </c>
      <c r="N303" s="154">
        <f>Base_Données!T305-(Base_Données!BU305+Base_Données!BZ305+Base_Données!CC305)</f>
        <v>0</v>
      </c>
      <c r="O303" s="154">
        <f>Base_Données!AC305+Base_Données!AL305-(Base_Données!CI305)</f>
        <v>0</v>
      </c>
      <c r="P303" s="154">
        <f>L303+Base_Données!GJ305+Base_Données!GE305+Base_Données!GB305+Base_Données!FV305+Base_Données!FS305+Base_Données!FO305+Base_Données!FE305+Base_Données!DS305-(Base_Données!BK305+Base_Données!BH305+Base_Données!AU305)</f>
        <v>0</v>
      </c>
      <c r="Q303" s="189">
        <f>P303+Base_Données!AV305-Base_Données!FE305-Base_Données!FO305</f>
        <v>0</v>
      </c>
      <c r="R303" s="329">
        <f>SIG!Q303+Base_Données!BD305+Base_Données!BH305+Base_Données!BL305+Base_Données!BM305+Base_Données!BN305-Base_Données!GB305-Base_Données!GJ305-Base_Données!GF305</f>
        <v>0</v>
      </c>
    </row>
    <row r="304" spans="1:18" customFormat="1" x14ac:dyDescent="0.25">
      <c r="A304" s="328">
        <f>Base_Données!A306</f>
        <v>0</v>
      </c>
      <c r="B304" s="181">
        <f>Base_Données!B306</f>
        <v>0</v>
      </c>
      <c r="C304" s="158">
        <f>Base_Données!C306</f>
        <v>0</v>
      </c>
      <c r="D304" s="156">
        <f>Base_Données!Q306</f>
        <v>0</v>
      </c>
      <c r="E304" s="156">
        <f>Base_Données!BR306</f>
        <v>0</v>
      </c>
      <c r="F304" s="155">
        <f>Base_Données!R306</f>
        <v>0</v>
      </c>
      <c r="G304" s="154">
        <f>Base_Données!BS306</f>
        <v>0</v>
      </c>
      <c r="H304" s="155">
        <f>SIG!F304-SIG!G304</f>
        <v>0</v>
      </c>
      <c r="I304" s="159">
        <f>Base_Données!BI306+Base_Données!BJ306-Base_Données!GC306-Base_Données!GD306</f>
        <v>0</v>
      </c>
      <c r="J304" s="154">
        <f t="shared" si="8"/>
        <v>0</v>
      </c>
      <c r="K304" s="154">
        <f>Base_Données!BK306-Base_Données!GE306</f>
        <v>0</v>
      </c>
      <c r="L304" s="159">
        <f t="shared" si="9"/>
        <v>0</v>
      </c>
      <c r="M304" s="158">
        <f>Base_Données!S306</f>
        <v>0</v>
      </c>
      <c r="N304" s="154">
        <f>Base_Données!T306-(Base_Données!BU306+Base_Données!BZ306+Base_Données!CC306)</f>
        <v>0</v>
      </c>
      <c r="O304" s="154">
        <f>Base_Données!AC306+Base_Données!AL306-(Base_Données!CI306)</f>
        <v>0</v>
      </c>
      <c r="P304" s="154">
        <f>L304+Base_Données!GJ306+Base_Données!GE306+Base_Données!GB306+Base_Données!FV306+Base_Données!FS306+Base_Données!FO306+Base_Données!FE306+Base_Données!DS306-(Base_Données!BK306+Base_Données!BH306+Base_Données!AU306)</f>
        <v>0</v>
      </c>
      <c r="Q304" s="189">
        <f>P304+Base_Données!AV306-Base_Données!FE306-Base_Données!FO306</f>
        <v>0</v>
      </c>
      <c r="R304" s="329">
        <f>SIG!Q304+Base_Données!BD306+Base_Données!BH306+Base_Données!BL306+Base_Données!BM306+Base_Données!BN306-Base_Données!GB306-Base_Données!GJ306-Base_Données!GF306</f>
        <v>0</v>
      </c>
    </row>
    <row r="305" spans="1:18" customFormat="1" x14ac:dyDescent="0.25">
      <c r="A305" s="328">
        <f>Base_Données!A307</f>
        <v>0</v>
      </c>
      <c r="B305" s="181">
        <f>Base_Données!B307</f>
        <v>0</v>
      </c>
      <c r="C305" s="158">
        <f>Base_Données!C307</f>
        <v>0</v>
      </c>
      <c r="D305" s="156">
        <f>Base_Données!Q307</f>
        <v>0</v>
      </c>
      <c r="E305" s="156">
        <f>Base_Données!BR307</f>
        <v>0</v>
      </c>
      <c r="F305" s="155">
        <f>Base_Données!R307</f>
        <v>0</v>
      </c>
      <c r="G305" s="154">
        <f>Base_Données!BS307</f>
        <v>0</v>
      </c>
      <c r="H305" s="155">
        <f>SIG!F305-SIG!G305</f>
        <v>0</v>
      </c>
      <c r="I305" s="159">
        <f>Base_Données!BI307+Base_Données!BJ307-Base_Données!GC307-Base_Données!GD307</f>
        <v>0</v>
      </c>
      <c r="J305" s="154">
        <f t="shared" si="8"/>
        <v>0</v>
      </c>
      <c r="K305" s="154">
        <f>Base_Données!BK307-Base_Données!GE307</f>
        <v>0</v>
      </c>
      <c r="L305" s="159">
        <f t="shared" si="9"/>
        <v>0</v>
      </c>
      <c r="M305" s="158">
        <f>Base_Données!S307</f>
        <v>0</v>
      </c>
      <c r="N305" s="154">
        <f>Base_Données!T307-(Base_Données!BU307+Base_Données!BZ307+Base_Données!CC307)</f>
        <v>0</v>
      </c>
      <c r="O305" s="154">
        <f>Base_Données!AC307+Base_Données!AL307-(Base_Données!CI307)</f>
        <v>0</v>
      </c>
      <c r="P305" s="154">
        <f>L305+Base_Données!GJ307+Base_Données!GE307+Base_Données!GB307+Base_Données!FV307+Base_Données!FS307+Base_Données!FO307+Base_Données!FE307+Base_Données!DS307-(Base_Données!BK307+Base_Données!BH307+Base_Données!AU307)</f>
        <v>0</v>
      </c>
      <c r="Q305" s="189">
        <f>P305+Base_Données!AV307-Base_Données!FE307-Base_Données!FO307</f>
        <v>0</v>
      </c>
      <c r="R305" s="329">
        <f>SIG!Q305+Base_Données!BD307+Base_Données!BH307+Base_Données!BL307+Base_Données!BM307+Base_Données!BN307-Base_Données!GB307-Base_Données!GJ307-Base_Données!GF307</f>
        <v>0</v>
      </c>
    </row>
    <row r="306" spans="1:18" customFormat="1" x14ac:dyDescent="0.25">
      <c r="A306" s="328">
        <f>Base_Données!A308</f>
        <v>0</v>
      </c>
      <c r="B306" s="181">
        <f>Base_Données!B308</f>
        <v>0</v>
      </c>
      <c r="C306" s="158">
        <f>Base_Données!C308</f>
        <v>0</v>
      </c>
      <c r="D306" s="156">
        <f>Base_Données!Q308</f>
        <v>0</v>
      </c>
      <c r="E306" s="156">
        <f>Base_Données!BR308</f>
        <v>0</v>
      </c>
      <c r="F306" s="155">
        <f>Base_Données!R308</f>
        <v>0</v>
      </c>
      <c r="G306" s="154">
        <f>Base_Données!BS308</f>
        <v>0</v>
      </c>
      <c r="H306" s="155">
        <f>SIG!F306-SIG!G306</f>
        <v>0</v>
      </c>
      <c r="I306" s="159">
        <f>Base_Données!BI308+Base_Données!BJ308-Base_Données!GC308-Base_Données!GD308</f>
        <v>0</v>
      </c>
      <c r="J306" s="154">
        <f t="shared" si="8"/>
        <v>0</v>
      </c>
      <c r="K306" s="154">
        <f>Base_Données!BK308-Base_Données!GE308</f>
        <v>0</v>
      </c>
      <c r="L306" s="159">
        <f t="shared" si="9"/>
        <v>0</v>
      </c>
      <c r="M306" s="158">
        <f>Base_Données!S308</f>
        <v>0</v>
      </c>
      <c r="N306" s="154">
        <f>Base_Données!T308-(Base_Données!BU308+Base_Données!BZ308+Base_Données!CC308)</f>
        <v>0</v>
      </c>
      <c r="O306" s="154">
        <f>Base_Données!AC308+Base_Données!AL308-(Base_Données!CI308)</f>
        <v>0</v>
      </c>
      <c r="P306" s="154">
        <f>L306+Base_Données!GJ308+Base_Données!GE308+Base_Données!GB308+Base_Données!FV308+Base_Données!FS308+Base_Données!FO308+Base_Données!FE308+Base_Données!DS308-(Base_Données!BK308+Base_Données!BH308+Base_Données!AU308)</f>
        <v>0</v>
      </c>
      <c r="Q306" s="189">
        <f>P306+Base_Données!AV308-Base_Données!FE308-Base_Données!FO308</f>
        <v>0</v>
      </c>
      <c r="R306" s="329">
        <f>SIG!Q306+Base_Données!BD308+Base_Données!BH308+Base_Données!BL308+Base_Données!BM308+Base_Données!BN308-Base_Données!GB308-Base_Données!GJ308-Base_Données!GF308</f>
        <v>0</v>
      </c>
    </row>
    <row r="307" spans="1:18" customFormat="1" x14ac:dyDescent="0.25">
      <c r="A307" s="328">
        <f>Base_Données!A309</f>
        <v>0</v>
      </c>
      <c r="B307" s="181">
        <f>Base_Données!B309</f>
        <v>0</v>
      </c>
      <c r="C307" s="158">
        <f>Base_Données!C309</f>
        <v>0</v>
      </c>
      <c r="D307" s="156">
        <f>Base_Données!Q309</f>
        <v>0</v>
      </c>
      <c r="E307" s="156">
        <f>Base_Données!BR309</f>
        <v>0</v>
      </c>
      <c r="F307" s="155">
        <f>Base_Données!R309</f>
        <v>0</v>
      </c>
      <c r="G307" s="154">
        <f>Base_Données!BS309</f>
        <v>0</v>
      </c>
      <c r="H307" s="155">
        <f>SIG!F307-SIG!G307</f>
        <v>0</v>
      </c>
      <c r="I307" s="159">
        <f>Base_Données!BI309+Base_Données!BJ309-Base_Données!GC309-Base_Données!GD309</f>
        <v>0</v>
      </c>
      <c r="J307" s="154">
        <f t="shared" si="8"/>
        <v>0</v>
      </c>
      <c r="K307" s="154">
        <f>Base_Données!BK309-Base_Données!GE309</f>
        <v>0</v>
      </c>
      <c r="L307" s="159">
        <f t="shared" si="9"/>
        <v>0</v>
      </c>
      <c r="M307" s="158">
        <f>Base_Données!S309</f>
        <v>0</v>
      </c>
      <c r="N307" s="154">
        <f>Base_Données!T309-(Base_Données!BU309+Base_Données!BZ309+Base_Données!CC309)</f>
        <v>0</v>
      </c>
      <c r="O307" s="154">
        <f>Base_Données!AC309+Base_Données!AL309-(Base_Données!CI309)</f>
        <v>0</v>
      </c>
      <c r="P307" s="154">
        <f>L307+Base_Données!GJ309+Base_Données!GE309+Base_Données!GB309+Base_Données!FV309+Base_Données!FS309+Base_Données!FO309+Base_Données!FE309+Base_Données!DS309-(Base_Données!BK309+Base_Données!BH309+Base_Données!AU309)</f>
        <v>0</v>
      </c>
      <c r="Q307" s="189">
        <f>P307+Base_Données!AV309-Base_Données!FE309-Base_Données!FO309</f>
        <v>0</v>
      </c>
      <c r="R307" s="329">
        <f>SIG!Q307+Base_Données!BD309+Base_Données!BH309+Base_Données!BL309+Base_Données!BM309+Base_Données!BN309-Base_Données!GB309-Base_Données!GJ309-Base_Données!GF309</f>
        <v>0</v>
      </c>
    </row>
    <row r="308" spans="1:18" customFormat="1" x14ac:dyDescent="0.25">
      <c r="A308" s="328">
        <f>Base_Données!A310</f>
        <v>0</v>
      </c>
      <c r="B308" s="181">
        <f>Base_Données!B310</f>
        <v>0</v>
      </c>
      <c r="C308" s="158">
        <f>Base_Données!C310</f>
        <v>0</v>
      </c>
      <c r="D308" s="156">
        <f>Base_Données!Q310</f>
        <v>0</v>
      </c>
      <c r="E308" s="156">
        <f>Base_Données!BR310</f>
        <v>0</v>
      </c>
      <c r="F308" s="155">
        <f>Base_Données!R310</f>
        <v>0</v>
      </c>
      <c r="G308" s="154">
        <f>Base_Données!BS310</f>
        <v>0</v>
      </c>
      <c r="H308" s="155">
        <f>SIG!F308-SIG!G308</f>
        <v>0</v>
      </c>
      <c r="I308" s="159">
        <f>Base_Données!BI310+Base_Données!BJ310-Base_Données!GC310-Base_Données!GD310</f>
        <v>0</v>
      </c>
      <c r="J308" s="154">
        <f t="shared" si="8"/>
        <v>0</v>
      </c>
      <c r="K308" s="154">
        <f>Base_Données!BK310-Base_Données!GE310</f>
        <v>0</v>
      </c>
      <c r="L308" s="159">
        <f t="shared" si="9"/>
        <v>0</v>
      </c>
      <c r="M308" s="158">
        <f>Base_Données!S310</f>
        <v>0</v>
      </c>
      <c r="N308" s="154">
        <f>Base_Données!T310-(Base_Données!BU310+Base_Données!BZ310+Base_Données!CC310)</f>
        <v>0</v>
      </c>
      <c r="O308" s="154">
        <f>Base_Données!AC310+Base_Données!AL310-(Base_Données!CI310)</f>
        <v>0</v>
      </c>
      <c r="P308" s="154">
        <f>L308+Base_Données!GJ310+Base_Données!GE310+Base_Données!GB310+Base_Données!FV310+Base_Données!FS310+Base_Données!FO310+Base_Données!FE310+Base_Données!DS310-(Base_Données!BK310+Base_Données!BH310+Base_Données!AU310)</f>
        <v>0</v>
      </c>
      <c r="Q308" s="189">
        <f>P308+Base_Données!AV310-Base_Données!FE310-Base_Données!FO310</f>
        <v>0</v>
      </c>
      <c r="R308" s="329">
        <f>SIG!Q308+Base_Données!BD310+Base_Données!BH310+Base_Données!BL310+Base_Données!BM310+Base_Données!BN310-Base_Données!GB310-Base_Données!GJ310-Base_Données!GF310</f>
        <v>0</v>
      </c>
    </row>
    <row r="309" spans="1:18" customFormat="1" x14ac:dyDescent="0.25">
      <c r="A309" s="328">
        <f>Base_Données!A311</f>
        <v>0</v>
      </c>
      <c r="B309" s="181">
        <f>Base_Données!B311</f>
        <v>0</v>
      </c>
      <c r="C309" s="158">
        <f>Base_Données!C311</f>
        <v>0</v>
      </c>
      <c r="D309" s="156">
        <f>Base_Données!Q311</f>
        <v>0</v>
      </c>
      <c r="E309" s="156">
        <f>Base_Données!BR311</f>
        <v>0</v>
      </c>
      <c r="F309" s="155">
        <f>Base_Données!R311</f>
        <v>0</v>
      </c>
      <c r="G309" s="154">
        <f>Base_Données!BS311</f>
        <v>0</v>
      </c>
      <c r="H309" s="155">
        <f>SIG!F309-SIG!G309</f>
        <v>0</v>
      </c>
      <c r="I309" s="159">
        <f>Base_Données!BI311+Base_Données!BJ311-Base_Données!GC311-Base_Données!GD311</f>
        <v>0</v>
      </c>
      <c r="J309" s="154">
        <f t="shared" si="8"/>
        <v>0</v>
      </c>
      <c r="K309" s="154">
        <f>Base_Données!BK311-Base_Données!GE311</f>
        <v>0</v>
      </c>
      <c r="L309" s="159">
        <f t="shared" si="9"/>
        <v>0</v>
      </c>
      <c r="M309" s="158">
        <f>Base_Données!S311</f>
        <v>0</v>
      </c>
      <c r="N309" s="154">
        <f>Base_Données!T311-(Base_Données!BU311+Base_Données!BZ311+Base_Données!CC311)</f>
        <v>0</v>
      </c>
      <c r="O309" s="154">
        <f>Base_Données!AC311+Base_Données!AL311-(Base_Données!CI311)</f>
        <v>0</v>
      </c>
      <c r="P309" s="154">
        <f>L309+Base_Données!GJ311+Base_Données!GE311+Base_Données!GB311+Base_Données!FV311+Base_Données!FS311+Base_Données!FO311+Base_Données!FE311+Base_Données!DS311-(Base_Données!BK311+Base_Données!BH311+Base_Données!AU311)</f>
        <v>0</v>
      </c>
      <c r="Q309" s="189">
        <f>P309+Base_Données!AV311-Base_Données!FE311-Base_Données!FO311</f>
        <v>0</v>
      </c>
      <c r="R309" s="329">
        <f>SIG!Q309+Base_Données!BD311+Base_Données!BH311+Base_Données!BL311+Base_Données!BM311+Base_Données!BN311-Base_Données!GB311-Base_Données!GJ311-Base_Données!GF311</f>
        <v>0</v>
      </c>
    </row>
    <row r="310" spans="1:18" customFormat="1" x14ac:dyDescent="0.25">
      <c r="A310" s="328">
        <f>Base_Données!A312</f>
        <v>0</v>
      </c>
      <c r="B310" s="181">
        <f>Base_Données!B312</f>
        <v>0</v>
      </c>
      <c r="C310" s="158">
        <f>Base_Données!C312</f>
        <v>0</v>
      </c>
      <c r="D310" s="156">
        <f>Base_Données!Q312</f>
        <v>0</v>
      </c>
      <c r="E310" s="156">
        <f>Base_Données!BR312</f>
        <v>0</v>
      </c>
      <c r="F310" s="155">
        <f>Base_Données!R312</f>
        <v>0</v>
      </c>
      <c r="G310" s="154">
        <f>Base_Données!BS312</f>
        <v>0</v>
      </c>
      <c r="H310" s="155">
        <f>SIG!F310-SIG!G310</f>
        <v>0</v>
      </c>
      <c r="I310" s="159">
        <f>Base_Données!BI312+Base_Données!BJ312-Base_Données!GC312-Base_Données!GD312</f>
        <v>0</v>
      </c>
      <c r="J310" s="154">
        <f t="shared" si="8"/>
        <v>0</v>
      </c>
      <c r="K310" s="154">
        <f>Base_Données!BK312-Base_Données!GE312</f>
        <v>0</v>
      </c>
      <c r="L310" s="159">
        <f t="shared" si="9"/>
        <v>0</v>
      </c>
      <c r="M310" s="158">
        <f>Base_Données!S312</f>
        <v>0</v>
      </c>
      <c r="N310" s="154">
        <f>Base_Données!T312-(Base_Données!BU312+Base_Données!BZ312+Base_Données!CC312)</f>
        <v>0</v>
      </c>
      <c r="O310" s="154">
        <f>Base_Données!AC312+Base_Données!AL312-(Base_Données!CI312)</f>
        <v>0</v>
      </c>
      <c r="P310" s="154">
        <f>L310+Base_Données!GJ312+Base_Données!GE312+Base_Données!GB312+Base_Données!FV312+Base_Données!FS312+Base_Données!FO312+Base_Données!FE312+Base_Données!DS312-(Base_Données!BK312+Base_Données!BH312+Base_Données!AU312)</f>
        <v>0</v>
      </c>
      <c r="Q310" s="189">
        <f>P310+Base_Données!AV312-Base_Données!FE312-Base_Données!FO312</f>
        <v>0</v>
      </c>
      <c r="R310" s="329">
        <f>SIG!Q310+Base_Données!BD312+Base_Données!BH312+Base_Données!BL312+Base_Données!BM312+Base_Données!BN312-Base_Données!GB312-Base_Données!GJ312-Base_Données!GF312</f>
        <v>0</v>
      </c>
    </row>
    <row r="311" spans="1:18" customFormat="1" x14ac:dyDescent="0.25">
      <c r="A311" s="328">
        <f>Base_Données!A313</f>
        <v>0</v>
      </c>
      <c r="B311" s="181">
        <f>Base_Données!B313</f>
        <v>0</v>
      </c>
      <c r="C311" s="158">
        <f>Base_Données!C313</f>
        <v>0</v>
      </c>
      <c r="D311" s="156">
        <f>Base_Données!Q313</f>
        <v>0</v>
      </c>
      <c r="E311" s="156">
        <f>Base_Données!BR313</f>
        <v>0</v>
      </c>
      <c r="F311" s="155">
        <f>Base_Données!R313</f>
        <v>0</v>
      </c>
      <c r="G311" s="154">
        <f>Base_Données!BS313</f>
        <v>0</v>
      </c>
      <c r="H311" s="155">
        <f>SIG!F311-SIG!G311</f>
        <v>0</v>
      </c>
      <c r="I311" s="159">
        <f>Base_Données!BI313+Base_Données!BJ313-Base_Données!GC313-Base_Données!GD313</f>
        <v>0</v>
      </c>
      <c r="J311" s="154">
        <f t="shared" si="8"/>
        <v>0</v>
      </c>
      <c r="K311" s="154">
        <f>Base_Données!BK313-Base_Données!GE313</f>
        <v>0</v>
      </c>
      <c r="L311" s="159">
        <f t="shared" si="9"/>
        <v>0</v>
      </c>
      <c r="M311" s="158">
        <f>Base_Données!S313</f>
        <v>0</v>
      </c>
      <c r="N311" s="154">
        <f>Base_Données!T313-(Base_Données!BU313+Base_Données!BZ313+Base_Données!CC313)</f>
        <v>0</v>
      </c>
      <c r="O311" s="154">
        <f>Base_Données!AC313+Base_Données!AL313-(Base_Données!CI313)</f>
        <v>0</v>
      </c>
      <c r="P311" s="154">
        <f>L311+Base_Données!GJ313+Base_Données!GE313+Base_Données!GB313+Base_Données!FV313+Base_Données!FS313+Base_Données!FO313+Base_Données!FE313+Base_Données!DS313-(Base_Données!BK313+Base_Données!BH313+Base_Données!AU313)</f>
        <v>0</v>
      </c>
      <c r="Q311" s="189">
        <f>P311+Base_Données!AV313-Base_Données!FE313-Base_Données!FO313</f>
        <v>0</v>
      </c>
      <c r="R311" s="329">
        <f>SIG!Q311+Base_Données!BD313+Base_Données!BH313+Base_Données!BL313+Base_Données!BM313+Base_Données!BN313-Base_Données!GB313-Base_Données!GJ313-Base_Données!GF313</f>
        <v>0</v>
      </c>
    </row>
    <row r="312" spans="1:18" customFormat="1" x14ac:dyDescent="0.25">
      <c r="A312" s="328">
        <f>Base_Données!A314</f>
        <v>0</v>
      </c>
      <c r="B312" s="181">
        <f>Base_Données!B314</f>
        <v>0</v>
      </c>
      <c r="C312" s="158">
        <f>Base_Données!C314</f>
        <v>0</v>
      </c>
      <c r="D312" s="156">
        <f>Base_Données!Q314</f>
        <v>0</v>
      </c>
      <c r="E312" s="156">
        <f>Base_Données!BR314</f>
        <v>0</v>
      </c>
      <c r="F312" s="155">
        <f>Base_Données!R314</f>
        <v>0</v>
      </c>
      <c r="G312" s="154">
        <f>Base_Données!BS314</f>
        <v>0</v>
      </c>
      <c r="H312" s="155">
        <f>SIG!F312-SIG!G312</f>
        <v>0</v>
      </c>
      <c r="I312" s="159">
        <f>Base_Données!BI314+Base_Données!BJ314-Base_Données!GC314-Base_Données!GD314</f>
        <v>0</v>
      </c>
      <c r="J312" s="154">
        <f t="shared" si="8"/>
        <v>0</v>
      </c>
      <c r="K312" s="154">
        <f>Base_Données!BK314-Base_Données!GE314</f>
        <v>0</v>
      </c>
      <c r="L312" s="159">
        <f t="shared" si="9"/>
        <v>0</v>
      </c>
      <c r="M312" s="158">
        <f>Base_Données!S314</f>
        <v>0</v>
      </c>
      <c r="N312" s="154">
        <f>Base_Données!T314-(Base_Données!BU314+Base_Données!BZ314+Base_Données!CC314)</f>
        <v>0</v>
      </c>
      <c r="O312" s="154">
        <f>Base_Données!AC314+Base_Données!AL314-(Base_Données!CI314)</f>
        <v>0</v>
      </c>
      <c r="P312" s="154">
        <f>L312+Base_Données!GJ314+Base_Données!GE314+Base_Données!GB314+Base_Données!FV314+Base_Données!FS314+Base_Données!FO314+Base_Données!FE314+Base_Données!DS314-(Base_Données!BK314+Base_Données!BH314+Base_Données!AU314)</f>
        <v>0</v>
      </c>
      <c r="Q312" s="189">
        <f>P312+Base_Données!AV314-Base_Données!FE314-Base_Données!FO314</f>
        <v>0</v>
      </c>
      <c r="R312" s="329">
        <f>SIG!Q312+Base_Données!BD314+Base_Données!BH314+Base_Données!BL314+Base_Données!BM314+Base_Données!BN314-Base_Données!GB314-Base_Données!GJ314-Base_Données!GF314</f>
        <v>0</v>
      </c>
    </row>
    <row r="313" spans="1:18" customFormat="1" x14ac:dyDescent="0.25">
      <c r="A313" s="328">
        <f>Base_Données!A315</f>
        <v>0</v>
      </c>
      <c r="B313" s="181">
        <f>Base_Données!B315</f>
        <v>0</v>
      </c>
      <c r="C313" s="158">
        <f>Base_Données!C315</f>
        <v>0</v>
      </c>
      <c r="D313" s="156">
        <f>Base_Données!Q315</f>
        <v>0</v>
      </c>
      <c r="E313" s="156">
        <f>Base_Données!BR315</f>
        <v>0</v>
      </c>
      <c r="F313" s="155">
        <f>Base_Données!R315</f>
        <v>0</v>
      </c>
      <c r="G313" s="154">
        <f>Base_Données!BS315</f>
        <v>0</v>
      </c>
      <c r="H313" s="155">
        <f>SIG!F313-SIG!G313</f>
        <v>0</v>
      </c>
      <c r="I313" s="159">
        <f>Base_Données!BI315+Base_Données!BJ315-Base_Données!GC315-Base_Données!GD315</f>
        <v>0</v>
      </c>
      <c r="J313" s="154">
        <f t="shared" si="8"/>
        <v>0</v>
      </c>
      <c r="K313" s="154">
        <f>Base_Données!BK315-Base_Données!GE315</f>
        <v>0</v>
      </c>
      <c r="L313" s="159">
        <f t="shared" si="9"/>
        <v>0</v>
      </c>
      <c r="M313" s="158">
        <f>Base_Données!S315</f>
        <v>0</v>
      </c>
      <c r="N313" s="154">
        <f>Base_Données!T315-(Base_Données!BU315+Base_Données!BZ315+Base_Données!CC315)</f>
        <v>0</v>
      </c>
      <c r="O313" s="154">
        <f>Base_Données!AC315+Base_Données!AL315-(Base_Données!CI315)</f>
        <v>0</v>
      </c>
      <c r="P313" s="154">
        <f>L313+Base_Données!GJ315+Base_Données!GE315+Base_Données!GB315+Base_Données!FV315+Base_Données!FS315+Base_Données!FO315+Base_Données!FE315+Base_Données!DS315-(Base_Données!BK315+Base_Données!BH315+Base_Données!AU315)</f>
        <v>0</v>
      </c>
      <c r="Q313" s="189">
        <f>P313+Base_Données!AV315-Base_Données!FE315-Base_Données!FO315</f>
        <v>0</v>
      </c>
      <c r="R313" s="329">
        <f>SIG!Q313+Base_Données!BD315+Base_Données!BH315+Base_Données!BL315+Base_Données!BM315+Base_Données!BN315-Base_Données!GB315-Base_Données!GJ315-Base_Données!GF315</f>
        <v>0</v>
      </c>
    </row>
    <row r="314" spans="1:18" customFormat="1" x14ac:dyDescent="0.25">
      <c r="A314" s="328">
        <f>Base_Données!A316</f>
        <v>0</v>
      </c>
      <c r="B314" s="181">
        <f>Base_Données!B316</f>
        <v>0</v>
      </c>
      <c r="C314" s="158">
        <f>Base_Données!C316</f>
        <v>0</v>
      </c>
      <c r="D314" s="156">
        <f>Base_Données!Q316</f>
        <v>0</v>
      </c>
      <c r="E314" s="156">
        <f>Base_Données!BR316</f>
        <v>0</v>
      </c>
      <c r="F314" s="155">
        <f>Base_Données!R316</f>
        <v>0</v>
      </c>
      <c r="G314" s="154">
        <f>Base_Données!BS316</f>
        <v>0</v>
      </c>
      <c r="H314" s="155">
        <f>SIG!F314-SIG!G314</f>
        <v>0</v>
      </c>
      <c r="I314" s="159">
        <f>Base_Données!BI316+Base_Données!BJ316-Base_Données!GC316-Base_Données!GD316</f>
        <v>0</v>
      </c>
      <c r="J314" s="154">
        <f t="shared" si="8"/>
        <v>0</v>
      </c>
      <c r="K314" s="154">
        <f>Base_Données!BK316-Base_Données!GE316</f>
        <v>0</v>
      </c>
      <c r="L314" s="159">
        <f t="shared" si="9"/>
        <v>0</v>
      </c>
      <c r="M314" s="158">
        <f>Base_Données!S316</f>
        <v>0</v>
      </c>
      <c r="N314" s="154">
        <f>Base_Données!T316-(Base_Données!BU316+Base_Données!BZ316+Base_Données!CC316)</f>
        <v>0</v>
      </c>
      <c r="O314" s="154">
        <f>Base_Données!AC316+Base_Données!AL316-(Base_Données!CI316)</f>
        <v>0</v>
      </c>
      <c r="P314" s="154">
        <f>L314+Base_Données!GJ316+Base_Données!GE316+Base_Données!GB316+Base_Données!FV316+Base_Données!FS316+Base_Données!FO316+Base_Données!FE316+Base_Données!DS316-(Base_Données!BK316+Base_Données!BH316+Base_Données!AU316)</f>
        <v>0</v>
      </c>
      <c r="Q314" s="189">
        <f>P314+Base_Données!AV316-Base_Données!FE316-Base_Données!FO316</f>
        <v>0</v>
      </c>
      <c r="R314" s="329">
        <f>SIG!Q314+Base_Données!BD316+Base_Données!BH316+Base_Données!BL316+Base_Données!BM316+Base_Données!BN316-Base_Données!GB316-Base_Données!GJ316-Base_Données!GF316</f>
        <v>0</v>
      </c>
    </row>
    <row r="315" spans="1:18" customFormat="1" x14ac:dyDescent="0.25">
      <c r="A315" s="328">
        <f>Base_Données!A317</f>
        <v>0</v>
      </c>
      <c r="B315" s="181">
        <f>Base_Données!B317</f>
        <v>0</v>
      </c>
      <c r="C315" s="158">
        <f>Base_Données!C317</f>
        <v>0</v>
      </c>
      <c r="D315" s="156">
        <f>Base_Données!Q317</f>
        <v>0</v>
      </c>
      <c r="E315" s="156">
        <f>Base_Données!BR317</f>
        <v>0</v>
      </c>
      <c r="F315" s="155">
        <f>Base_Données!R317</f>
        <v>0</v>
      </c>
      <c r="G315" s="154">
        <f>Base_Données!BS317</f>
        <v>0</v>
      </c>
      <c r="H315" s="155">
        <f>SIG!F315-SIG!G315</f>
        <v>0</v>
      </c>
      <c r="I315" s="159">
        <f>Base_Données!BI317+Base_Données!BJ317-Base_Données!GC317-Base_Données!GD317</f>
        <v>0</v>
      </c>
      <c r="J315" s="154">
        <f t="shared" si="8"/>
        <v>0</v>
      </c>
      <c r="K315" s="154">
        <f>Base_Données!BK317-Base_Données!GE317</f>
        <v>0</v>
      </c>
      <c r="L315" s="159">
        <f t="shared" si="9"/>
        <v>0</v>
      </c>
      <c r="M315" s="158">
        <f>Base_Données!S317</f>
        <v>0</v>
      </c>
      <c r="N315" s="154">
        <f>Base_Données!T317-(Base_Données!BU317+Base_Données!BZ317+Base_Données!CC317)</f>
        <v>0</v>
      </c>
      <c r="O315" s="154">
        <f>Base_Données!AC317+Base_Données!AL317-(Base_Données!CI317)</f>
        <v>0</v>
      </c>
      <c r="P315" s="154">
        <f>L315+Base_Données!GJ317+Base_Données!GE317+Base_Données!GB317+Base_Données!FV317+Base_Données!FS317+Base_Données!FO317+Base_Données!FE317+Base_Données!DS317-(Base_Données!BK317+Base_Données!BH317+Base_Données!AU317)</f>
        <v>0</v>
      </c>
      <c r="Q315" s="189">
        <f>P315+Base_Données!AV317-Base_Données!FE317-Base_Données!FO317</f>
        <v>0</v>
      </c>
      <c r="R315" s="329">
        <f>SIG!Q315+Base_Données!BD317+Base_Données!BH317+Base_Données!BL317+Base_Données!BM317+Base_Données!BN317-Base_Données!GB317-Base_Données!GJ317-Base_Données!GF317</f>
        <v>0</v>
      </c>
    </row>
    <row r="316" spans="1:18" customFormat="1" x14ac:dyDescent="0.25">
      <c r="A316" s="328">
        <f>Base_Données!A318</f>
        <v>0</v>
      </c>
      <c r="B316" s="181">
        <f>Base_Données!B318</f>
        <v>0</v>
      </c>
      <c r="C316" s="158">
        <f>Base_Données!C318</f>
        <v>0</v>
      </c>
      <c r="D316" s="156">
        <f>Base_Données!Q318</f>
        <v>0</v>
      </c>
      <c r="E316" s="156">
        <f>Base_Données!BR318</f>
        <v>0</v>
      </c>
      <c r="F316" s="155">
        <f>Base_Données!R318</f>
        <v>0</v>
      </c>
      <c r="G316" s="154">
        <f>Base_Données!BS318</f>
        <v>0</v>
      </c>
      <c r="H316" s="155">
        <f>SIG!F316-SIG!G316</f>
        <v>0</v>
      </c>
      <c r="I316" s="159">
        <f>Base_Données!BI318+Base_Données!BJ318-Base_Données!GC318-Base_Données!GD318</f>
        <v>0</v>
      </c>
      <c r="J316" s="154">
        <f t="shared" si="8"/>
        <v>0</v>
      </c>
      <c r="K316" s="154">
        <f>Base_Données!BK318-Base_Données!GE318</f>
        <v>0</v>
      </c>
      <c r="L316" s="159">
        <f t="shared" si="9"/>
        <v>0</v>
      </c>
      <c r="M316" s="158">
        <f>Base_Données!S318</f>
        <v>0</v>
      </c>
      <c r="N316" s="154">
        <f>Base_Données!T318-(Base_Données!BU318+Base_Données!BZ318+Base_Données!CC318)</f>
        <v>0</v>
      </c>
      <c r="O316" s="154">
        <f>Base_Données!AC318+Base_Données!AL318-(Base_Données!CI318)</f>
        <v>0</v>
      </c>
      <c r="P316" s="154">
        <f>L316+Base_Données!GJ318+Base_Données!GE318+Base_Données!GB318+Base_Données!FV318+Base_Données!FS318+Base_Données!FO318+Base_Données!FE318+Base_Données!DS318-(Base_Données!BK318+Base_Données!BH318+Base_Données!AU318)</f>
        <v>0</v>
      </c>
      <c r="Q316" s="189">
        <f>P316+Base_Données!AV318-Base_Données!FE318-Base_Données!FO318</f>
        <v>0</v>
      </c>
      <c r="R316" s="329">
        <f>SIG!Q316+Base_Données!BD318+Base_Données!BH318+Base_Données!BL318+Base_Données!BM318+Base_Données!BN318-Base_Données!GB318-Base_Données!GJ318-Base_Données!GF318</f>
        <v>0</v>
      </c>
    </row>
    <row r="317" spans="1:18" customFormat="1" x14ac:dyDescent="0.25">
      <c r="A317" s="328">
        <f>Base_Données!A319</f>
        <v>0</v>
      </c>
      <c r="B317" s="181">
        <f>Base_Données!B319</f>
        <v>0</v>
      </c>
      <c r="C317" s="158">
        <f>Base_Données!C319</f>
        <v>0</v>
      </c>
      <c r="D317" s="156">
        <f>Base_Données!Q319</f>
        <v>0</v>
      </c>
      <c r="E317" s="156">
        <f>Base_Données!BR319</f>
        <v>0</v>
      </c>
      <c r="F317" s="155">
        <f>Base_Données!R319</f>
        <v>0</v>
      </c>
      <c r="G317" s="154">
        <f>Base_Données!BS319</f>
        <v>0</v>
      </c>
      <c r="H317" s="155">
        <f>SIG!F317-SIG!G317</f>
        <v>0</v>
      </c>
      <c r="I317" s="159">
        <f>Base_Données!BI319+Base_Données!BJ319-Base_Données!GC319-Base_Données!GD319</f>
        <v>0</v>
      </c>
      <c r="J317" s="154">
        <f t="shared" si="8"/>
        <v>0</v>
      </c>
      <c r="K317" s="154">
        <f>Base_Données!BK319-Base_Données!GE319</f>
        <v>0</v>
      </c>
      <c r="L317" s="159">
        <f t="shared" si="9"/>
        <v>0</v>
      </c>
      <c r="M317" s="158">
        <f>Base_Données!S319</f>
        <v>0</v>
      </c>
      <c r="N317" s="154">
        <f>Base_Données!T319-(Base_Données!BU319+Base_Données!BZ319+Base_Données!CC319)</f>
        <v>0</v>
      </c>
      <c r="O317" s="154">
        <f>Base_Données!AC319+Base_Données!AL319-(Base_Données!CI319)</f>
        <v>0</v>
      </c>
      <c r="P317" s="154">
        <f>L317+Base_Données!GJ319+Base_Données!GE319+Base_Données!GB319+Base_Données!FV319+Base_Données!FS319+Base_Données!FO319+Base_Données!FE319+Base_Données!DS319-(Base_Données!BK319+Base_Données!BH319+Base_Données!AU319)</f>
        <v>0</v>
      </c>
      <c r="Q317" s="189">
        <f>P317+Base_Données!AV319-Base_Données!FE319-Base_Données!FO319</f>
        <v>0</v>
      </c>
      <c r="R317" s="329">
        <f>SIG!Q317+Base_Données!BD319+Base_Données!BH319+Base_Données!BL319+Base_Données!BM319+Base_Données!BN319-Base_Données!GB319-Base_Données!GJ319-Base_Données!GF319</f>
        <v>0</v>
      </c>
    </row>
    <row r="318" spans="1:18" customFormat="1" x14ac:dyDescent="0.25">
      <c r="A318" s="328">
        <f>Base_Données!A320</f>
        <v>0</v>
      </c>
      <c r="B318" s="181">
        <f>Base_Données!B320</f>
        <v>0</v>
      </c>
      <c r="C318" s="158">
        <f>Base_Données!C320</f>
        <v>0</v>
      </c>
      <c r="D318" s="156">
        <f>Base_Données!Q320</f>
        <v>0</v>
      </c>
      <c r="E318" s="156">
        <f>Base_Données!BR320</f>
        <v>0</v>
      </c>
      <c r="F318" s="155">
        <f>Base_Données!R320</f>
        <v>0</v>
      </c>
      <c r="G318" s="154">
        <f>Base_Données!BS320</f>
        <v>0</v>
      </c>
      <c r="H318" s="155">
        <f>SIG!F318-SIG!G318</f>
        <v>0</v>
      </c>
      <c r="I318" s="159">
        <f>Base_Données!BI320+Base_Données!BJ320-Base_Données!GC320-Base_Données!GD320</f>
        <v>0</v>
      </c>
      <c r="J318" s="154">
        <f t="shared" si="8"/>
        <v>0</v>
      </c>
      <c r="K318" s="154">
        <f>Base_Données!BK320-Base_Données!GE320</f>
        <v>0</v>
      </c>
      <c r="L318" s="159">
        <f t="shared" si="9"/>
        <v>0</v>
      </c>
      <c r="M318" s="158">
        <f>Base_Données!S320</f>
        <v>0</v>
      </c>
      <c r="N318" s="154">
        <f>Base_Données!T320-(Base_Données!BU320+Base_Données!BZ320+Base_Données!CC320)</f>
        <v>0</v>
      </c>
      <c r="O318" s="154">
        <f>Base_Données!AC320+Base_Données!AL320-(Base_Données!CI320)</f>
        <v>0</v>
      </c>
      <c r="P318" s="154">
        <f>L318+Base_Données!GJ320+Base_Données!GE320+Base_Données!GB320+Base_Données!FV320+Base_Données!FS320+Base_Données!FO320+Base_Données!FE320+Base_Données!DS320-(Base_Données!BK320+Base_Données!BH320+Base_Données!AU320)</f>
        <v>0</v>
      </c>
      <c r="Q318" s="189">
        <f>P318+Base_Données!AV320-Base_Données!FE320-Base_Données!FO320</f>
        <v>0</v>
      </c>
      <c r="R318" s="329">
        <f>SIG!Q318+Base_Données!BD320+Base_Données!BH320+Base_Données!BL320+Base_Données!BM320+Base_Données!BN320-Base_Données!GB320-Base_Données!GJ320-Base_Données!GF320</f>
        <v>0</v>
      </c>
    </row>
    <row r="319" spans="1:18" customFormat="1" x14ac:dyDescent="0.25">
      <c r="A319" s="328">
        <f>Base_Données!A321</f>
        <v>0</v>
      </c>
      <c r="B319" s="181">
        <f>Base_Données!B321</f>
        <v>0</v>
      </c>
      <c r="C319" s="158">
        <f>Base_Données!C321</f>
        <v>0</v>
      </c>
      <c r="D319" s="156">
        <f>Base_Données!Q321</f>
        <v>0</v>
      </c>
      <c r="E319" s="156">
        <f>Base_Données!BR321</f>
        <v>0</v>
      </c>
      <c r="F319" s="155">
        <f>Base_Données!R321</f>
        <v>0</v>
      </c>
      <c r="G319" s="154">
        <f>Base_Données!BS321</f>
        <v>0</v>
      </c>
      <c r="H319" s="155">
        <f>SIG!F319-SIG!G319</f>
        <v>0</v>
      </c>
      <c r="I319" s="159">
        <f>Base_Données!BI321+Base_Données!BJ321-Base_Données!GC321-Base_Données!GD321</f>
        <v>0</v>
      </c>
      <c r="J319" s="154">
        <f t="shared" si="8"/>
        <v>0</v>
      </c>
      <c r="K319" s="154">
        <f>Base_Données!BK321-Base_Données!GE321</f>
        <v>0</v>
      </c>
      <c r="L319" s="159">
        <f t="shared" si="9"/>
        <v>0</v>
      </c>
      <c r="M319" s="158">
        <f>Base_Données!S321</f>
        <v>0</v>
      </c>
      <c r="N319" s="154">
        <f>Base_Données!T321-(Base_Données!BU321+Base_Données!BZ321+Base_Données!CC321)</f>
        <v>0</v>
      </c>
      <c r="O319" s="154">
        <f>Base_Données!AC321+Base_Données!AL321-(Base_Données!CI321)</f>
        <v>0</v>
      </c>
      <c r="P319" s="154">
        <f>L319+Base_Données!GJ321+Base_Données!GE321+Base_Données!GB321+Base_Données!FV321+Base_Données!FS321+Base_Données!FO321+Base_Données!FE321+Base_Données!DS321-(Base_Données!BK321+Base_Données!BH321+Base_Données!AU321)</f>
        <v>0</v>
      </c>
      <c r="Q319" s="189">
        <f>P319+Base_Données!AV321-Base_Données!FE321-Base_Données!FO321</f>
        <v>0</v>
      </c>
      <c r="R319" s="329">
        <f>SIG!Q319+Base_Données!BD321+Base_Données!BH321+Base_Données!BL321+Base_Données!BM321+Base_Données!BN321-Base_Données!GB321-Base_Données!GJ321-Base_Données!GF321</f>
        <v>0</v>
      </c>
    </row>
    <row r="320" spans="1:18" customFormat="1" x14ac:dyDescent="0.25">
      <c r="A320" s="328">
        <f>Base_Données!A322</f>
        <v>0</v>
      </c>
      <c r="B320" s="181">
        <f>Base_Données!B322</f>
        <v>0</v>
      </c>
      <c r="C320" s="158">
        <f>Base_Données!C322</f>
        <v>0</v>
      </c>
      <c r="D320" s="156">
        <f>Base_Données!Q322</f>
        <v>0</v>
      </c>
      <c r="E320" s="156">
        <f>Base_Données!BR322</f>
        <v>0</v>
      </c>
      <c r="F320" s="155">
        <f>Base_Données!R322</f>
        <v>0</v>
      </c>
      <c r="G320" s="154">
        <f>Base_Données!BS322</f>
        <v>0</v>
      </c>
      <c r="H320" s="155">
        <f>SIG!F320-SIG!G320</f>
        <v>0</v>
      </c>
      <c r="I320" s="159">
        <f>Base_Données!BI322+Base_Données!BJ322-Base_Données!GC322-Base_Données!GD322</f>
        <v>0</v>
      </c>
      <c r="J320" s="154">
        <f t="shared" si="8"/>
        <v>0</v>
      </c>
      <c r="K320" s="154">
        <f>Base_Données!BK322-Base_Données!GE322</f>
        <v>0</v>
      </c>
      <c r="L320" s="159">
        <f t="shared" si="9"/>
        <v>0</v>
      </c>
      <c r="M320" s="158">
        <f>Base_Données!S322</f>
        <v>0</v>
      </c>
      <c r="N320" s="154">
        <f>Base_Données!T322-(Base_Données!BU322+Base_Données!BZ322+Base_Données!CC322)</f>
        <v>0</v>
      </c>
      <c r="O320" s="154">
        <f>Base_Données!AC322+Base_Données!AL322-(Base_Données!CI322)</f>
        <v>0</v>
      </c>
      <c r="P320" s="154">
        <f>L320+Base_Données!GJ322+Base_Données!GE322+Base_Données!GB322+Base_Données!FV322+Base_Données!FS322+Base_Données!FO322+Base_Données!FE322+Base_Données!DS322-(Base_Données!BK322+Base_Données!BH322+Base_Données!AU322)</f>
        <v>0</v>
      </c>
      <c r="Q320" s="189">
        <f>P320+Base_Données!AV322-Base_Données!FE322-Base_Données!FO322</f>
        <v>0</v>
      </c>
      <c r="R320" s="329">
        <f>SIG!Q320+Base_Données!BD322+Base_Données!BH322+Base_Données!BL322+Base_Données!BM322+Base_Données!BN322-Base_Données!GB322-Base_Données!GJ322-Base_Données!GF322</f>
        <v>0</v>
      </c>
    </row>
    <row r="321" spans="1:18" customFormat="1" x14ac:dyDescent="0.25">
      <c r="A321" s="328">
        <f>Base_Données!A323</f>
        <v>0</v>
      </c>
      <c r="B321" s="181">
        <f>Base_Données!B323</f>
        <v>0</v>
      </c>
      <c r="C321" s="158">
        <f>Base_Données!C323</f>
        <v>0</v>
      </c>
      <c r="D321" s="156">
        <f>Base_Données!Q323</f>
        <v>0</v>
      </c>
      <c r="E321" s="156">
        <f>Base_Données!BR323</f>
        <v>0</v>
      </c>
      <c r="F321" s="155">
        <f>Base_Données!R323</f>
        <v>0</v>
      </c>
      <c r="G321" s="154">
        <f>Base_Données!BS323</f>
        <v>0</v>
      </c>
      <c r="H321" s="155">
        <f>SIG!F321-SIG!G321</f>
        <v>0</v>
      </c>
      <c r="I321" s="159">
        <f>Base_Données!BI323+Base_Données!BJ323-Base_Données!GC323-Base_Données!GD323</f>
        <v>0</v>
      </c>
      <c r="J321" s="154">
        <f t="shared" si="8"/>
        <v>0</v>
      </c>
      <c r="K321" s="154">
        <f>Base_Données!BK323-Base_Données!GE323</f>
        <v>0</v>
      </c>
      <c r="L321" s="159">
        <f t="shared" si="9"/>
        <v>0</v>
      </c>
      <c r="M321" s="158">
        <f>Base_Données!S323</f>
        <v>0</v>
      </c>
      <c r="N321" s="154">
        <f>Base_Données!T323-(Base_Données!BU323+Base_Données!BZ323+Base_Données!CC323)</f>
        <v>0</v>
      </c>
      <c r="O321" s="154">
        <f>Base_Données!AC323+Base_Données!AL323-(Base_Données!CI323)</f>
        <v>0</v>
      </c>
      <c r="P321" s="154">
        <f>L321+Base_Données!GJ323+Base_Données!GE323+Base_Données!GB323+Base_Données!FV323+Base_Données!FS323+Base_Données!FO323+Base_Données!FE323+Base_Données!DS323-(Base_Données!BK323+Base_Données!BH323+Base_Données!AU323)</f>
        <v>0</v>
      </c>
      <c r="Q321" s="189">
        <f>P321+Base_Données!AV323-Base_Données!FE323-Base_Données!FO323</f>
        <v>0</v>
      </c>
      <c r="R321" s="329">
        <f>SIG!Q321+Base_Données!BD323+Base_Données!BH323+Base_Données!BL323+Base_Données!BM323+Base_Données!BN323-Base_Données!GB323-Base_Données!GJ323-Base_Données!GF323</f>
        <v>0</v>
      </c>
    </row>
    <row r="322" spans="1:18" customFormat="1" x14ac:dyDescent="0.25">
      <c r="A322" s="328">
        <f>Base_Données!A324</f>
        <v>0</v>
      </c>
      <c r="B322" s="181">
        <f>Base_Données!B324</f>
        <v>0</v>
      </c>
      <c r="C322" s="158">
        <f>Base_Données!C324</f>
        <v>0</v>
      </c>
      <c r="D322" s="156">
        <f>Base_Données!Q324</f>
        <v>0</v>
      </c>
      <c r="E322" s="156">
        <f>Base_Données!BR324</f>
        <v>0</v>
      </c>
      <c r="F322" s="155">
        <f>Base_Données!R324</f>
        <v>0</v>
      </c>
      <c r="G322" s="154">
        <f>Base_Données!BS324</f>
        <v>0</v>
      </c>
      <c r="H322" s="155">
        <f>SIG!F322-SIG!G322</f>
        <v>0</v>
      </c>
      <c r="I322" s="159">
        <f>Base_Données!BI324+Base_Données!BJ324-Base_Données!GC324-Base_Données!GD324</f>
        <v>0</v>
      </c>
      <c r="J322" s="154">
        <f t="shared" si="8"/>
        <v>0</v>
      </c>
      <c r="K322" s="154">
        <f>Base_Données!BK324-Base_Données!GE324</f>
        <v>0</v>
      </c>
      <c r="L322" s="159">
        <f t="shared" si="9"/>
        <v>0</v>
      </c>
      <c r="M322" s="158">
        <f>Base_Données!S324</f>
        <v>0</v>
      </c>
      <c r="N322" s="154">
        <f>Base_Données!T324-(Base_Données!BU324+Base_Données!BZ324+Base_Données!CC324)</f>
        <v>0</v>
      </c>
      <c r="O322" s="154">
        <f>Base_Données!AC324+Base_Données!AL324-(Base_Données!CI324)</f>
        <v>0</v>
      </c>
      <c r="P322" s="154">
        <f>L322+Base_Données!GJ324+Base_Données!GE324+Base_Données!GB324+Base_Données!FV324+Base_Données!FS324+Base_Données!FO324+Base_Données!FE324+Base_Données!DS324-(Base_Données!BK324+Base_Données!BH324+Base_Données!AU324)</f>
        <v>0</v>
      </c>
      <c r="Q322" s="189">
        <f>P322+Base_Données!AV324-Base_Données!FE324-Base_Données!FO324</f>
        <v>0</v>
      </c>
      <c r="R322" s="329">
        <f>SIG!Q322+Base_Données!BD324+Base_Données!BH324+Base_Données!BL324+Base_Données!BM324+Base_Données!BN324-Base_Données!GB324-Base_Données!GJ324-Base_Données!GF324</f>
        <v>0</v>
      </c>
    </row>
    <row r="323" spans="1:18" customFormat="1" x14ac:dyDescent="0.25">
      <c r="A323" s="328">
        <f>Base_Données!A325</f>
        <v>0</v>
      </c>
      <c r="B323" s="181">
        <f>Base_Données!B325</f>
        <v>0</v>
      </c>
      <c r="C323" s="158">
        <f>Base_Données!C325</f>
        <v>0</v>
      </c>
      <c r="D323" s="156">
        <f>Base_Données!Q325</f>
        <v>0</v>
      </c>
      <c r="E323" s="156">
        <f>Base_Données!BR325</f>
        <v>0</v>
      </c>
      <c r="F323" s="155">
        <f>Base_Données!R325</f>
        <v>0</v>
      </c>
      <c r="G323" s="154">
        <f>Base_Données!BS325</f>
        <v>0</v>
      </c>
      <c r="H323" s="155">
        <f>SIG!F323-SIG!G323</f>
        <v>0</v>
      </c>
      <c r="I323" s="159">
        <f>Base_Données!BI325+Base_Données!BJ325-Base_Données!GC325-Base_Données!GD325</f>
        <v>0</v>
      </c>
      <c r="J323" s="154">
        <f t="shared" si="8"/>
        <v>0</v>
      </c>
      <c r="K323" s="154">
        <f>Base_Données!BK325-Base_Données!GE325</f>
        <v>0</v>
      </c>
      <c r="L323" s="159">
        <f t="shared" si="9"/>
        <v>0</v>
      </c>
      <c r="M323" s="158">
        <f>Base_Données!S325</f>
        <v>0</v>
      </c>
      <c r="N323" s="154">
        <f>Base_Données!T325-(Base_Données!BU325+Base_Données!BZ325+Base_Données!CC325)</f>
        <v>0</v>
      </c>
      <c r="O323" s="154">
        <f>Base_Données!AC325+Base_Données!AL325-(Base_Données!CI325)</f>
        <v>0</v>
      </c>
      <c r="P323" s="154">
        <f>L323+Base_Données!GJ325+Base_Données!GE325+Base_Données!GB325+Base_Données!FV325+Base_Données!FS325+Base_Données!FO325+Base_Données!FE325+Base_Données!DS325-(Base_Données!BK325+Base_Données!BH325+Base_Données!AU325)</f>
        <v>0</v>
      </c>
      <c r="Q323" s="189">
        <f>P323+Base_Données!AV325-Base_Données!FE325-Base_Données!FO325</f>
        <v>0</v>
      </c>
      <c r="R323" s="329">
        <f>SIG!Q323+Base_Données!BD325+Base_Données!BH325+Base_Données!BL325+Base_Données!BM325+Base_Données!BN325-Base_Données!GB325-Base_Données!GJ325-Base_Données!GF325</f>
        <v>0</v>
      </c>
    </row>
    <row r="324" spans="1:18" customFormat="1" x14ac:dyDescent="0.25">
      <c r="A324" s="328">
        <f>Base_Données!A326</f>
        <v>0</v>
      </c>
      <c r="B324" s="181">
        <f>Base_Données!B326</f>
        <v>0</v>
      </c>
      <c r="C324" s="158">
        <f>Base_Données!C326</f>
        <v>0</v>
      </c>
      <c r="D324" s="156">
        <f>Base_Données!Q326</f>
        <v>0</v>
      </c>
      <c r="E324" s="156">
        <f>Base_Données!BR326</f>
        <v>0</v>
      </c>
      <c r="F324" s="155">
        <f>Base_Données!R326</f>
        <v>0</v>
      </c>
      <c r="G324" s="154">
        <f>Base_Données!BS326</f>
        <v>0</v>
      </c>
      <c r="H324" s="155">
        <f>SIG!F324-SIG!G324</f>
        <v>0</v>
      </c>
      <c r="I324" s="159">
        <f>Base_Données!BI326+Base_Données!BJ326-Base_Données!GC326-Base_Données!GD326</f>
        <v>0</v>
      </c>
      <c r="J324" s="154">
        <f t="shared" ref="J324:J387" si="10">H324+(I324)</f>
        <v>0</v>
      </c>
      <c r="K324" s="154">
        <f>Base_Données!BK326-Base_Données!GE326</f>
        <v>0</v>
      </c>
      <c r="L324" s="159">
        <f t="shared" ref="L324:L387" si="11">D324-E324</f>
        <v>0</v>
      </c>
      <c r="M324" s="158">
        <f>Base_Données!S326</f>
        <v>0</v>
      </c>
      <c r="N324" s="154">
        <f>Base_Données!T326-(Base_Données!BU326+Base_Données!BZ326+Base_Données!CC326)</f>
        <v>0</v>
      </c>
      <c r="O324" s="154">
        <f>Base_Données!AC326+Base_Données!AL326-(Base_Données!CI326)</f>
        <v>0</v>
      </c>
      <c r="P324" s="154">
        <f>L324+Base_Données!GJ326+Base_Données!GE326+Base_Données!GB326+Base_Données!FV326+Base_Données!FS326+Base_Données!FO326+Base_Données!FE326+Base_Données!DS326-(Base_Données!BK326+Base_Données!BH326+Base_Données!AU326)</f>
        <v>0</v>
      </c>
      <c r="Q324" s="189">
        <f>P324+Base_Données!AV326-Base_Données!FE326-Base_Données!FO326</f>
        <v>0</v>
      </c>
      <c r="R324" s="329">
        <f>SIG!Q324+Base_Données!BD326+Base_Données!BH326+Base_Données!BL326+Base_Données!BM326+Base_Données!BN326-Base_Données!GB326-Base_Données!GJ326-Base_Données!GF326</f>
        <v>0</v>
      </c>
    </row>
    <row r="325" spans="1:18" customFormat="1" x14ac:dyDescent="0.25">
      <c r="A325" s="328">
        <f>Base_Données!A327</f>
        <v>0</v>
      </c>
      <c r="B325" s="181">
        <f>Base_Données!B327</f>
        <v>0</v>
      </c>
      <c r="C325" s="158">
        <f>Base_Données!C327</f>
        <v>0</v>
      </c>
      <c r="D325" s="156">
        <f>Base_Données!Q327</f>
        <v>0</v>
      </c>
      <c r="E325" s="156">
        <f>Base_Données!BR327</f>
        <v>0</v>
      </c>
      <c r="F325" s="155">
        <f>Base_Données!R327</f>
        <v>0</v>
      </c>
      <c r="G325" s="154">
        <f>Base_Données!BS327</f>
        <v>0</v>
      </c>
      <c r="H325" s="155">
        <f>SIG!F325-SIG!G325</f>
        <v>0</v>
      </c>
      <c r="I325" s="159">
        <f>Base_Données!BI327+Base_Données!BJ327-Base_Données!GC327-Base_Données!GD327</f>
        <v>0</v>
      </c>
      <c r="J325" s="154">
        <f t="shared" si="10"/>
        <v>0</v>
      </c>
      <c r="K325" s="154">
        <f>Base_Données!BK327-Base_Données!GE327</f>
        <v>0</v>
      </c>
      <c r="L325" s="159">
        <f t="shared" si="11"/>
        <v>0</v>
      </c>
      <c r="M325" s="158">
        <f>Base_Données!S327</f>
        <v>0</v>
      </c>
      <c r="N325" s="154">
        <f>Base_Données!T327-(Base_Données!BU327+Base_Données!BZ327+Base_Données!CC327)</f>
        <v>0</v>
      </c>
      <c r="O325" s="154">
        <f>Base_Données!AC327+Base_Données!AL327-(Base_Données!CI327)</f>
        <v>0</v>
      </c>
      <c r="P325" s="154">
        <f>L325+Base_Données!GJ327+Base_Données!GE327+Base_Données!GB327+Base_Données!FV327+Base_Données!FS327+Base_Données!FO327+Base_Données!FE327+Base_Données!DS327-(Base_Données!BK327+Base_Données!BH327+Base_Données!AU327)</f>
        <v>0</v>
      </c>
      <c r="Q325" s="189">
        <f>P325+Base_Données!AV327-Base_Données!FE327-Base_Données!FO327</f>
        <v>0</v>
      </c>
      <c r="R325" s="329">
        <f>SIG!Q325+Base_Données!BD327+Base_Données!BH327+Base_Données!BL327+Base_Données!BM327+Base_Données!BN327-Base_Données!GB327-Base_Données!GJ327-Base_Données!GF327</f>
        <v>0</v>
      </c>
    </row>
    <row r="326" spans="1:18" customFormat="1" x14ac:dyDescent="0.25">
      <c r="A326" s="328">
        <f>Base_Données!A328</f>
        <v>0</v>
      </c>
      <c r="B326" s="181">
        <f>Base_Données!B328</f>
        <v>0</v>
      </c>
      <c r="C326" s="158">
        <f>Base_Données!C328</f>
        <v>0</v>
      </c>
      <c r="D326" s="156">
        <f>Base_Données!Q328</f>
        <v>0</v>
      </c>
      <c r="E326" s="156">
        <f>Base_Données!BR328</f>
        <v>0</v>
      </c>
      <c r="F326" s="155">
        <f>Base_Données!R328</f>
        <v>0</v>
      </c>
      <c r="G326" s="154">
        <f>Base_Données!BS328</f>
        <v>0</v>
      </c>
      <c r="H326" s="155">
        <f>SIG!F326-SIG!G326</f>
        <v>0</v>
      </c>
      <c r="I326" s="159">
        <f>Base_Données!BI328+Base_Données!BJ328-Base_Données!GC328-Base_Données!GD328</f>
        <v>0</v>
      </c>
      <c r="J326" s="154">
        <f t="shared" si="10"/>
        <v>0</v>
      </c>
      <c r="K326" s="154">
        <f>Base_Données!BK328-Base_Données!GE328</f>
        <v>0</v>
      </c>
      <c r="L326" s="159">
        <f t="shared" si="11"/>
        <v>0</v>
      </c>
      <c r="M326" s="158">
        <f>Base_Données!S328</f>
        <v>0</v>
      </c>
      <c r="N326" s="154">
        <f>Base_Données!T328-(Base_Données!BU328+Base_Données!BZ328+Base_Données!CC328)</f>
        <v>0</v>
      </c>
      <c r="O326" s="154">
        <f>Base_Données!AC328+Base_Données!AL328-(Base_Données!CI328)</f>
        <v>0</v>
      </c>
      <c r="P326" s="154">
        <f>L326+Base_Données!GJ328+Base_Données!GE328+Base_Données!GB328+Base_Données!FV328+Base_Données!FS328+Base_Données!FO328+Base_Données!FE328+Base_Données!DS328-(Base_Données!BK328+Base_Données!BH328+Base_Données!AU328)</f>
        <v>0</v>
      </c>
      <c r="Q326" s="189">
        <f>P326+Base_Données!AV328-Base_Données!FE328-Base_Données!FO328</f>
        <v>0</v>
      </c>
      <c r="R326" s="329">
        <f>SIG!Q326+Base_Données!BD328+Base_Données!BH328+Base_Données!BL328+Base_Données!BM328+Base_Données!BN328-Base_Données!GB328-Base_Données!GJ328-Base_Données!GF328</f>
        <v>0</v>
      </c>
    </row>
    <row r="327" spans="1:18" customFormat="1" x14ac:dyDescent="0.25">
      <c r="A327" s="328">
        <f>Base_Données!A329</f>
        <v>0</v>
      </c>
      <c r="B327" s="181">
        <f>Base_Données!B329</f>
        <v>0</v>
      </c>
      <c r="C327" s="158">
        <f>Base_Données!C329</f>
        <v>0</v>
      </c>
      <c r="D327" s="156">
        <f>Base_Données!Q329</f>
        <v>0</v>
      </c>
      <c r="E327" s="156">
        <f>Base_Données!BR329</f>
        <v>0</v>
      </c>
      <c r="F327" s="155">
        <f>Base_Données!R329</f>
        <v>0</v>
      </c>
      <c r="G327" s="154">
        <f>Base_Données!BS329</f>
        <v>0</v>
      </c>
      <c r="H327" s="155">
        <f>SIG!F327-SIG!G327</f>
        <v>0</v>
      </c>
      <c r="I327" s="159">
        <f>Base_Données!BI329+Base_Données!BJ329-Base_Données!GC329-Base_Données!GD329</f>
        <v>0</v>
      </c>
      <c r="J327" s="154">
        <f t="shared" si="10"/>
        <v>0</v>
      </c>
      <c r="K327" s="154">
        <f>Base_Données!BK329-Base_Données!GE329</f>
        <v>0</v>
      </c>
      <c r="L327" s="159">
        <f t="shared" si="11"/>
        <v>0</v>
      </c>
      <c r="M327" s="158">
        <f>Base_Données!S329</f>
        <v>0</v>
      </c>
      <c r="N327" s="154">
        <f>Base_Données!T329-(Base_Données!BU329+Base_Données!BZ329+Base_Données!CC329)</f>
        <v>0</v>
      </c>
      <c r="O327" s="154">
        <f>Base_Données!AC329+Base_Données!AL329-(Base_Données!CI329)</f>
        <v>0</v>
      </c>
      <c r="P327" s="154">
        <f>L327+Base_Données!GJ329+Base_Données!GE329+Base_Données!GB329+Base_Données!FV329+Base_Données!FS329+Base_Données!FO329+Base_Données!FE329+Base_Données!DS329-(Base_Données!BK329+Base_Données!BH329+Base_Données!AU329)</f>
        <v>0</v>
      </c>
      <c r="Q327" s="189">
        <f>P327+Base_Données!AV329-Base_Données!FE329-Base_Données!FO329</f>
        <v>0</v>
      </c>
      <c r="R327" s="329">
        <f>SIG!Q327+Base_Données!BD329+Base_Données!BH329+Base_Données!BL329+Base_Données!BM329+Base_Données!BN329-Base_Données!GB329-Base_Données!GJ329-Base_Données!GF329</f>
        <v>0</v>
      </c>
    </row>
    <row r="328" spans="1:18" customFormat="1" x14ac:dyDescent="0.25">
      <c r="A328" s="328">
        <f>Base_Données!A330</f>
        <v>0</v>
      </c>
      <c r="B328" s="181">
        <f>Base_Données!B330</f>
        <v>0</v>
      </c>
      <c r="C328" s="158">
        <f>Base_Données!C330</f>
        <v>0</v>
      </c>
      <c r="D328" s="156">
        <f>Base_Données!Q330</f>
        <v>0</v>
      </c>
      <c r="E328" s="156">
        <f>Base_Données!BR330</f>
        <v>0</v>
      </c>
      <c r="F328" s="155">
        <f>Base_Données!R330</f>
        <v>0</v>
      </c>
      <c r="G328" s="154">
        <f>Base_Données!BS330</f>
        <v>0</v>
      </c>
      <c r="H328" s="155">
        <f>SIG!F328-SIG!G328</f>
        <v>0</v>
      </c>
      <c r="I328" s="159">
        <f>Base_Données!BI330+Base_Données!BJ330-Base_Données!GC330-Base_Données!GD330</f>
        <v>0</v>
      </c>
      <c r="J328" s="154">
        <f t="shared" si="10"/>
        <v>0</v>
      </c>
      <c r="K328" s="154">
        <f>Base_Données!BK330-Base_Données!GE330</f>
        <v>0</v>
      </c>
      <c r="L328" s="159">
        <f t="shared" si="11"/>
        <v>0</v>
      </c>
      <c r="M328" s="158">
        <f>Base_Données!S330</f>
        <v>0</v>
      </c>
      <c r="N328" s="154">
        <f>Base_Données!T330-(Base_Données!BU330+Base_Données!BZ330+Base_Données!CC330)</f>
        <v>0</v>
      </c>
      <c r="O328" s="154">
        <f>Base_Données!AC330+Base_Données!AL330-(Base_Données!CI330)</f>
        <v>0</v>
      </c>
      <c r="P328" s="154">
        <f>L328+Base_Données!GJ330+Base_Données!GE330+Base_Données!GB330+Base_Données!FV330+Base_Données!FS330+Base_Données!FO330+Base_Données!FE330+Base_Données!DS330-(Base_Données!BK330+Base_Données!BH330+Base_Données!AU330)</f>
        <v>0</v>
      </c>
      <c r="Q328" s="189">
        <f>P328+Base_Données!AV330-Base_Données!FE330-Base_Données!FO330</f>
        <v>0</v>
      </c>
      <c r="R328" s="329">
        <f>SIG!Q328+Base_Données!BD330+Base_Données!BH330+Base_Données!BL330+Base_Données!BM330+Base_Données!BN330-Base_Données!GB330-Base_Données!GJ330-Base_Données!GF330</f>
        <v>0</v>
      </c>
    </row>
    <row r="329" spans="1:18" customFormat="1" x14ac:dyDescent="0.25">
      <c r="A329" s="328">
        <f>Base_Données!A331</f>
        <v>0</v>
      </c>
      <c r="B329" s="181">
        <f>Base_Données!B331</f>
        <v>0</v>
      </c>
      <c r="C329" s="158">
        <f>Base_Données!C331</f>
        <v>0</v>
      </c>
      <c r="D329" s="156">
        <f>Base_Données!Q331</f>
        <v>0</v>
      </c>
      <c r="E329" s="156">
        <f>Base_Données!BR331</f>
        <v>0</v>
      </c>
      <c r="F329" s="155">
        <f>Base_Données!R331</f>
        <v>0</v>
      </c>
      <c r="G329" s="154">
        <f>Base_Données!BS331</f>
        <v>0</v>
      </c>
      <c r="H329" s="155">
        <f>SIG!F329-SIG!G329</f>
        <v>0</v>
      </c>
      <c r="I329" s="159">
        <f>Base_Données!BI331+Base_Données!BJ331-Base_Données!GC331-Base_Données!GD331</f>
        <v>0</v>
      </c>
      <c r="J329" s="154">
        <f t="shared" si="10"/>
        <v>0</v>
      </c>
      <c r="K329" s="154">
        <f>Base_Données!BK331-Base_Données!GE331</f>
        <v>0</v>
      </c>
      <c r="L329" s="159">
        <f t="shared" si="11"/>
        <v>0</v>
      </c>
      <c r="M329" s="158">
        <f>Base_Données!S331</f>
        <v>0</v>
      </c>
      <c r="N329" s="154">
        <f>Base_Données!T331-(Base_Données!BU331+Base_Données!BZ331+Base_Données!CC331)</f>
        <v>0</v>
      </c>
      <c r="O329" s="154">
        <f>Base_Données!AC331+Base_Données!AL331-(Base_Données!CI331)</f>
        <v>0</v>
      </c>
      <c r="P329" s="154">
        <f>L329+Base_Données!GJ331+Base_Données!GE331+Base_Données!GB331+Base_Données!FV331+Base_Données!FS331+Base_Données!FO331+Base_Données!FE331+Base_Données!DS331-(Base_Données!BK331+Base_Données!BH331+Base_Données!AU331)</f>
        <v>0</v>
      </c>
      <c r="Q329" s="189">
        <f>P329+Base_Données!AV331-Base_Données!FE331-Base_Données!FO331</f>
        <v>0</v>
      </c>
      <c r="R329" s="329">
        <f>SIG!Q329+Base_Données!BD331+Base_Données!BH331+Base_Données!BL331+Base_Données!BM331+Base_Données!BN331-Base_Données!GB331-Base_Données!GJ331-Base_Données!GF331</f>
        <v>0</v>
      </c>
    </row>
    <row r="330" spans="1:18" customFormat="1" x14ac:dyDescent="0.25">
      <c r="A330" s="328">
        <f>Base_Données!A332</f>
        <v>0</v>
      </c>
      <c r="B330" s="181">
        <f>Base_Données!B332</f>
        <v>0</v>
      </c>
      <c r="C330" s="158">
        <f>Base_Données!C332</f>
        <v>0</v>
      </c>
      <c r="D330" s="156">
        <f>Base_Données!Q332</f>
        <v>0</v>
      </c>
      <c r="E330" s="156">
        <f>Base_Données!BR332</f>
        <v>0</v>
      </c>
      <c r="F330" s="155">
        <f>Base_Données!R332</f>
        <v>0</v>
      </c>
      <c r="G330" s="154">
        <f>Base_Données!BS332</f>
        <v>0</v>
      </c>
      <c r="H330" s="155">
        <f>SIG!F330-SIG!G330</f>
        <v>0</v>
      </c>
      <c r="I330" s="159">
        <f>Base_Données!BI332+Base_Données!BJ332-Base_Données!GC332-Base_Données!GD332</f>
        <v>0</v>
      </c>
      <c r="J330" s="154">
        <f t="shared" si="10"/>
        <v>0</v>
      </c>
      <c r="K330" s="154">
        <f>Base_Données!BK332-Base_Données!GE332</f>
        <v>0</v>
      </c>
      <c r="L330" s="159">
        <f t="shared" si="11"/>
        <v>0</v>
      </c>
      <c r="M330" s="158">
        <f>Base_Données!S332</f>
        <v>0</v>
      </c>
      <c r="N330" s="154">
        <f>Base_Données!T332-(Base_Données!BU332+Base_Données!BZ332+Base_Données!CC332)</f>
        <v>0</v>
      </c>
      <c r="O330" s="154">
        <f>Base_Données!AC332+Base_Données!AL332-(Base_Données!CI332)</f>
        <v>0</v>
      </c>
      <c r="P330" s="154">
        <f>L330+Base_Données!GJ332+Base_Données!GE332+Base_Données!GB332+Base_Données!FV332+Base_Données!FS332+Base_Données!FO332+Base_Données!FE332+Base_Données!DS332-(Base_Données!BK332+Base_Données!BH332+Base_Données!AU332)</f>
        <v>0</v>
      </c>
      <c r="Q330" s="189">
        <f>P330+Base_Données!AV332-Base_Données!FE332-Base_Données!FO332</f>
        <v>0</v>
      </c>
      <c r="R330" s="329">
        <f>SIG!Q330+Base_Données!BD332+Base_Données!BH332+Base_Données!BL332+Base_Données!BM332+Base_Données!BN332-Base_Données!GB332-Base_Données!GJ332-Base_Données!GF332</f>
        <v>0</v>
      </c>
    </row>
    <row r="331" spans="1:18" customFormat="1" x14ac:dyDescent="0.25">
      <c r="A331" s="328">
        <f>Base_Données!A333</f>
        <v>0</v>
      </c>
      <c r="B331" s="181">
        <f>Base_Données!B333</f>
        <v>0</v>
      </c>
      <c r="C331" s="158">
        <f>Base_Données!C333</f>
        <v>0</v>
      </c>
      <c r="D331" s="156">
        <f>Base_Données!Q333</f>
        <v>0</v>
      </c>
      <c r="E331" s="156">
        <f>Base_Données!BR333</f>
        <v>0</v>
      </c>
      <c r="F331" s="155">
        <f>Base_Données!R333</f>
        <v>0</v>
      </c>
      <c r="G331" s="154">
        <f>Base_Données!BS333</f>
        <v>0</v>
      </c>
      <c r="H331" s="155">
        <f>SIG!F331-SIG!G331</f>
        <v>0</v>
      </c>
      <c r="I331" s="159">
        <f>Base_Données!BI333+Base_Données!BJ333-Base_Données!GC333-Base_Données!GD333</f>
        <v>0</v>
      </c>
      <c r="J331" s="154">
        <f t="shared" si="10"/>
        <v>0</v>
      </c>
      <c r="K331" s="154">
        <f>Base_Données!BK333-Base_Données!GE333</f>
        <v>0</v>
      </c>
      <c r="L331" s="159">
        <f t="shared" si="11"/>
        <v>0</v>
      </c>
      <c r="M331" s="158">
        <f>Base_Données!S333</f>
        <v>0</v>
      </c>
      <c r="N331" s="154">
        <f>Base_Données!T333-(Base_Données!BU333+Base_Données!BZ333+Base_Données!CC333)</f>
        <v>0</v>
      </c>
      <c r="O331" s="154">
        <f>Base_Données!AC333+Base_Données!AL333-(Base_Données!CI333)</f>
        <v>0</v>
      </c>
      <c r="P331" s="154">
        <f>L331+Base_Données!GJ333+Base_Données!GE333+Base_Données!GB333+Base_Données!FV333+Base_Données!FS333+Base_Données!FO333+Base_Données!FE333+Base_Données!DS333-(Base_Données!BK333+Base_Données!BH333+Base_Données!AU333)</f>
        <v>0</v>
      </c>
      <c r="Q331" s="189">
        <f>P331+Base_Données!AV333-Base_Données!FE333-Base_Données!FO333</f>
        <v>0</v>
      </c>
      <c r="R331" s="329">
        <f>SIG!Q331+Base_Données!BD333+Base_Données!BH333+Base_Données!BL333+Base_Données!BM333+Base_Données!BN333-Base_Données!GB333-Base_Données!GJ333-Base_Données!GF333</f>
        <v>0</v>
      </c>
    </row>
    <row r="332" spans="1:18" customFormat="1" x14ac:dyDescent="0.25">
      <c r="A332" s="328">
        <f>Base_Données!A334</f>
        <v>0</v>
      </c>
      <c r="B332" s="181">
        <f>Base_Données!B334</f>
        <v>0</v>
      </c>
      <c r="C332" s="158">
        <f>Base_Données!C334</f>
        <v>0</v>
      </c>
      <c r="D332" s="156">
        <f>Base_Données!Q334</f>
        <v>0</v>
      </c>
      <c r="E332" s="156">
        <f>Base_Données!BR334</f>
        <v>0</v>
      </c>
      <c r="F332" s="155">
        <f>Base_Données!R334</f>
        <v>0</v>
      </c>
      <c r="G332" s="154">
        <f>Base_Données!BS334</f>
        <v>0</v>
      </c>
      <c r="H332" s="155">
        <f>SIG!F332-SIG!G332</f>
        <v>0</v>
      </c>
      <c r="I332" s="159">
        <f>Base_Données!BI334+Base_Données!BJ334-Base_Données!GC334-Base_Données!GD334</f>
        <v>0</v>
      </c>
      <c r="J332" s="154">
        <f t="shared" si="10"/>
        <v>0</v>
      </c>
      <c r="K332" s="154">
        <f>Base_Données!BK334-Base_Données!GE334</f>
        <v>0</v>
      </c>
      <c r="L332" s="159">
        <f t="shared" si="11"/>
        <v>0</v>
      </c>
      <c r="M332" s="158">
        <f>Base_Données!S334</f>
        <v>0</v>
      </c>
      <c r="N332" s="154">
        <f>Base_Données!T334-(Base_Données!BU334+Base_Données!BZ334+Base_Données!CC334)</f>
        <v>0</v>
      </c>
      <c r="O332" s="154">
        <f>Base_Données!AC334+Base_Données!AL334-(Base_Données!CI334)</f>
        <v>0</v>
      </c>
      <c r="P332" s="154">
        <f>L332+Base_Données!GJ334+Base_Données!GE334+Base_Données!GB334+Base_Données!FV334+Base_Données!FS334+Base_Données!FO334+Base_Données!FE334+Base_Données!DS334-(Base_Données!BK334+Base_Données!BH334+Base_Données!AU334)</f>
        <v>0</v>
      </c>
      <c r="Q332" s="189">
        <f>P332+Base_Données!AV334-Base_Données!FE334-Base_Données!FO334</f>
        <v>0</v>
      </c>
      <c r="R332" s="329">
        <f>SIG!Q332+Base_Données!BD334+Base_Données!BH334+Base_Données!BL334+Base_Données!BM334+Base_Données!BN334-Base_Données!GB334-Base_Données!GJ334-Base_Données!GF334</f>
        <v>0</v>
      </c>
    </row>
    <row r="333" spans="1:18" customFormat="1" x14ac:dyDescent="0.25">
      <c r="A333" s="328">
        <f>Base_Données!A335</f>
        <v>0</v>
      </c>
      <c r="B333" s="181">
        <f>Base_Données!B335</f>
        <v>0</v>
      </c>
      <c r="C333" s="158">
        <f>Base_Données!C335</f>
        <v>0</v>
      </c>
      <c r="D333" s="156">
        <f>Base_Données!Q335</f>
        <v>0</v>
      </c>
      <c r="E333" s="156">
        <f>Base_Données!BR335</f>
        <v>0</v>
      </c>
      <c r="F333" s="155">
        <f>Base_Données!R335</f>
        <v>0</v>
      </c>
      <c r="G333" s="154">
        <f>Base_Données!BS335</f>
        <v>0</v>
      </c>
      <c r="H333" s="155">
        <f>SIG!F333-SIG!G333</f>
        <v>0</v>
      </c>
      <c r="I333" s="159">
        <f>Base_Données!BI335+Base_Données!BJ335-Base_Données!GC335-Base_Données!GD335</f>
        <v>0</v>
      </c>
      <c r="J333" s="154">
        <f t="shared" si="10"/>
        <v>0</v>
      </c>
      <c r="K333" s="154">
        <f>Base_Données!BK335-Base_Données!GE335</f>
        <v>0</v>
      </c>
      <c r="L333" s="159">
        <f t="shared" si="11"/>
        <v>0</v>
      </c>
      <c r="M333" s="158">
        <f>Base_Données!S335</f>
        <v>0</v>
      </c>
      <c r="N333" s="154">
        <f>Base_Données!T335-(Base_Données!BU335+Base_Données!BZ335+Base_Données!CC335)</f>
        <v>0</v>
      </c>
      <c r="O333" s="154">
        <f>Base_Données!AC335+Base_Données!AL335-(Base_Données!CI335)</f>
        <v>0</v>
      </c>
      <c r="P333" s="154">
        <f>L333+Base_Données!GJ335+Base_Données!GE335+Base_Données!GB335+Base_Données!FV335+Base_Données!FS335+Base_Données!FO335+Base_Données!FE335+Base_Données!DS335-(Base_Données!BK335+Base_Données!BH335+Base_Données!AU335)</f>
        <v>0</v>
      </c>
      <c r="Q333" s="189">
        <f>P333+Base_Données!AV335-Base_Données!FE335-Base_Données!FO335</f>
        <v>0</v>
      </c>
      <c r="R333" s="329">
        <f>SIG!Q333+Base_Données!BD335+Base_Données!BH335+Base_Données!BL335+Base_Données!BM335+Base_Données!BN335-Base_Données!GB335-Base_Données!GJ335-Base_Données!GF335</f>
        <v>0</v>
      </c>
    </row>
    <row r="334" spans="1:18" customFormat="1" x14ac:dyDescent="0.25">
      <c r="A334" s="328">
        <f>Base_Données!A336</f>
        <v>0</v>
      </c>
      <c r="B334" s="181">
        <f>Base_Données!B336</f>
        <v>0</v>
      </c>
      <c r="C334" s="158">
        <f>Base_Données!C336</f>
        <v>0</v>
      </c>
      <c r="D334" s="156">
        <f>Base_Données!Q336</f>
        <v>0</v>
      </c>
      <c r="E334" s="156">
        <f>Base_Données!BR336</f>
        <v>0</v>
      </c>
      <c r="F334" s="155">
        <f>Base_Données!R336</f>
        <v>0</v>
      </c>
      <c r="G334" s="154">
        <f>Base_Données!BS336</f>
        <v>0</v>
      </c>
      <c r="H334" s="155">
        <f>SIG!F334-SIG!G334</f>
        <v>0</v>
      </c>
      <c r="I334" s="159">
        <f>Base_Données!BI336+Base_Données!BJ336-Base_Données!GC336-Base_Données!GD336</f>
        <v>0</v>
      </c>
      <c r="J334" s="154">
        <f t="shared" si="10"/>
        <v>0</v>
      </c>
      <c r="K334" s="154">
        <f>Base_Données!BK336-Base_Données!GE336</f>
        <v>0</v>
      </c>
      <c r="L334" s="159">
        <f t="shared" si="11"/>
        <v>0</v>
      </c>
      <c r="M334" s="158">
        <f>Base_Données!S336</f>
        <v>0</v>
      </c>
      <c r="N334" s="154">
        <f>Base_Données!T336-(Base_Données!BU336+Base_Données!BZ336+Base_Données!CC336)</f>
        <v>0</v>
      </c>
      <c r="O334" s="154">
        <f>Base_Données!AC336+Base_Données!AL336-(Base_Données!CI336)</f>
        <v>0</v>
      </c>
      <c r="P334" s="154">
        <f>L334+Base_Données!GJ336+Base_Données!GE336+Base_Données!GB336+Base_Données!FV336+Base_Données!FS336+Base_Données!FO336+Base_Données!FE336+Base_Données!DS336-(Base_Données!BK336+Base_Données!BH336+Base_Données!AU336)</f>
        <v>0</v>
      </c>
      <c r="Q334" s="189">
        <f>P334+Base_Données!AV336-Base_Données!FE336-Base_Données!FO336</f>
        <v>0</v>
      </c>
      <c r="R334" s="329">
        <f>SIG!Q334+Base_Données!BD336+Base_Données!BH336+Base_Données!BL336+Base_Données!BM336+Base_Données!BN336-Base_Données!GB336-Base_Données!GJ336-Base_Données!GF336</f>
        <v>0</v>
      </c>
    </row>
    <row r="335" spans="1:18" customFormat="1" x14ac:dyDescent="0.25">
      <c r="A335" s="328">
        <f>Base_Données!A337</f>
        <v>0</v>
      </c>
      <c r="B335" s="181">
        <f>Base_Données!B337</f>
        <v>0</v>
      </c>
      <c r="C335" s="158">
        <f>Base_Données!C337</f>
        <v>0</v>
      </c>
      <c r="D335" s="156">
        <f>Base_Données!Q337</f>
        <v>0</v>
      </c>
      <c r="E335" s="156">
        <f>Base_Données!BR337</f>
        <v>0</v>
      </c>
      <c r="F335" s="155">
        <f>Base_Données!R337</f>
        <v>0</v>
      </c>
      <c r="G335" s="154">
        <f>Base_Données!BS337</f>
        <v>0</v>
      </c>
      <c r="H335" s="155">
        <f>SIG!F335-SIG!G335</f>
        <v>0</v>
      </c>
      <c r="I335" s="159">
        <f>Base_Données!BI337+Base_Données!BJ337-Base_Données!GC337-Base_Données!GD337</f>
        <v>0</v>
      </c>
      <c r="J335" s="154">
        <f t="shared" si="10"/>
        <v>0</v>
      </c>
      <c r="K335" s="154">
        <f>Base_Données!BK337-Base_Données!GE337</f>
        <v>0</v>
      </c>
      <c r="L335" s="159">
        <f t="shared" si="11"/>
        <v>0</v>
      </c>
      <c r="M335" s="158">
        <f>Base_Données!S337</f>
        <v>0</v>
      </c>
      <c r="N335" s="154">
        <f>Base_Données!T337-(Base_Données!BU337+Base_Données!BZ337+Base_Données!CC337)</f>
        <v>0</v>
      </c>
      <c r="O335" s="154">
        <f>Base_Données!AC337+Base_Données!AL337-(Base_Données!CI337)</f>
        <v>0</v>
      </c>
      <c r="P335" s="154">
        <f>L335+Base_Données!GJ337+Base_Données!GE337+Base_Données!GB337+Base_Données!FV337+Base_Données!FS337+Base_Données!FO337+Base_Données!FE337+Base_Données!DS337-(Base_Données!BK337+Base_Données!BH337+Base_Données!AU337)</f>
        <v>0</v>
      </c>
      <c r="Q335" s="189">
        <f>P335+Base_Données!AV337-Base_Données!FE337-Base_Données!FO337</f>
        <v>0</v>
      </c>
      <c r="R335" s="329">
        <f>SIG!Q335+Base_Données!BD337+Base_Données!BH337+Base_Données!BL337+Base_Données!BM337+Base_Données!BN337-Base_Données!GB337-Base_Données!GJ337-Base_Données!GF337</f>
        <v>0</v>
      </c>
    </row>
    <row r="336" spans="1:18" customFormat="1" x14ac:dyDescent="0.25">
      <c r="A336" s="328">
        <f>Base_Données!A338</f>
        <v>0</v>
      </c>
      <c r="B336" s="181">
        <f>Base_Données!B338</f>
        <v>0</v>
      </c>
      <c r="C336" s="158">
        <f>Base_Données!C338</f>
        <v>0</v>
      </c>
      <c r="D336" s="156">
        <f>Base_Données!Q338</f>
        <v>0</v>
      </c>
      <c r="E336" s="156">
        <f>Base_Données!BR338</f>
        <v>0</v>
      </c>
      <c r="F336" s="155">
        <f>Base_Données!R338</f>
        <v>0</v>
      </c>
      <c r="G336" s="154">
        <f>Base_Données!BS338</f>
        <v>0</v>
      </c>
      <c r="H336" s="155">
        <f>SIG!F336-SIG!G336</f>
        <v>0</v>
      </c>
      <c r="I336" s="159">
        <f>Base_Données!BI338+Base_Données!BJ338-Base_Données!GC338-Base_Données!GD338</f>
        <v>0</v>
      </c>
      <c r="J336" s="154">
        <f t="shared" si="10"/>
        <v>0</v>
      </c>
      <c r="K336" s="154">
        <f>Base_Données!BK338-Base_Données!GE338</f>
        <v>0</v>
      </c>
      <c r="L336" s="159">
        <f t="shared" si="11"/>
        <v>0</v>
      </c>
      <c r="M336" s="158">
        <f>Base_Données!S338</f>
        <v>0</v>
      </c>
      <c r="N336" s="154">
        <f>Base_Données!T338-(Base_Données!BU338+Base_Données!BZ338+Base_Données!CC338)</f>
        <v>0</v>
      </c>
      <c r="O336" s="154">
        <f>Base_Données!AC338+Base_Données!AL338-(Base_Données!CI338)</f>
        <v>0</v>
      </c>
      <c r="P336" s="154">
        <f>L336+Base_Données!GJ338+Base_Données!GE338+Base_Données!GB338+Base_Données!FV338+Base_Données!FS338+Base_Données!FO338+Base_Données!FE338+Base_Données!DS338-(Base_Données!BK338+Base_Données!BH338+Base_Données!AU338)</f>
        <v>0</v>
      </c>
      <c r="Q336" s="189">
        <f>P336+Base_Données!AV338-Base_Données!FE338-Base_Données!FO338</f>
        <v>0</v>
      </c>
      <c r="R336" s="329">
        <f>SIG!Q336+Base_Données!BD338+Base_Données!BH338+Base_Données!BL338+Base_Données!BM338+Base_Données!BN338-Base_Données!GB338-Base_Données!GJ338-Base_Données!GF338</f>
        <v>0</v>
      </c>
    </row>
    <row r="337" spans="1:18" customFormat="1" x14ac:dyDescent="0.25">
      <c r="A337" s="328">
        <f>Base_Données!A339</f>
        <v>0</v>
      </c>
      <c r="B337" s="181">
        <f>Base_Données!B339</f>
        <v>0</v>
      </c>
      <c r="C337" s="158">
        <f>Base_Données!C339</f>
        <v>0</v>
      </c>
      <c r="D337" s="156">
        <f>Base_Données!Q339</f>
        <v>0</v>
      </c>
      <c r="E337" s="156">
        <f>Base_Données!BR339</f>
        <v>0</v>
      </c>
      <c r="F337" s="155">
        <f>Base_Données!R339</f>
        <v>0</v>
      </c>
      <c r="G337" s="154">
        <f>Base_Données!BS339</f>
        <v>0</v>
      </c>
      <c r="H337" s="155">
        <f>SIG!F337-SIG!G337</f>
        <v>0</v>
      </c>
      <c r="I337" s="159">
        <f>Base_Données!BI339+Base_Données!BJ339-Base_Données!GC339-Base_Données!GD339</f>
        <v>0</v>
      </c>
      <c r="J337" s="154">
        <f t="shared" si="10"/>
        <v>0</v>
      </c>
      <c r="K337" s="154">
        <f>Base_Données!BK339-Base_Données!GE339</f>
        <v>0</v>
      </c>
      <c r="L337" s="159">
        <f t="shared" si="11"/>
        <v>0</v>
      </c>
      <c r="M337" s="158">
        <f>Base_Données!S339</f>
        <v>0</v>
      </c>
      <c r="N337" s="154">
        <f>Base_Données!T339-(Base_Données!BU339+Base_Données!BZ339+Base_Données!CC339)</f>
        <v>0</v>
      </c>
      <c r="O337" s="154">
        <f>Base_Données!AC339+Base_Données!AL339-(Base_Données!CI339)</f>
        <v>0</v>
      </c>
      <c r="P337" s="154">
        <f>L337+Base_Données!GJ339+Base_Données!GE339+Base_Données!GB339+Base_Données!FV339+Base_Données!FS339+Base_Données!FO339+Base_Données!FE339+Base_Données!DS339-(Base_Données!BK339+Base_Données!BH339+Base_Données!AU339)</f>
        <v>0</v>
      </c>
      <c r="Q337" s="189">
        <f>P337+Base_Données!AV339-Base_Données!FE339-Base_Données!FO339</f>
        <v>0</v>
      </c>
      <c r="R337" s="329">
        <f>SIG!Q337+Base_Données!BD339+Base_Données!BH339+Base_Données!BL339+Base_Données!BM339+Base_Données!BN339-Base_Données!GB339-Base_Données!GJ339-Base_Données!GF339</f>
        <v>0</v>
      </c>
    </row>
    <row r="338" spans="1:18" customFormat="1" x14ac:dyDescent="0.25">
      <c r="A338" s="328">
        <f>Base_Données!A340</f>
        <v>0</v>
      </c>
      <c r="B338" s="181">
        <f>Base_Données!B340</f>
        <v>0</v>
      </c>
      <c r="C338" s="158">
        <f>Base_Données!C340</f>
        <v>0</v>
      </c>
      <c r="D338" s="156">
        <f>Base_Données!Q340</f>
        <v>0</v>
      </c>
      <c r="E338" s="156">
        <f>Base_Données!BR340</f>
        <v>0</v>
      </c>
      <c r="F338" s="155">
        <f>Base_Données!R340</f>
        <v>0</v>
      </c>
      <c r="G338" s="154">
        <f>Base_Données!BS340</f>
        <v>0</v>
      </c>
      <c r="H338" s="155">
        <f>SIG!F338-SIG!G338</f>
        <v>0</v>
      </c>
      <c r="I338" s="159">
        <f>Base_Données!BI340+Base_Données!BJ340-Base_Données!GC340-Base_Données!GD340</f>
        <v>0</v>
      </c>
      <c r="J338" s="154">
        <f t="shared" si="10"/>
        <v>0</v>
      </c>
      <c r="K338" s="154">
        <f>Base_Données!BK340-Base_Données!GE340</f>
        <v>0</v>
      </c>
      <c r="L338" s="159">
        <f t="shared" si="11"/>
        <v>0</v>
      </c>
      <c r="M338" s="158">
        <f>Base_Données!S340</f>
        <v>0</v>
      </c>
      <c r="N338" s="154">
        <f>Base_Données!T340-(Base_Données!BU340+Base_Données!BZ340+Base_Données!CC340)</f>
        <v>0</v>
      </c>
      <c r="O338" s="154">
        <f>Base_Données!AC340+Base_Données!AL340-(Base_Données!CI340)</f>
        <v>0</v>
      </c>
      <c r="P338" s="154">
        <f>L338+Base_Données!GJ340+Base_Données!GE340+Base_Données!GB340+Base_Données!FV340+Base_Données!FS340+Base_Données!FO340+Base_Données!FE340+Base_Données!DS340-(Base_Données!BK340+Base_Données!BH340+Base_Données!AU340)</f>
        <v>0</v>
      </c>
      <c r="Q338" s="189">
        <f>P338+Base_Données!AV340-Base_Données!FE340-Base_Données!FO340</f>
        <v>0</v>
      </c>
      <c r="R338" s="329">
        <f>SIG!Q338+Base_Données!BD340+Base_Données!BH340+Base_Données!BL340+Base_Données!BM340+Base_Données!BN340-Base_Données!GB340-Base_Données!GJ340-Base_Données!GF340</f>
        <v>0</v>
      </c>
    </row>
    <row r="339" spans="1:18" customFormat="1" x14ac:dyDescent="0.25">
      <c r="A339" s="328">
        <f>Base_Données!A341</f>
        <v>0</v>
      </c>
      <c r="B339" s="181">
        <f>Base_Données!B341</f>
        <v>0</v>
      </c>
      <c r="C339" s="158">
        <f>Base_Données!C341</f>
        <v>0</v>
      </c>
      <c r="D339" s="156">
        <f>Base_Données!Q341</f>
        <v>0</v>
      </c>
      <c r="E339" s="156">
        <f>Base_Données!BR341</f>
        <v>0</v>
      </c>
      <c r="F339" s="155">
        <f>Base_Données!R341</f>
        <v>0</v>
      </c>
      <c r="G339" s="154">
        <f>Base_Données!BS341</f>
        <v>0</v>
      </c>
      <c r="H339" s="155">
        <f>SIG!F339-SIG!G339</f>
        <v>0</v>
      </c>
      <c r="I339" s="159">
        <f>Base_Données!BI341+Base_Données!BJ341-Base_Données!GC341-Base_Données!GD341</f>
        <v>0</v>
      </c>
      <c r="J339" s="154">
        <f t="shared" si="10"/>
        <v>0</v>
      </c>
      <c r="K339" s="154">
        <f>Base_Données!BK341-Base_Données!GE341</f>
        <v>0</v>
      </c>
      <c r="L339" s="159">
        <f t="shared" si="11"/>
        <v>0</v>
      </c>
      <c r="M339" s="158">
        <f>Base_Données!S341</f>
        <v>0</v>
      </c>
      <c r="N339" s="154">
        <f>Base_Données!T341-(Base_Données!BU341+Base_Données!BZ341+Base_Données!CC341)</f>
        <v>0</v>
      </c>
      <c r="O339" s="154">
        <f>Base_Données!AC341+Base_Données!AL341-(Base_Données!CI341)</f>
        <v>0</v>
      </c>
      <c r="P339" s="154">
        <f>L339+Base_Données!GJ341+Base_Données!GE341+Base_Données!GB341+Base_Données!FV341+Base_Données!FS341+Base_Données!FO341+Base_Données!FE341+Base_Données!DS341-(Base_Données!BK341+Base_Données!BH341+Base_Données!AU341)</f>
        <v>0</v>
      </c>
      <c r="Q339" s="189">
        <f>P339+Base_Données!AV341-Base_Données!FE341-Base_Données!FO341</f>
        <v>0</v>
      </c>
      <c r="R339" s="329">
        <f>SIG!Q339+Base_Données!BD341+Base_Données!BH341+Base_Données!BL341+Base_Données!BM341+Base_Données!BN341-Base_Données!GB341-Base_Données!GJ341-Base_Données!GF341</f>
        <v>0</v>
      </c>
    </row>
    <row r="340" spans="1:18" customFormat="1" x14ac:dyDescent="0.25">
      <c r="A340" s="328">
        <f>Base_Données!A342</f>
        <v>0</v>
      </c>
      <c r="B340" s="181">
        <f>Base_Données!B342</f>
        <v>0</v>
      </c>
      <c r="C340" s="158">
        <f>Base_Données!C342</f>
        <v>0</v>
      </c>
      <c r="D340" s="156">
        <f>Base_Données!Q342</f>
        <v>0</v>
      </c>
      <c r="E340" s="156">
        <f>Base_Données!BR342</f>
        <v>0</v>
      </c>
      <c r="F340" s="155">
        <f>Base_Données!R342</f>
        <v>0</v>
      </c>
      <c r="G340" s="154">
        <f>Base_Données!BS342</f>
        <v>0</v>
      </c>
      <c r="H340" s="155">
        <f>SIG!F340-SIG!G340</f>
        <v>0</v>
      </c>
      <c r="I340" s="159">
        <f>Base_Données!BI342+Base_Données!BJ342-Base_Données!GC342-Base_Données!GD342</f>
        <v>0</v>
      </c>
      <c r="J340" s="154">
        <f t="shared" si="10"/>
        <v>0</v>
      </c>
      <c r="K340" s="154">
        <f>Base_Données!BK342-Base_Données!GE342</f>
        <v>0</v>
      </c>
      <c r="L340" s="159">
        <f t="shared" si="11"/>
        <v>0</v>
      </c>
      <c r="M340" s="158">
        <f>Base_Données!S342</f>
        <v>0</v>
      </c>
      <c r="N340" s="154">
        <f>Base_Données!T342-(Base_Données!BU342+Base_Données!BZ342+Base_Données!CC342)</f>
        <v>0</v>
      </c>
      <c r="O340" s="154">
        <f>Base_Données!AC342+Base_Données!AL342-(Base_Données!CI342)</f>
        <v>0</v>
      </c>
      <c r="P340" s="154">
        <f>L340+Base_Données!GJ342+Base_Données!GE342+Base_Données!GB342+Base_Données!FV342+Base_Données!FS342+Base_Données!FO342+Base_Données!FE342+Base_Données!DS342-(Base_Données!BK342+Base_Données!BH342+Base_Données!AU342)</f>
        <v>0</v>
      </c>
      <c r="Q340" s="189">
        <f>P340+Base_Données!AV342-Base_Données!FE342-Base_Données!FO342</f>
        <v>0</v>
      </c>
      <c r="R340" s="329">
        <f>SIG!Q340+Base_Données!BD342+Base_Données!BH342+Base_Données!BL342+Base_Données!BM342+Base_Données!BN342-Base_Données!GB342-Base_Données!GJ342-Base_Données!GF342</f>
        <v>0</v>
      </c>
    </row>
    <row r="341" spans="1:18" customFormat="1" x14ac:dyDescent="0.25">
      <c r="A341" s="328">
        <f>Base_Données!A343</f>
        <v>0</v>
      </c>
      <c r="B341" s="181">
        <f>Base_Données!B343</f>
        <v>0</v>
      </c>
      <c r="C341" s="158">
        <f>Base_Données!C343</f>
        <v>0</v>
      </c>
      <c r="D341" s="156">
        <f>Base_Données!Q343</f>
        <v>0</v>
      </c>
      <c r="E341" s="156">
        <f>Base_Données!BR343</f>
        <v>0</v>
      </c>
      <c r="F341" s="155">
        <f>Base_Données!R343</f>
        <v>0</v>
      </c>
      <c r="G341" s="154">
        <f>Base_Données!BS343</f>
        <v>0</v>
      </c>
      <c r="H341" s="155">
        <f>SIG!F341-SIG!G341</f>
        <v>0</v>
      </c>
      <c r="I341" s="159">
        <f>Base_Données!BI343+Base_Données!BJ343-Base_Données!GC343-Base_Données!GD343</f>
        <v>0</v>
      </c>
      <c r="J341" s="154">
        <f t="shared" si="10"/>
        <v>0</v>
      </c>
      <c r="K341" s="154">
        <f>Base_Données!BK343-Base_Données!GE343</f>
        <v>0</v>
      </c>
      <c r="L341" s="159">
        <f t="shared" si="11"/>
        <v>0</v>
      </c>
      <c r="M341" s="158">
        <f>Base_Données!S343</f>
        <v>0</v>
      </c>
      <c r="N341" s="154">
        <f>Base_Données!T343-(Base_Données!BU343+Base_Données!BZ343+Base_Données!CC343)</f>
        <v>0</v>
      </c>
      <c r="O341" s="154">
        <f>Base_Données!AC343+Base_Données!AL343-(Base_Données!CI343)</f>
        <v>0</v>
      </c>
      <c r="P341" s="154">
        <f>L341+Base_Données!GJ343+Base_Données!GE343+Base_Données!GB343+Base_Données!FV343+Base_Données!FS343+Base_Données!FO343+Base_Données!FE343+Base_Données!DS343-(Base_Données!BK343+Base_Données!BH343+Base_Données!AU343)</f>
        <v>0</v>
      </c>
      <c r="Q341" s="189">
        <f>P341+Base_Données!AV343-Base_Données!FE343-Base_Données!FO343</f>
        <v>0</v>
      </c>
      <c r="R341" s="329">
        <f>SIG!Q341+Base_Données!BD343+Base_Données!BH343+Base_Données!BL343+Base_Données!BM343+Base_Données!BN343-Base_Données!GB343-Base_Données!GJ343-Base_Données!GF343</f>
        <v>0</v>
      </c>
    </row>
    <row r="342" spans="1:18" customFormat="1" x14ac:dyDescent="0.25">
      <c r="A342" s="328">
        <f>Base_Données!A344</f>
        <v>0</v>
      </c>
      <c r="B342" s="181">
        <f>Base_Données!B344</f>
        <v>0</v>
      </c>
      <c r="C342" s="158">
        <f>Base_Données!C344</f>
        <v>0</v>
      </c>
      <c r="D342" s="156">
        <f>Base_Données!Q344</f>
        <v>0</v>
      </c>
      <c r="E342" s="156">
        <f>Base_Données!BR344</f>
        <v>0</v>
      </c>
      <c r="F342" s="155">
        <f>Base_Données!R344</f>
        <v>0</v>
      </c>
      <c r="G342" s="154">
        <f>Base_Données!BS344</f>
        <v>0</v>
      </c>
      <c r="H342" s="155">
        <f>SIG!F342-SIG!G342</f>
        <v>0</v>
      </c>
      <c r="I342" s="159">
        <f>Base_Données!BI344+Base_Données!BJ344-Base_Données!GC344-Base_Données!GD344</f>
        <v>0</v>
      </c>
      <c r="J342" s="154">
        <f t="shared" si="10"/>
        <v>0</v>
      </c>
      <c r="K342" s="154">
        <f>Base_Données!BK344-Base_Données!GE344</f>
        <v>0</v>
      </c>
      <c r="L342" s="159">
        <f t="shared" si="11"/>
        <v>0</v>
      </c>
      <c r="M342" s="158">
        <f>Base_Données!S344</f>
        <v>0</v>
      </c>
      <c r="N342" s="154">
        <f>Base_Données!T344-(Base_Données!BU344+Base_Données!BZ344+Base_Données!CC344)</f>
        <v>0</v>
      </c>
      <c r="O342" s="154">
        <f>Base_Données!AC344+Base_Données!AL344-(Base_Données!CI344)</f>
        <v>0</v>
      </c>
      <c r="P342" s="154">
        <f>L342+Base_Données!GJ344+Base_Données!GE344+Base_Données!GB344+Base_Données!FV344+Base_Données!FS344+Base_Données!FO344+Base_Données!FE344+Base_Données!DS344-(Base_Données!BK344+Base_Données!BH344+Base_Données!AU344)</f>
        <v>0</v>
      </c>
      <c r="Q342" s="189">
        <f>P342+Base_Données!AV344-Base_Données!FE344-Base_Données!FO344</f>
        <v>0</v>
      </c>
      <c r="R342" s="329">
        <f>SIG!Q342+Base_Données!BD344+Base_Données!BH344+Base_Données!BL344+Base_Données!BM344+Base_Données!BN344-Base_Données!GB344-Base_Données!GJ344-Base_Données!GF344</f>
        <v>0</v>
      </c>
    </row>
    <row r="343" spans="1:18" customFormat="1" x14ac:dyDescent="0.25">
      <c r="A343" s="328">
        <f>Base_Données!A345</f>
        <v>0</v>
      </c>
      <c r="B343" s="181">
        <f>Base_Données!B345</f>
        <v>0</v>
      </c>
      <c r="C343" s="158">
        <f>Base_Données!C345</f>
        <v>0</v>
      </c>
      <c r="D343" s="156">
        <f>Base_Données!Q345</f>
        <v>0</v>
      </c>
      <c r="E343" s="156">
        <f>Base_Données!BR345</f>
        <v>0</v>
      </c>
      <c r="F343" s="155">
        <f>Base_Données!R345</f>
        <v>0</v>
      </c>
      <c r="G343" s="154">
        <f>Base_Données!BS345</f>
        <v>0</v>
      </c>
      <c r="H343" s="155">
        <f>SIG!F343-SIG!G343</f>
        <v>0</v>
      </c>
      <c r="I343" s="159">
        <f>Base_Données!BI345+Base_Données!BJ345-Base_Données!GC345-Base_Données!GD345</f>
        <v>0</v>
      </c>
      <c r="J343" s="154">
        <f t="shared" si="10"/>
        <v>0</v>
      </c>
      <c r="K343" s="154">
        <f>Base_Données!BK345-Base_Données!GE345</f>
        <v>0</v>
      </c>
      <c r="L343" s="159">
        <f t="shared" si="11"/>
        <v>0</v>
      </c>
      <c r="M343" s="158">
        <f>Base_Données!S345</f>
        <v>0</v>
      </c>
      <c r="N343" s="154">
        <f>Base_Données!T345-(Base_Données!BU345+Base_Données!BZ345+Base_Données!CC345)</f>
        <v>0</v>
      </c>
      <c r="O343" s="154">
        <f>Base_Données!AC345+Base_Données!AL345-(Base_Données!CI345)</f>
        <v>0</v>
      </c>
      <c r="P343" s="154">
        <f>L343+Base_Données!GJ345+Base_Données!GE345+Base_Données!GB345+Base_Données!FV345+Base_Données!FS345+Base_Données!FO345+Base_Données!FE345+Base_Données!DS345-(Base_Données!BK345+Base_Données!BH345+Base_Données!AU345)</f>
        <v>0</v>
      </c>
      <c r="Q343" s="189">
        <f>P343+Base_Données!AV345-Base_Données!FE345-Base_Données!FO345</f>
        <v>0</v>
      </c>
      <c r="R343" s="329">
        <f>SIG!Q343+Base_Données!BD345+Base_Données!BH345+Base_Données!BL345+Base_Données!BM345+Base_Données!BN345-Base_Données!GB345-Base_Données!GJ345-Base_Données!GF345</f>
        <v>0</v>
      </c>
    </row>
    <row r="344" spans="1:18" customFormat="1" x14ac:dyDescent="0.25">
      <c r="A344" s="328">
        <f>Base_Données!A346</f>
        <v>0</v>
      </c>
      <c r="B344" s="181">
        <f>Base_Données!B346</f>
        <v>0</v>
      </c>
      <c r="C344" s="158">
        <f>Base_Données!C346</f>
        <v>0</v>
      </c>
      <c r="D344" s="156">
        <f>Base_Données!Q346</f>
        <v>0</v>
      </c>
      <c r="E344" s="156">
        <f>Base_Données!BR346</f>
        <v>0</v>
      </c>
      <c r="F344" s="155">
        <f>Base_Données!R346</f>
        <v>0</v>
      </c>
      <c r="G344" s="154">
        <f>Base_Données!BS346</f>
        <v>0</v>
      </c>
      <c r="H344" s="155">
        <f>SIG!F344-SIG!G344</f>
        <v>0</v>
      </c>
      <c r="I344" s="159">
        <f>Base_Données!BI346+Base_Données!BJ346-Base_Données!GC346-Base_Données!GD346</f>
        <v>0</v>
      </c>
      <c r="J344" s="154">
        <f t="shared" si="10"/>
        <v>0</v>
      </c>
      <c r="K344" s="154">
        <f>Base_Données!BK346-Base_Données!GE346</f>
        <v>0</v>
      </c>
      <c r="L344" s="159">
        <f t="shared" si="11"/>
        <v>0</v>
      </c>
      <c r="M344" s="158">
        <f>Base_Données!S346</f>
        <v>0</v>
      </c>
      <c r="N344" s="154">
        <f>Base_Données!T346-(Base_Données!BU346+Base_Données!BZ346+Base_Données!CC346)</f>
        <v>0</v>
      </c>
      <c r="O344" s="154">
        <f>Base_Données!AC346+Base_Données!AL346-(Base_Données!CI346)</f>
        <v>0</v>
      </c>
      <c r="P344" s="154">
        <f>L344+Base_Données!GJ346+Base_Données!GE346+Base_Données!GB346+Base_Données!FV346+Base_Données!FS346+Base_Données!FO346+Base_Données!FE346+Base_Données!DS346-(Base_Données!BK346+Base_Données!BH346+Base_Données!AU346)</f>
        <v>0</v>
      </c>
      <c r="Q344" s="189">
        <f>P344+Base_Données!AV346-Base_Données!FE346-Base_Données!FO346</f>
        <v>0</v>
      </c>
      <c r="R344" s="329">
        <f>SIG!Q344+Base_Données!BD346+Base_Données!BH346+Base_Données!BL346+Base_Données!BM346+Base_Données!BN346-Base_Données!GB346-Base_Données!GJ346-Base_Données!GF346</f>
        <v>0</v>
      </c>
    </row>
    <row r="345" spans="1:18" customFormat="1" x14ac:dyDescent="0.25">
      <c r="A345" s="328">
        <f>Base_Données!A347</f>
        <v>0</v>
      </c>
      <c r="B345" s="181">
        <f>Base_Données!B347</f>
        <v>0</v>
      </c>
      <c r="C345" s="158">
        <f>Base_Données!C347</f>
        <v>0</v>
      </c>
      <c r="D345" s="156">
        <f>Base_Données!Q347</f>
        <v>0</v>
      </c>
      <c r="E345" s="156">
        <f>Base_Données!BR347</f>
        <v>0</v>
      </c>
      <c r="F345" s="155">
        <f>Base_Données!R347</f>
        <v>0</v>
      </c>
      <c r="G345" s="154">
        <f>Base_Données!BS347</f>
        <v>0</v>
      </c>
      <c r="H345" s="155">
        <f>SIG!F345-SIG!G345</f>
        <v>0</v>
      </c>
      <c r="I345" s="159">
        <f>Base_Données!BI347+Base_Données!BJ347-Base_Données!GC347-Base_Données!GD347</f>
        <v>0</v>
      </c>
      <c r="J345" s="154">
        <f t="shared" si="10"/>
        <v>0</v>
      </c>
      <c r="K345" s="154">
        <f>Base_Données!BK347-Base_Données!GE347</f>
        <v>0</v>
      </c>
      <c r="L345" s="159">
        <f t="shared" si="11"/>
        <v>0</v>
      </c>
      <c r="M345" s="158">
        <f>Base_Données!S347</f>
        <v>0</v>
      </c>
      <c r="N345" s="154">
        <f>Base_Données!T347-(Base_Données!BU347+Base_Données!BZ347+Base_Données!CC347)</f>
        <v>0</v>
      </c>
      <c r="O345" s="154">
        <f>Base_Données!AC347+Base_Données!AL347-(Base_Données!CI347)</f>
        <v>0</v>
      </c>
      <c r="P345" s="154">
        <f>L345+Base_Données!GJ347+Base_Données!GE347+Base_Données!GB347+Base_Données!FV347+Base_Données!FS347+Base_Données!FO347+Base_Données!FE347+Base_Données!DS347-(Base_Données!BK347+Base_Données!BH347+Base_Données!AU347)</f>
        <v>0</v>
      </c>
      <c r="Q345" s="189">
        <f>P345+Base_Données!AV347-Base_Données!FE347-Base_Données!FO347</f>
        <v>0</v>
      </c>
      <c r="R345" s="329">
        <f>SIG!Q345+Base_Données!BD347+Base_Données!BH347+Base_Données!BL347+Base_Données!BM347+Base_Données!BN347-Base_Données!GB347-Base_Données!GJ347-Base_Données!GF347</f>
        <v>0</v>
      </c>
    </row>
    <row r="346" spans="1:18" customFormat="1" x14ac:dyDescent="0.25">
      <c r="A346" s="328">
        <f>Base_Données!A348</f>
        <v>0</v>
      </c>
      <c r="B346" s="181">
        <f>Base_Données!B348</f>
        <v>0</v>
      </c>
      <c r="C346" s="158">
        <f>Base_Données!C348</f>
        <v>0</v>
      </c>
      <c r="D346" s="156">
        <f>Base_Données!Q348</f>
        <v>0</v>
      </c>
      <c r="E346" s="156">
        <f>Base_Données!BR348</f>
        <v>0</v>
      </c>
      <c r="F346" s="155">
        <f>Base_Données!R348</f>
        <v>0</v>
      </c>
      <c r="G346" s="154">
        <f>Base_Données!BS348</f>
        <v>0</v>
      </c>
      <c r="H346" s="155">
        <f>SIG!F346-SIG!G346</f>
        <v>0</v>
      </c>
      <c r="I346" s="159">
        <f>Base_Données!BI348+Base_Données!BJ348-Base_Données!GC348-Base_Données!GD348</f>
        <v>0</v>
      </c>
      <c r="J346" s="154">
        <f t="shared" si="10"/>
        <v>0</v>
      </c>
      <c r="K346" s="154">
        <f>Base_Données!BK348-Base_Données!GE348</f>
        <v>0</v>
      </c>
      <c r="L346" s="159">
        <f t="shared" si="11"/>
        <v>0</v>
      </c>
      <c r="M346" s="158">
        <f>Base_Données!S348</f>
        <v>0</v>
      </c>
      <c r="N346" s="154">
        <f>Base_Données!T348-(Base_Données!BU348+Base_Données!BZ348+Base_Données!CC348)</f>
        <v>0</v>
      </c>
      <c r="O346" s="154">
        <f>Base_Données!AC348+Base_Données!AL348-(Base_Données!CI348)</f>
        <v>0</v>
      </c>
      <c r="P346" s="154">
        <f>L346+Base_Données!GJ348+Base_Données!GE348+Base_Données!GB348+Base_Données!FV348+Base_Données!FS348+Base_Données!FO348+Base_Données!FE348+Base_Données!DS348-(Base_Données!BK348+Base_Données!BH348+Base_Données!AU348)</f>
        <v>0</v>
      </c>
      <c r="Q346" s="189">
        <f>P346+Base_Données!AV348-Base_Données!FE348-Base_Données!FO348</f>
        <v>0</v>
      </c>
      <c r="R346" s="329">
        <f>SIG!Q346+Base_Données!BD348+Base_Données!BH348+Base_Données!BL348+Base_Données!BM348+Base_Données!BN348-Base_Données!GB348-Base_Données!GJ348-Base_Données!GF348</f>
        <v>0</v>
      </c>
    </row>
    <row r="347" spans="1:18" customFormat="1" x14ac:dyDescent="0.25">
      <c r="A347" s="328">
        <f>Base_Données!A349</f>
        <v>0</v>
      </c>
      <c r="B347" s="181">
        <f>Base_Données!B349</f>
        <v>0</v>
      </c>
      <c r="C347" s="158">
        <f>Base_Données!C349</f>
        <v>0</v>
      </c>
      <c r="D347" s="156">
        <f>Base_Données!Q349</f>
        <v>0</v>
      </c>
      <c r="E347" s="156">
        <f>Base_Données!BR349</f>
        <v>0</v>
      </c>
      <c r="F347" s="155">
        <f>Base_Données!R349</f>
        <v>0</v>
      </c>
      <c r="G347" s="154">
        <f>Base_Données!BS349</f>
        <v>0</v>
      </c>
      <c r="H347" s="155">
        <f>SIG!F347-SIG!G347</f>
        <v>0</v>
      </c>
      <c r="I347" s="159">
        <f>Base_Données!BI349+Base_Données!BJ349-Base_Données!GC349-Base_Données!GD349</f>
        <v>0</v>
      </c>
      <c r="J347" s="154">
        <f t="shared" si="10"/>
        <v>0</v>
      </c>
      <c r="K347" s="154">
        <f>Base_Données!BK349-Base_Données!GE349</f>
        <v>0</v>
      </c>
      <c r="L347" s="159">
        <f t="shared" si="11"/>
        <v>0</v>
      </c>
      <c r="M347" s="158">
        <f>Base_Données!S349</f>
        <v>0</v>
      </c>
      <c r="N347" s="154">
        <f>Base_Données!T349-(Base_Données!BU349+Base_Données!BZ349+Base_Données!CC349)</f>
        <v>0</v>
      </c>
      <c r="O347" s="154">
        <f>Base_Données!AC349+Base_Données!AL349-(Base_Données!CI349)</f>
        <v>0</v>
      </c>
      <c r="P347" s="154">
        <f>L347+Base_Données!GJ349+Base_Données!GE349+Base_Données!GB349+Base_Données!FV349+Base_Données!FS349+Base_Données!FO349+Base_Données!FE349+Base_Données!DS349-(Base_Données!BK349+Base_Données!BH349+Base_Données!AU349)</f>
        <v>0</v>
      </c>
      <c r="Q347" s="189">
        <f>P347+Base_Données!AV349-Base_Données!FE349-Base_Données!FO349</f>
        <v>0</v>
      </c>
      <c r="R347" s="329">
        <f>SIG!Q347+Base_Données!BD349+Base_Données!BH349+Base_Données!BL349+Base_Données!BM349+Base_Données!BN349-Base_Données!GB349-Base_Données!GJ349-Base_Données!GF349</f>
        <v>0</v>
      </c>
    </row>
    <row r="348" spans="1:18" customFormat="1" x14ac:dyDescent="0.25">
      <c r="A348" s="328">
        <f>Base_Données!A350</f>
        <v>0</v>
      </c>
      <c r="B348" s="181">
        <f>Base_Données!B350</f>
        <v>0</v>
      </c>
      <c r="C348" s="158">
        <f>Base_Données!C350</f>
        <v>0</v>
      </c>
      <c r="D348" s="156">
        <f>Base_Données!Q350</f>
        <v>0</v>
      </c>
      <c r="E348" s="156">
        <f>Base_Données!BR350</f>
        <v>0</v>
      </c>
      <c r="F348" s="155">
        <f>Base_Données!R350</f>
        <v>0</v>
      </c>
      <c r="G348" s="154">
        <f>Base_Données!BS350</f>
        <v>0</v>
      </c>
      <c r="H348" s="155">
        <f>SIG!F348-SIG!G348</f>
        <v>0</v>
      </c>
      <c r="I348" s="159">
        <f>Base_Données!BI350+Base_Données!BJ350-Base_Données!GC350-Base_Données!GD350</f>
        <v>0</v>
      </c>
      <c r="J348" s="154">
        <f t="shared" si="10"/>
        <v>0</v>
      </c>
      <c r="K348" s="154">
        <f>Base_Données!BK350-Base_Données!GE350</f>
        <v>0</v>
      </c>
      <c r="L348" s="159">
        <f t="shared" si="11"/>
        <v>0</v>
      </c>
      <c r="M348" s="158">
        <f>Base_Données!S350</f>
        <v>0</v>
      </c>
      <c r="N348" s="154">
        <f>Base_Données!T350-(Base_Données!BU350+Base_Données!BZ350+Base_Données!CC350)</f>
        <v>0</v>
      </c>
      <c r="O348" s="154">
        <f>Base_Données!AC350+Base_Données!AL350-(Base_Données!CI350)</f>
        <v>0</v>
      </c>
      <c r="P348" s="154">
        <f>L348+Base_Données!GJ350+Base_Données!GE350+Base_Données!GB350+Base_Données!FV350+Base_Données!FS350+Base_Données!FO350+Base_Données!FE350+Base_Données!DS350-(Base_Données!BK350+Base_Données!BH350+Base_Données!AU350)</f>
        <v>0</v>
      </c>
      <c r="Q348" s="189">
        <f>P348+Base_Données!AV350-Base_Données!FE350-Base_Données!FO350</f>
        <v>0</v>
      </c>
      <c r="R348" s="329">
        <f>SIG!Q348+Base_Données!BD350+Base_Données!BH350+Base_Données!BL350+Base_Données!BM350+Base_Données!BN350-Base_Données!GB350-Base_Données!GJ350-Base_Données!GF350</f>
        <v>0</v>
      </c>
    </row>
    <row r="349" spans="1:18" customFormat="1" x14ac:dyDescent="0.25">
      <c r="A349" s="328">
        <f>Base_Données!A351</f>
        <v>0</v>
      </c>
      <c r="B349" s="181">
        <f>Base_Données!B351</f>
        <v>0</v>
      </c>
      <c r="C349" s="158">
        <f>Base_Données!C351</f>
        <v>0</v>
      </c>
      <c r="D349" s="156">
        <f>Base_Données!Q351</f>
        <v>0</v>
      </c>
      <c r="E349" s="156">
        <f>Base_Données!BR351</f>
        <v>0</v>
      </c>
      <c r="F349" s="155">
        <f>Base_Données!R351</f>
        <v>0</v>
      </c>
      <c r="G349" s="154">
        <f>Base_Données!BS351</f>
        <v>0</v>
      </c>
      <c r="H349" s="155">
        <f>SIG!F349-SIG!G349</f>
        <v>0</v>
      </c>
      <c r="I349" s="159">
        <f>Base_Données!BI351+Base_Données!BJ351-Base_Données!GC351-Base_Données!GD351</f>
        <v>0</v>
      </c>
      <c r="J349" s="154">
        <f t="shared" si="10"/>
        <v>0</v>
      </c>
      <c r="K349" s="154">
        <f>Base_Données!BK351-Base_Données!GE351</f>
        <v>0</v>
      </c>
      <c r="L349" s="159">
        <f t="shared" si="11"/>
        <v>0</v>
      </c>
      <c r="M349" s="158">
        <f>Base_Données!S351</f>
        <v>0</v>
      </c>
      <c r="N349" s="154">
        <f>Base_Données!T351-(Base_Données!BU351+Base_Données!BZ351+Base_Données!CC351)</f>
        <v>0</v>
      </c>
      <c r="O349" s="154">
        <f>Base_Données!AC351+Base_Données!AL351-(Base_Données!CI351)</f>
        <v>0</v>
      </c>
      <c r="P349" s="154">
        <f>L349+Base_Données!GJ351+Base_Données!GE351+Base_Données!GB351+Base_Données!FV351+Base_Données!FS351+Base_Données!FO351+Base_Données!FE351+Base_Données!DS351-(Base_Données!BK351+Base_Données!BH351+Base_Données!AU351)</f>
        <v>0</v>
      </c>
      <c r="Q349" s="189">
        <f>P349+Base_Données!AV351-Base_Données!FE351-Base_Données!FO351</f>
        <v>0</v>
      </c>
      <c r="R349" s="329">
        <f>SIG!Q349+Base_Données!BD351+Base_Données!BH351+Base_Données!BL351+Base_Données!BM351+Base_Données!BN351-Base_Données!GB351-Base_Données!GJ351-Base_Données!GF351</f>
        <v>0</v>
      </c>
    </row>
    <row r="350" spans="1:18" customFormat="1" x14ac:dyDescent="0.25">
      <c r="A350" s="328">
        <f>Base_Données!A352</f>
        <v>0</v>
      </c>
      <c r="B350" s="181">
        <f>Base_Données!B352</f>
        <v>0</v>
      </c>
      <c r="C350" s="158">
        <f>Base_Données!C352</f>
        <v>0</v>
      </c>
      <c r="D350" s="156">
        <f>Base_Données!Q352</f>
        <v>0</v>
      </c>
      <c r="E350" s="156">
        <f>Base_Données!BR352</f>
        <v>0</v>
      </c>
      <c r="F350" s="155">
        <f>Base_Données!R352</f>
        <v>0</v>
      </c>
      <c r="G350" s="154">
        <f>Base_Données!BS352</f>
        <v>0</v>
      </c>
      <c r="H350" s="155">
        <f>SIG!F350-SIG!G350</f>
        <v>0</v>
      </c>
      <c r="I350" s="159">
        <f>Base_Données!BI352+Base_Données!BJ352-Base_Données!GC352-Base_Données!GD352</f>
        <v>0</v>
      </c>
      <c r="J350" s="154">
        <f t="shared" si="10"/>
        <v>0</v>
      </c>
      <c r="K350" s="154">
        <f>Base_Données!BK352-Base_Données!GE352</f>
        <v>0</v>
      </c>
      <c r="L350" s="159">
        <f t="shared" si="11"/>
        <v>0</v>
      </c>
      <c r="M350" s="158">
        <f>Base_Données!S352</f>
        <v>0</v>
      </c>
      <c r="N350" s="154">
        <f>Base_Données!T352-(Base_Données!BU352+Base_Données!BZ352+Base_Données!CC352)</f>
        <v>0</v>
      </c>
      <c r="O350" s="154">
        <f>Base_Données!AC352+Base_Données!AL352-(Base_Données!CI352)</f>
        <v>0</v>
      </c>
      <c r="P350" s="154">
        <f>L350+Base_Données!GJ352+Base_Données!GE352+Base_Données!GB352+Base_Données!FV352+Base_Données!FS352+Base_Données!FO352+Base_Données!FE352+Base_Données!DS352-(Base_Données!BK352+Base_Données!BH352+Base_Données!AU352)</f>
        <v>0</v>
      </c>
      <c r="Q350" s="189">
        <f>P350+Base_Données!AV352-Base_Données!FE352-Base_Données!FO352</f>
        <v>0</v>
      </c>
      <c r="R350" s="329">
        <f>SIG!Q350+Base_Données!BD352+Base_Données!BH352+Base_Données!BL352+Base_Données!BM352+Base_Données!BN352-Base_Données!GB352-Base_Données!GJ352-Base_Données!GF352</f>
        <v>0</v>
      </c>
    </row>
    <row r="351" spans="1:18" customFormat="1" x14ac:dyDescent="0.25">
      <c r="A351" s="328">
        <f>Base_Données!A353</f>
        <v>0</v>
      </c>
      <c r="B351" s="181">
        <f>Base_Données!B353</f>
        <v>0</v>
      </c>
      <c r="C351" s="158">
        <f>Base_Données!C353</f>
        <v>0</v>
      </c>
      <c r="D351" s="156">
        <f>Base_Données!Q353</f>
        <v>0</v>
      </c>
      <c r="E351" s="156">
        <f>Base_Données!BR353</f>
        <v>0</v>
      </c>
      <c r="F351" s="155">
        <f>Base_Données!R353</f>
        <v>0</v>
      </c>
      <c r="G351" s="154">
        <f>Base_Données!BS353</f>
        <v>0</v>
      </c>
      <c r="H351" s="155">
        <f>SIG!F351-SIG!G351</f>
        <v>0</v>
      </c>
      <c r="I351" s="159">
        <f>Base_Données!BI353+Base_Données!BJ353-Base_Données!GC353-Base_Données!GD353</f>
        <v>0</v>
      </c>
      <c r="J351" s="154">
        <f t="shared" si="10"/>
        <v>0</v>
      </c>
      <c r="K351" s="154">
        <f>Base_Données!BK353-Base_Données!GE353</f>
        <v>0</v>
      </c>
      <c r="L351" s="159">
        <f t="shared" si="11"/>
        <v>0</v>
      </c>
      <c r="M351" s="158">
        <f>Base_Données!S353</f>
        <v>0</v>
      </c>
      <c r="N351" s="154">
        <f>Base_Données!T353-(Base_Données!BU353+Base_Données!BZ353+Base_Données!CC353)</f>
        <v>0</v>
      </c>
      <c r="O351" s="154">
        <f>Base_Données!AC353+Base_Données!AL353-(Base_Données!CI353)</f>
        <v>0</v>
      </c>
      <c r="P351" s="154">
        <f>L351+Base_Données!GJ353+Base_Données!GE353+Base_Données!GB353+Base_Données!FV353+Base_Données!FS353+Base_Données!FO353+Base_Données!FE353+Base_Données!DS353-(Base_Données!BK353+Base_Données!BH353+Base_Données!AU353)</f>
        <v>0</v>
      </c>
      <c r="Q351" s="189">
        <f>P351+Base_Données!AV353-Base_Données!FE353-Base_Données!FO353</f>
        <v>0</v>
      </c>
      <c r="R351" s="329">
        <f>SIG!Q351+Base_Données!BD353+Base_Données!BH353+Base_Données!BL353+Base_Données!BM353+Base_Données!BN353-Base_Données!GB353-Base_Données!GJ353-Base_Données!GF353</f>
        <v>0</v>
      </c>
    </row>
    <row r="352" spans="1:18" customFormat="1" x14ac:dyDescent="0.25">
      <c r="A352" s="328">
        <f>Base_Données!A354</f>
        <v>0</v>
      </c>
      <c r="B352" s="181">
        <f>Base_Données!B354</f>
        <v>0</v>
      </c>
      <c r="C352" s="158">
        <f>Base_Données!C354</f>
        <v>0</v>
      </c>
      <c r="D352" s="156">
        <f>Base_Données!Q354</f>
        <v>0</v>
      </c>
      <c r="E352" s="156">
        <f>Base_Données!BR354</f>
        <v>0</v>
      </c>
      <c r="F352" s="155">
        <f>Base_Données!R354</f>
        <v>0</v>
      </c>
      <c r="G352" s="154">
        <f>Base_Données!BS354</f>
        <v>0</v>
      </c>
      <c r="H352" s="155">
        <f>SIG!F352-SIG!G352</f>
        <v>0</v>
      </c>
      <c r="I352" s="159">
        <f>Base_Données!BI354+Base_Données!BJ354-Base_Données!GC354-Base_Données!GD354</f>
        <v>0</v>
      </c>
      <c r="J352" s="154">
        <f t="shared" si="10"/>
        <v>0</v>
      </c>
      <c r="K352" s="154">
        <f>Base_Données!BK354-Base_Données!GE354</f>
        <v>0</v>
      </c>
      <c r="L352" s="159">
        <f t="shared" si="11"/>
        <v>0</v>
      </c>
      <c r="M352" s="158">
        <f>Base_Données!S354</f>
        <v>0</v>
      </c>
      <c r="N352" s="154">
        <f>Base_Données!T354-(Base_Données!BU354+Base_Données!BZ354+Base_Données!CC354)</f>
        <v>0</v>
      </c>
      <c r="O352" s="154">
        <f>Base_Données!AC354+Base_Données!AL354-(Base_Données!CI354)</f>
        <v>0</v>
      </c>
      <c r="P352" s="154">
        <f>L352+Base_Données!GJ354+Base_Données!GE354+Base_Données!GB354+Base_Données!FV354+Base_Données!FS354+Base_Données!FO354+Base_Données!FE354+Base_Données!DS354-(Base_Données!BK354+Base_Données!BH354+Base_Données!AU354)</f>
        <v>0</v>
      </c>
      <c r="Q352" s="189">
        <f>P352+Base_Données!AV354-Base_Données!FE354-Base_Données!FO354</f>
        <v>0</v>
      </c>
      <c r="R352" s="329">
        <f>SIG!Q352+Base_Données!BD354+Base_Données!BH354+Base_Données!BL354+Base_Données!BM354+Base_Données!BN354-Base_Données!GB354-Base_Données!GJ354-Base_Données!GF354</f>
        <v>0</v>
      </c>
    </row>
    <row r="353" spans="1:18" customFormat="1" x14ac:dyDescent="0.25">
      <c r="A353" s="328">
        <f>Base_Données!A355</f>
        <v>0</v>
      </c>
      <c r="B353" s="181">
        <f>Base_Données!B355</f>
        <v>0</v>
      </c>
      <c r="C353" s="158">
        <f>Base_Données!C355</f>
        <v>0</v>
      </c>
      <c r="D353" s="156">
        <f>Base_Données!Q355</f>
        <v>0</v>
      </c>
      <c r="E353" s="156">
        <f>Base_Données!BR355</f>
        <v>0</v>
      </c>
      <c r="F353" s="155">
        <f>Base_Données!R355</f>
        <v>0</v>
      </c>
      <c r="G353" s="154">
        <f>Base_Données!BS355</f>
        <v>0</v>
      </c>
      <c r="H353" s="155">
        <f>SIG!F353-SIG!G353</f>
        <v>0</v>
      </c>
      <c r="I353" s="159">
        <f>Base_Données!BI355+Base_Données!BJ355-Base_Données!GC355-Base_Données!GD355</f>
        <v>0</v>
      </c>
      <c r="J353" s="154">
        <f t="shared" si="10"/>
        <v>0</v>
      </c>
      <c r="K353" s="154">
        <f>Base_Données!BK355-Base_Données!GE355</f>
        <v>0</v>
      </c>
      <c r="L353" s="159">
        <f t="shared" si="11"/>
        <v>0</v>
      </c>
      <c r="M353" s="158">
        <f>Base_Données!S355</f>
        <v>0</v>
      </c>
      <c r="N353" s="154">
        <f>Base_Données!T355-(Base_Données!BU355+Base_Données!BZ355+Base_Données!CC355)</f>
        <v>0</v>
      </c>
      <c r="O353" s="154">
        <f>Base_Données!AC355+Base_Données!AL355-(Base_Données!CI355)</f>
        <v>0</v>
      </c>
      <c r="P353" s="154">
        <f>L353+Base_Données!GJ355+Base_Données!GE355+Base_Données!GB355+Base_Données!FV355+Base_Données!FS355+Base_Données!FO355+Base_Données!FE355+Base_Données!DS355-(Base_Données!BK355+Base_Données!BH355+Base_Données!AU355)</f>
        <v>0</v>
      </c>
      <c r="Q353" s="189">
        <f>P353+Base_Données!AV355-Base_Données!FE355-Base_Données!FO355</f>
        <v>0</v>
      </c>
      <c r="R353" s="329">
        <f>SIG!Q353+Base_Données!BD355+Base_Données!BH355+Base_Données!BL355+Base_Données!BM355+Base_Données!BN355-Base_Données!GB355-Base_Données!GJ355-Base_Données!GF355</f>
        <v>0</v>
      </c>
    </row>
    <row r="354" spans="1:18" customFormat="1" x14ac:dyDescent="0.25">
      <c r="A354" s="328">
        <f>Base_Données!A356</f>
        <v>0</v>
      </c>
      <c r="B354" s="181">
        <f>Base_Données!B356</f>
        <v>0</v>
      </c>
      <c r="C354" s="158">
        <f>Base_Données!C356</f>
        <v>0</v>
      </c>
      <c r="D354" s="156">
        <f>Base_Données!Q356</f>
        <v>0</v>
      </c>
      <c r="E354" s="156">
        <f>Base_Données!BR356</f>
        <v>0</v>
      </c>
      <c r="F354" s="155">
        <f>Base_Données!R356</f>
        <v>0</v>
      </c>
      <c r="G354" s="154">
        <f>Base_Données!BS356</f>
        <v>0</v>
      </c>
      <c r="H354" s="155">
        <f>SIG!F354-SIG!G354</f>
        <v>0</v>
      </c>
      <c r="I354" s="159">
        <f>Base_Données!BI356+Base_Données!BJ356-Base_Données!GC356-Base_Données!GD356</f>
        <v>0</v>
      </c>
      <c r="J354" s="154">
        <f t="shared" si="10"/>
        <v>0</v>
      </c>
      <c r="K354" s="154">
        <f>Base_Données!BK356-Base_Données!GE356</f>
        <v>0</v>
      </c>
      <c r="L354" s="159">
        <f t="shared" si="11"/>
        <v>0</v>
      </c>
      <c r="M354" s="158">
        <f>Base_Données!S356</f>
        <v>0</v>
      </c>
      <c r="N354" s="154">
        <f>Base_Données!T356-(Base_Données!BU356+Base_Données!BZ356+Base_Données!CC356)</f>
        <v>0</v>
      </c>
      <c r="O354" s="154">
        <f>Base_Données!AC356+Base_Données!AL356-(Base_Données!CI356)</f>
        <v>0</v>
      </c>
      <c r="P354" s="154">
        <f>L354+Base_Données!GJ356+Base_Données!GE356+Base_Données!GB356+Base_Données!FV356+Base_Données!FS356+Base_Données!FO356+Base_Données!FE356+Base_Données!DS356-(Base_Données!BK356+Base_Données!BH356+Base_Données!AU356)</f>
        <v>0</v>
      </c>
      <c r="Q354" s="189">
        <f>P354+Base_Données!AV356-Base_Données!FE356-Base_Données!FO356</f>
        <v>0</v>
      </c>
      <c r="R354" s="329">
        <f>SIG!Q354+Base_Données!BD356+Base_Données!BH356+Base_Données!BL356+Base_Données!BM356+Base_Données!BN356-Base_Données!GB356-Base_Données!GJ356-Base_Données!GF356</f>
        <v>0</v>
      </c>
    </row>
    <row r="355" spans="1:18" customFormat="1" x14ac:dyDescent="0.25">
      <c r="A355" s="328">
        <f>Base_Données!A357</f>
        <v>0</v>
      </c>
      <c r="B355" s="181">
        <f>Base_Données!B357</f>
        <v>0</v>
      </c>
      <c r="C355" s="158">
        <f>Base_Données!C357</f>
        <v>0</v>
      </c>
      <c r="D355" s="156">
        <f>Base_Données!Q357</f>
        <v>0</v>
      </c>
      <c r="E355" s="156">
        <f>Base_Données!BR357</f>
        <v>0</v>
      </c>
      <c r="F355" s="155">
        <f>Base_Données!R357</f>
        <v>0</v>
      </c>
      <c r="G355" s="154">
        <f>Base_Données!BS357</f>
        <v>0</v>
      </c>
      <c r="H355" s="155">
        <f>SIG!F355-SIG!G355</f>
        <v>0</v>
      </c>
      <c r="I355" s="159">
        <f>Base_Données!BI357+Base_Données!BJ357-Base_Données!GC357-Base_Données!GD357</f>
        <v>0</v>
      </c>
      <c r="J355" s="154">
        <f t="shared" si="10"/>
        <v>0</v>
      </c>
      <c r="K355" s="154">
        <f>Base_Données!BK357-Base_Données!GE357</f>
        <v>0</v>
      </c>
      <c r="L355" s="159">
        <f t="shared" si="11"/>
        <v>0</v>
      </c>
      <c r="M355" s="158">
        <f>Base_Données!S357</f>
        <v>0</v>
      </c>
      <c r="N355" s="154">
        <f>Base_Données!T357-(Base_Données!BU357+Base_Données!BZ357+Base_Données!CC357)</f>
        <v>0</v>
      </c>
      <c r="O355" s="154">
        <f>Base_Données!AC357+Base_Données!AL357-(Base_Données!CI357)</f>
        <v>0</v>
      </c>
      <c r="P355" s="154">
        <f>L355+Base_Données!GJ357+Base_Données!GE357+Base_Données!GB357+Base_Données!FV357+Base_Données!FS357+Base_Données!FO357+Base_Données!FE357+Base_Données!DS357-(Base_Données!BK357+Base_Données!BH357+Base_Données!AU357)</f>
        <v>0</v>
      </c>
      <c r="Q355" s="189">
        <f>P355+Base_Données!AV357-Base_Données!FE357-Base_Données!FO357</f>
        <v>0</v>
      </c>
      <c r="R355" s="329">
        <f>SIG!Q355+Base_Données!BD357+Base_Données!BH357+Base_Données!BL357+Base_Données!BM357+Base_Données!BN357-Base_Données!GB357-Base_Données!GJ357-Base_Données!GF357</f>
        <v>0</v>
      </c>
    </row>
    <row r="356" spans="1:18" customFormat="1" x14ac:dyDescent="0.25">
      <c r="A356" s="328">
        <f>Base_Données!A358</f>
        <v>0</v>
      </c>
      <c r="B356" s="181">
        <f>Base_Données!B358</f>
        <v>0</v>
      </c>
      <c r="C356" s="158">
        <f>Base_Données!C358</f>
        <v>0</v>
      </c>
      <c r="D356" s="156">
        <f>Base_Données!Q358</f>
        <v>0</v>
      </c>
      <c r="E356" s="156">
        <f>Base_Données!BR358</f>
        <v>0</v>
      </c>
      <c r="F356" s="155">
        <f>Base_Données!R358</f>
        <v>0</v>
      </c>
      <c r="G356" s="154">
        <f>Base_Données!BS358</f>
        <v>0</v>
      </c>
      <c r="H356" s="155">
        <f>SIG!F356-SIG!G356</f>
        <v>0</v>
      </c>
      <c r="I356" s="159">
        <f>Base_Données!BI358+Base_Données!BJ358-Base_Données!GC358-Base_Données!GD358</f>
        <v>0</v>
      </c>
      <c r="J356" s="154">
        <f t="shared" si="10"/>
        <v>0</v>
      </c>
      <c r="K356" s="154">
        <f>Base_Données!BK358-Base_Données!GE358</f>
        <v>0</v>
      </c>
      <c r="L356" s="159">
        <f t="shared" si="11"/>
        <v>0</v>
      </c>
      <c r="M356" s="158">
        <f>Base_Données!S358</f>
        <v>0</v>
      </c>
      <c r="N356" s="154">
        <f>Base_Données!T358-(Base_Données!BU358+Base_Données!BZ358+Base_Données!CC358)</f>
        <v>0</v>
      </c>
      <c r="O356" s="154">
        <f>Base_Données!AC358+Base_Données!AL358-(Base_Données!CI358)</f>
        <v>0</v>
      </c>
      <c r="P356" s="154">
        <f>L356+Base_Données!GJ358+Base_Données!GE358+Base_Données!GB358+Base_Données!FV358+Base_Données!FS358+Base_Données!FO358+Base_Données!FE358+Base_Données!DS358-(Base_Données!BK358+Base_Données!BH358+Base_Données!AU358)</f>
        <v>0</v>
      </c>
      <c r="Q356" s="189">
        <f>P356+Base_Données!AV358-Base_Données!FE358-Base_Données!FO358</f>
        <v>0</v>
      </c>
      <c r="R356" s="329">
        <f>SIG!Q356+Base_Données!BD358+Base_Données!BH358+Base_Données!BL358+Base_Données!BM358+Base_Données!BN358-Base_Données!GB358-Base_Données!GJ358-Base_Données!GF358</f>
        <v>0</v>
      </c>
    </row>
    <row r="357" spans="1:18" customFormat="1" x14ac:dyDescent="0.25">
      <c r="A357" s="328">
        <f>Base_Données!A359</f>
        <v>0</v>
      </c>
      <c r="B357" s="181">
        <f>Base_Données!B359</f>
        <v>0</v>
      </c>
      <c r="C357" s="158">
        <f>Base_Données!C359</f>
        <v>0</v>
      </c>
      <c r="D357" s="156">
        <f>Base_Données!Q359</f>
        <v>0</v>
      </c>
      <c r="E357" s="156">
        <f>Base_Données!BR359</f>
        <v>0</v>
      </c>
      <c r="F357" s="155">
        <f>Base_Données!R359</f>
        <v>0</v>
      </c>
      <c r="G357" s="154">
        <f>Base_Données!BS359</f>
        <v>0</v>
      </c>
      <c r="H357" s="155">
        <f>SIG!F357-SIG!G357</f>
        <v>0</v>
      </c>
      <c r="I357" s="159">
        <f>Base_Données!BI359+Base_Données!BJ359-Base_Données!GC359-Base_Données!GD359</f>
        <v>0</v>
      </c>
      <c r="J357" s="154">
        <f t="shared" si="10"/>
        <v>0</v>
      </c>
      <c r="K357" s="154">
        <f>Base_Données!BK359-Base_Données!GE359</f>
        <v>0</v>
      </c>
      <c r="L357" s="159">
        <f t="shared" si="11"/>
        <v>0</v>
      </c>
      <c r="M357" s="158">
        <f>Base_Données!S359</f>
        <v>0</v>
      </c>
      <c r="N357" s="154">
        <f>Base_Données!T359-(Base_Données!BU359+Base_Données!BZ359+Base_Données!CC359)</f>
        <v>0</v>
      </c>
      <c r="O357" s="154">
        <f>Base_Données!AC359+Base_Données!AL359-(Base_Données!CI359)</f>
        <v>0</v>
      </c>
      <c r="P357" s="154">
        <f>L357+Base_Données!GJ359+Base_Données!GE359+Base_Données!GB359+Base_Données!FV359+Base_Données!FS359+Base_Données!FO359+Base_Données!FE359+Base_Données!DS359-(Base_Données!BK359+Base_Données!BH359+Base_Données!AU359)</f>
        <v>0</v>
      </c>
      <c r="Q357" s="189">
        <f>P357+Base_Données!AV359-Base_Données!FE359-Base_Données!FO359</f>
        <v>0</v>
      </c>
      <c r="R357" s="329">
        <f>SIG!Q357+Base_Données!BD359+Base_Données!BH359+Base_Données!BL359+Base_Données!BM359+Base_Données!BN359-Base_Données!GB359-Base_Données!GJ359-Base_Données!GF359</f>
        <v>0</v>
      </c>
    </row>
    <row r="358" spans="1:18" customFormat="1" x14ac:dyDescent="0.25">
      <c r="A358" s="328">
        <f>Base_Données!A360</f>
        <v>0</v>
      </c>
      <c r="B358" s="181">
        <f>Base_Données!B360</f>
        <v>0</v>
      </c>
      <c r="C358" s="158">
        <f>Base_Données!C360</f>
        <v>0</v>
      </c>
      <c r="D358" s="156">
        <f>Base_Données!Q360</f>
        <v>0</v>
      </c>
      <c r="E358" s="156">
        <f>Base_Données!BR360</f>
        <v>0</v>
      </c>
      <c r="F358" s="155">
        <f>Base_Données!R360</f>
        <v>0</v>
      </c>
      <c r="G358" s="154">
        <f>Base_Données!BS360</f>
        <v>0</v>
      </c>
      <c r="H358" s="155">
        <f>SIG!F358-SIG!G358</f>
        <v>0</v>
      </c>
      <c r="I358" s="159">
        <f>Base_Données!BI360+Base_Données!BJ360-Base_Données!GC360-Base_Données!GD360</f>
        <v>0</v>
      </c>
      <c r="J358" s="154">
        <f t="shared" si="10"/>
        <v>0</v>
      </c>
      <c r="K358" s="154">
        <f>Base_Données!BK360-Base_Données!GE360</f>
        <v>0</v>
      </c>
      <c r="L358" s="159">
        <f t="shared" si="11"/>
        <v>0</v>
      </c>
      <c r="M358" s="158">
        <f>Base_Données!S360</f>
        <v>0</v>
      </c>
      <c r="N358" s="154">
        <f>Base_Données!T360-(Base_Données!BU360+Base_Données!BZ360+Base_Données!CC360)</f>
        <v>0</v>
      </c>
      <c r="O358" s="154">
        <f>Base_Données!AC360+Base_Données!AL360-(Base_Données!CI360)</f>
        <v>0</v>
      </c>
      <c r="P358" s="154">
        <f>L358+Base_Données!GJ360+Base_Données!GE360+Base_Données!GB360+Base_Données!FV360+Base_Données!FS360+Base_Données!FO360+Base_Données!FE360+Base_Données!DS360-(Base_Données!BK360+Base_Données!BH360+Base_Données!AU360)</f>
        <v>0</v>
      </c>
      <c r="Q358" s="189">
        <f>P358+Base_Données!AV360-Base_Données!FE360-Base_Données!FO360</f>
        <v>0</v>
      </c>
      <c r="R358" s="329">
        <f>SIG!Q358+Base_Données!BD360+Base_Données!BH360+Base_Données!BL360+Base_Données!BM360+Base_Données!BN360-Base_Données!GB360-Base_Données!GJ360-Base_Données!GF360</f>
        <v>0</v>
      </c>
    </row>
    <row r="359" spans="1:18" customFormat="1" x14ac:dyDescent="0.25">
      <c r="A359" s="328">
        <f>Base_Données!A361</f>
        <v>0</v>
      </c>
      <c r="B359" s="181">
        <f>Base_Données!B361</f>
        <v>0</v>
      </c>
      <c r="C359" s="158">
        <f>Base_Données!C361</f>
        <v>0</v>
      </c>
      <c r="D359" s="156">
        <f>Base_Données!Q361</f>
        <v>0</v>
      </c>
      <c r="E359" s="156">
        <f>Base_Données!BR361</f>
        <v>0</v>
      </c>
      <c r="F359" s="155">
        <f>Base_Données!R361</f>
        <v>0</v>
      </c>
      <c r="G359" s="154">
        <f>Base_Données!BS361</f>
        <v>0</v>
      </c>
      <c r="H359" s="155">
        <f>SIG!F359-SIG!G359</f>
        <v>0</v>
      </c>
      <c r="I359" s="159">
        <f>Base_Données!BI361+Base_Données!BJ361-Base_Données!GC361-Base_Données!GD361</f>
        <v>0</v>
      </c>
      <c r="J359" s="154">
        <f t="shared" si="10"/>
        <v>0</v>
      </c>
      <c r="K359" s="154">
        <f>Base_Données!BK361-Base_Données!GE361</f>
        <v>0</v>
      </c>
      <c r="L359" s="159">
        <f t="shared" si="11"/>
        <v>0</v>
      </c>
      <c r="M359" s="158">
        <f>Base_Données!S361</f>
        <v>0</v>
      </c>
      <c r="N359" s="154">
        <f>Base_Données!T361-(Base_Données!BU361+Base_Données!BZ361+Base_Données!CC361)</f>
        <v>0</v>
      </c>
      <c r="O359" s="154">
        <f>Base_Données!AC361+Base_Données!AL361-(Base_Données!CI361)</f>
        <v>0</v>
      </c>
      <c r="P359" s="154">
        <f>L359+Base_Données!GJ361+Base_Données!GE361+Base_Données!GB361+Base_Données!FV361+Base_Données!FS361+Base_Données!FO361+Base_Données!FE361+Base_Données!DS361-(Base_Données!BK361+Base_Données!BH361+Base_Données!AU361)</f>
        <v>0</v>
      </c>
      <c r="Q359" s="189">
        <f>P359+Base_Données!AV361-Base_Données!FE361-Base_Données!FO361</f>
        <v>0</v>
      </c>
      <c r="R359" s="329">
        <f>SIG!Q359+Base_Données!BD361+Base_Données!BH361+Base_Données!BL361+Base_Données!BM361+Base_Données!BN361-Base_Données!GB361-Base_Données!GJ361-Base_Données!GF361</f>
        <v>0</v>
      </c>
    </row>
    <row r="360" spans="1:18" customFormat="1" x14ac:dyDescent="0.25">
      <c r="A360" s="328">
        <f>Base_Données!A362</f>
        <v>0</v>
      </c>
      <c r="B360" s="181">
        <f>Base_Données!B362</f>
        <v>0</v>
      </c>
      <c r="C360" s="158">
        <f>Base_Données!C362</f>
        <v>0</v>
      </c>
      <c r="D360" s="156">
        <f>Base_Données!Q362</f>
        <v>0</v>
      </c>
      <c r="E360" s="156">
        <f>Base_Données!BR362</f>
        <v>0</v>
      </c>
      <c r="F360" s="155">
        <f>Base_Données!R362</f>
        <v>0</v>
      </c>
      <c r="G360" s="154">
        <f>Base_Données!BS362</f>
        <v>0</v>
      </c>
      <c r="H360" s="155">
        <f>SIG!F360-SIG!G360</f>
        <v>0</v>
      </c>
      <c r="I360" s="159">
        <f>Base_Données!BI362+Base_Données!BJ362-Base_Données!GC362-Base_Données!GD362</f>
        <v>0</v>
      </c>
      <c r="J360" s="154">
        <f t="shared" si="10"/>
        <v>0</v>
      </c>
      <c r="K360" s="154">
        <f>Base_Données!BK362-Base_Données!GE362</f>
        <v>0</v>
      </c>
      <c r="L360" s="159">
        <f t="shared" si="11"/>
        <v>0</v>
      </c>
      <c r="M360" s="158">
        <f>Base_Données!S362</f>
        <v>0</v>
      </c>
      <c r="N360" s="154">
        <f>Base_Données!T362-(Base_Données!BU362+Base_Données!BZ362+Base_Données!CC362)</f>
        <v>0</v>
      </c>
      <c r="O360" s="154">
        <f>Base_Données!AC362+Base_Données!AL362-(Base_Données!CI362)</f>
        <v>0</v>
      </c>
      <c r="P360" s="154">
        <f>L360+Base_Données!GJ362+Base_Données!GE362+Base_Données!GB362+Base_Données!FV362+Base_Données!FS362+Base_Données!FO362+Base_Données!FE362+Base_Données!DS362-(Base_Données!BK362+Base_Données!BH362+Base_Données!AU362)</f>
        <v>0</v>
      </c>
      <c r="Q360" s="189">
        <f>P360+Base_Données!AV362-Base_Données!FE362-Base_Données!FO362</f>
        <v>0</v>
      </c>
      <c r="R360" s="329">
        <f>SIG!Q360+Base_Données!BD362+Base_Données!BH362+Base_Données!BL362+Base_Données!BM362+Base_Données!BN362-Base_Données!GB362-Base_Données!GJ362-Base_Données!GF362</f>
        <v>0</v>
      </c>
    </row>
    <row r="361" spans="1:18" customFormat="1" x14ac:dyDescent="0.25">
      <c r="A361" s="328">
        <f>Base_Données!A363</f>
        <v>0</v>
      </c>
      <c r="B361" s="181">
        <f>Base_Données!B363</f>
        <v>0</v>
      </c>
      <c r="C361" s="158">
        <f>Base_Données!C363</f>
        <v>0</v>
      </c>
      <c r="D361" s="156">
        <f>Base_Données!Q363</f>
        <v>0</v>
      </c>
      <c r="E361" s="156">
        <f>Base_Données!BR363</f>
        <v>0</v>
      </c>
      <c r="F361" s="155">
        <f>Base_Données!R363</f>
        <v>0</v>
      </c>
      <c r="G361" s="154">
        <f>Base_Données!BS363</f>
        <v>0</v>
      </c>
      <c r="H361" s="155">
        <f>SIG!F361-SIG!G361</f>
        <v>0</v>
      </c>
      <c r="I361" s="159">
        <f>Base_Données!BI363+Base_Données!BJ363-Base_Données!GC363-Base_Données!GD363</f>
        <v>0</v>
      </c>
      <c r="J361" s="154">
        <f t="shared" si="10"/>
        <v>0</v>
      </c>
      <c r="K361" s="154">
        <f>Base_Données!BK363-Base_Données!GE363</f>
        <v>0</v>
      </c>
      <c r="L361" s="159">
        <f t="shared" si="11"/>
        <v>0</v>
      </c>
      <c r="M361" s="158">
        <f>Base_Données!S363</f>
        <v>0</v>
      </c>
      <c r="N361" s="154">
        <f>Base_Données!T363-(Base_Données!BU363+Base_Données!BZ363+Base_Données!CC363)</f>
        <v>0</v>
      </c>
      <c r="O361" s="154">
        <f>Base_Données!AC363+Base_Données!AL363-(Base_Données!CI363)</f>
        <v>0</v>
      </c>
      <c r="P361" s="154">
        <f>L361+Base_Données!GJ363+Base_Données!GE363+Base_Données!GB363+Base_Données!FV363+Base_Données!FS363+Base_Données!FO363+Base_Données!FE363+Base_Données!DS363-(Base_Données!BK363+Base_Données!BH363+Base_Données!AU363)</f>
        <v>0</v>
      </c>
      <c r="Q361" s="189">
        <f>P361+Base_Données!AV363-Base_Données!FE363-Base_Données!FO363</f>
        <v>0</v>
      </c>
      <c r="R361" s="329">
        <f>SIG!Q361+Base_Données!BD363+Base_Données!BH363+Base_Données!BL363+Base_Données!BM363+Base_Données!BN363-Base_Données!GB363-Base_Données!GJ363-Base_Données!GF363</f>
        <v>0</v>
      </c>
    </row>
    <row r="362" spans="1:18" customFormat="1" x14ac:dyDescent="0.25">
      <c r="A362" s="328">
        <f>Base_Données!A364</f>
        <v>0</v>
      </c>
      <c r="B362" s="181">
        <f>Base_Données!B364</f>
        <v>0</v>
      </c>
      <c r="C362" s="158">
        <f>Base_Données!C364</f>
        <v>0</v>
      </c>
      <c r="D362" s="156">
        <f>Base_Données!Q364</f>
        <v>0</v>
      </c>
      <c r="E362" s="156">
        <f>Base_Données!BR364</f>
        <v>0</v>
      </c>
      <c r="F362" s="155">
        <f>Base_Données!R364</f>
        <v>0</v>
      </c>
      <c r="G362" s="154">
        <f>Base_Données!BS364</f>
        <v>0</v>
      </c>
      <c r="H362" s="155">
        <f>SIG!F362-SIG!G362</f>
        <v>0</v>
      </c>
      <c r="I362" s="159">
        <f>Base_Données!BI364+Base_Données!BJ364-Base_Données!GC364-Base_Données!GD364</f>
        <v>0</v>
      </c>
      <c r="J362" s="154">
        <f t="shared" si="10"/>
        <v>0</v>
      </c>
      <c r="K362" s="154">
        <f>Base_Données!BK364-Base_Données!GE364</f>
        <v>0</v>
      </c>
      <c r="L362" s="159">
        <f t="shared" si="11"/>
        <v>0</v>
      </c>
      <c r="M362" s="158">
        <f>Base_Données!S364</f>
        <v>0</v>
      </c>
      <c r="N362" s="154">
        <f>Base_Données!T364-(Base_Données!BU364+Base_Données!BZ364+Base_Données!CC364)</f>
        <v>0</v>
      </c>
      <c r="O362" s="154">
        <f>Base_Données!AC364+Base_Données!AL364-(Base_Données!CI364)</f>
        <v>0</v>
      </c>
      <c r="P362" s="154">
        <f>L362+Base_Données!GJ364+Base_Données!GE364+Base_Données!GB364+Base_Données!FV364+Base_Données!FS364+Base_Données!FO364+Base_Données!FE364+Base_Données!DS364-(Base_Données!BK364+Base_Données!BH364+Base_Données!AU364)</f>
        <v>0</v>
      </c>
      <c r="Q362" s="189">
        <f>P362+Base_Données!AV364-Base_Données!FE364-Base_Données!FO364</f>
        <v>0</v>
      </c>
      <c r="R362" s="329">
        <f>SIG!Q362+Base_Données!BD364+Base_Données!BH364+Base_Données!BL364+Base_Données!BM364+Base_Données!BN364-Base_Données!GB364-Base_Données!GJ364-Base_Données!GF364</f>
        <v>0</v>
      </c>
    </row>
    <row r="363" spans="1:18" customFormat="1" x14ac:dyDescent="0.25">
      <c r="A363" s="328">
        <f>Base_Données!A365</f>
        <v>0</v>
      </c>
      <c r="B363" s="181">
        <f>Base_Données!B365</f>
        <v>0</v>
      </c>
      <c r="C363" s="158">
        <f>Base_Données!C365</f>
        <v>0</v>
      </c>
      <c r="D363" s="156">
        <f>Base_Données!Q365</f>
        <v>0</v>
      </c>
      <c r="E363" s="156">
        <f>Base_Données!BR365</f>
        <v>0</v>
      </c>
      <c r="F363" s="155">
        <f>Base_Données!R365</f>
        <v>0</v>
      </c>
      <c r="G363" s="154">
        <f>Base_Données!BS365</f>
        <v>0</v>
      </c>
      <c r="H363" s="155">
        <f>SIG!F363-SIG!G363</f>
        <v>0</v>
      </c>
      <c r="I363" s="159">
        <f>Base_Données!BI365+Base_Données!BJ365-Base_Données!GC365-Base_Données!GD365</f>
        <v>0</v>
      </c>
      <c r="J363" s="154">
        <f t="shared" si="10"/>
        <v>0</v>
      </c>
      <c r="K363" s="154">
        <f>Base_Données!BK365-Base_Données!GE365</f>
        <v>0</v>
      </c>
      <c r="L363" s="159">
        <f t="shared" si="11"/>
        <v>0</v>
      </c>
      <c r="M363" s="158">
        <f>Base_Données!S365</f>
        <v>0</v>
      </c>
      <c r="N363" s="154">
        <f>Base_Données!T365-(Base_Données!BU365+Base_Données!BZ365+Base_Données!CC365)</f>
        <v>0</v>
      </c>
      <c r="O363" s="154">
        <f>Base_Données!AC365+Base_Données!AL365-(Base_Données!CI365)</f>
        <v>0</v>
      </c>
      <c r="P363" s="154">
        <f>L363+Base_Données!GJ365+Base_Données!GE365+Base_Données!GB365+Base_Données!FV365+Base_Données!FS365+Base_Données!FO365+Base_Données!FE365+Base_Données!DS365-(Base_Données!BK365+Base_Données!BH365+Base_Données!AU365)</f>
        <v>0</v>
      </c>
      <c r="Q363" s="189">
        <f>P363+Base_Données!AV365-Base_Données!FE365-Base_Données!FO365</f>
        <v>0</v>
      </c>
      <c r="R363" s="329">
        <f>SIG!Q363+Base_Données!BD365+Base_Données!BH365+Base_Données!BL365+Base_Données!BM365+Base_Données!BN365-Base_Données!GB365-Base_Données!GJ365-Base_Données!GF365</f>
        <v>0</v>
      </c>
    </row>
    <row r="364" spans="1:18" customFormat="1" x14ac:dyDescent="0.25">
      <c r="A364" s="328">
        <f>Base_Données!A366</f>
        <v>0</v>
      </c>
      <c r="B364" s="181">
        <f>Base_Données!B366</f>
        <v>0</v>
      </c>
      <c r="C364" s="158">
        <f>Base_Données!C366</f>
        <v>0</v>
      </c>
      <c r="D364" s="156">
        <f>Base_Données!Q366</f>
        <v>0</v>
      </c>
      <c r="E364" s="156">
        <f>Base_Données!BR366</f>
        <v>0</v>
      </c>
      <c r="F364" s="155">
        <f>Base_Données!R366</f>
        <v>0</v>
      </c>
      <c r="G364" s="154">
        <f>Base_Données!BS366</f>
        <v>0</v>
      </c>
      <c r="H364" s="155">
        <f>SIG!F364-SIG!G364</f>
        <v>0</v>
      </c>
      <c r="I364" s="159">
        <f>Base_Données!BI366+Base_Données!BJ366-Base_Données!GC366-Base_Données!GD366</f>
        <v>0</v>
      </c>
      <c r="J364" s="154">
        <f t="shared" si="10"/>
        <v>0</v>
      </c>
      <c r="K364" s="154">
        <f>Base_Données!BK366-Base_Données!GE366</f>
        <v>0</v>
      </c>
      <c r="L364" s="159">
        <f t="shared" si="11"/>
        <v>0</v>
      </c>
      <c r="M364" s="158">
        <f>Base_Données!S366</f>
        <v>0</v>
      </c>
      <c r="N364" s="154">
        <f>Base_Données!T366-(Base_Données!BU366+Base_Données!BZ366+Base_Données!CC366)</f>
        <v>0</v>
      </c>
      <c r="O364" s="154">
        <f>Base_Données!AC366+Base_Données!AL366-(Base_Données!CI366)</f>
        <v>0</v>
      </c>
      <c r="P364" s="154">
        <f>L364+Base_Données!GJ366+Base_Données!GE366+Base_Données!GB366+Base_Données!FV366+Base_Données!FS366+Base_Données!FO366+Base_Données!FE366+Base_Données!DS366-(Base_Données!BK366+Base_Données!BH366+Base_Données!AU366)</f>
        <v>0</v>
      </c>
      <c r="Q364" s="189">
        <f>P364+Base_Données!AV366-Base_Données!FE366-Base_Données!FO366</f>
        <v>0</v>
      </c>
      <c r="R364" s="329">
        <f>SIG!Q364+Base_Données!BD366+Base_Données!BH366+Base_Données!BL366+Base_Données!BM366+Base_Données!BN366-Base_Données!GB366-Base_Données!GJ366-Base_Données!GF366</f>
        <v>0</v>
      </c>
    </row>
    <row r="365" spans="1:18" customFormat="1" x14ac:dyDescent="0.25">
      <c r="A365" s="328">
        <f>Base_Données!A367</f>
        <v>0</v>
      </c>
      <c r="B365" s="181">
        <f>Base_Données!B367</f>
        <v>0</v>
      </c>
      <c r="C365" s="158">
        <f>Base_Données!C367</f>
        <v>0</v>
      </c>
      <c r="D365" s="156">
        <f>Base_Données!Q367</f>
        <v>0</v>
      </c>
      <c r="E365" s="156">
        <f>Base_Données!BR367</f>
        <v>0</v>
      </c>
      <c r="F365" s="155">
        <f>Base_Données!R367</f>
        <v>0</v>
      </c>
      <c r="G365" s="154">
        <f>Base_Données!BS367</f>
        <v>0</v>
      </c>
      <c r="H365" s="155">
        <f>SIG!F365-SIG!G365</f>
        <v>0</v>
      </c>
      <c r="I365" s="159">
        <f>Base_Données!BI367+Base_Données!BJ367-Base_Données!GC367-Base_Données!GD367</f>
        <v>0</v>
      </c>
      <c r="J365" s="154">
        <f t="shared" si="10"/>
        <v>0</v>
      </c>
      <c r="K365" s="154">
        <f>Base_Données!BK367-Base_Données!GE367</f>
        <v>0</v>
      </c>
      <c r="L365" s="159">
        <f t="shared" si="11"/>
        <v>0</v>
      </c>
      <c r="M365" s="158">
        <f>Base_Données!S367</f>
        <v>0</v>
      </c>
      <c r="N365" s="154">
        <f>Base_Données!T367-(Base_Données!BU367+Base_Données!BZ367+Base_Données!CC367)</f>
        <v>0</v>
      </c>
      <c r="O365" s="154">
        <f>Base_Données!AC367+Base_Données!AL367-(Base_Données!CI367)</f>
        <v>0</v>
      </c>
      <c r="P365" s="154">
        <f>L365+Base_Données!GJ367+Base_Données!GE367+Base_Données!GB367+Base_Données!FV367+Base_Données!FS367+Base_Données!FO367+Base_Données!FE367+Base_Données!DS367-(Base_Données!BK367+Base_Données!BH367+Base_Données!AU367)</f>
        <v>0</v>
      </c>
      <c r="Q365" s="189">
        <f>P365+Base_Données!AV367-Base_Données!FE367-Base_Données!FO367</f>
        <v>0</v>
      </c>
      <c r="R365" s="329">
        <f>SIG!Q365+Base_Données!BD367+Base_Données!BH367+Base_Données!BL367+Base_Données!BM367+Base_Données!BN367-Base_Données!GB367-Base_Données!GJ367-Base_Données!GF367</f>
        <v>0</v>
      </c>
    </row>
    <row r="366" spans="1:18" customFormat="1" x14ac:dyDescent="0.25">
      <c r="A366" s="328">
        <f>Base_Données!A368</f>
        <v>0</v>
      </c>
      <c r="B366" s="181">
        <f>Base_Données!B368</f>
        <v>0</v>
      </c>
      <c r="C366" s="158">
        <f>Base_Données!C368</f>
        <v>0</v>
      </c>
      <c r="D366" s="156">
        <f>Base_Données!Q368</f>
        <v>0</v>
      </c>
      <c r="E366" s="156">
        <f>Base_Données!BR368</f>
        <v>0</v>
      </c>
      <c r="F366" s="155">
        <f>Base_Données!R368</f>
        <v>0</v>
      </c>
      <c r="G366" s="154">
        <f>Base_Données!BS368</f>
        <v>0</v>
      </c>
      <c r="H366" s="155">
        <f>SIG!F366-SIG!G366</f>
        <v>0</v>
      </c>
      <c r="I366" s="159">
        <f>Base_Données!BI368+Base_Données!BJ368-Base_Données!GC368-Base_Données!GD368</f>
        <v>0</v>
      </c>
      <c r="J366" s="154">
        <f t="shared" si="10"/>
        <v>0</v>
      </c>
      <c r="K366" s="154">
        <f>Base_Données!BK368-Base_Données!GE368</f>
        <v>0</v>
      </c>
      <c r="L366" s="159">
        <f t="shared" si="11"/>
        <v>0</v>
      </c>
      <c r="M366" s="158">
        <f>Base_Données!S368</f>
        <v>0</v>
      </c>
      <c r="N366" s="154">
        <f>Base_Données!T368-(Base_Données!BU368+Base_Données!BZ368+Base_Données!CC368)</f>
        <v>0</v>
      </c>
      <c r="O366" s="154">
        <f>Base_Données!AC368+Base_Données!AL368-(Base_Données!CI368)</f>
        <v>0</v>
      </c>
      <c r="P366" s="154">
        <f>L366+Base_Données!GJ368+Base_Données!GE368+Base_Données!GB368+Base_Données!FV368+Base_Données!FS368+Base_Données!FO368+Base_Données!FE368+Base_Données!DS368-(Base_Données!BK368+Base_Données!BH368+Base_Données!AU368)</f>
        <v>0</v>
      </c>
      <c r="Q366" s="189">
        <f>P366+Base_Données!AV368-Base_Données!FE368-Base_Données!FO368</f>
        <v>0</v>
      </c>
      <c r="R366" s="329">
        <f>SIG!Q366+Base_Données!BD368+Base_Données!BH368+Base_Données!BL368+Base_Données!BM368+Base_Données!BN368-Base_Données!GB368-Base_Données!GJ368-Base_Données!GF368</f>
        <v>0</v>
      </c>
    </row>
    <row r="367" spans="1:18" customFormat="1" x14ac:dyDescent="0.25">
      <c r="A367" s="328">
        <f>Base_Données!A369</f>
        <v>0</v>
      </c>
      <c r="B367" s="181">
        <f>Base_Données!B369</f>
        <v>0</v>
      </c>
      <c r="C367" s="158">
        <f>Base_Données!C369</f>
        <v>0</v>
      </c>
      <c r="D367" s="156">
        <f>Base_Données!Q369</f>
        <v>0</v>
      </c>
      <c r="E367" s="156">
        <f>Base_Données!BR369</f>
        <v>0</v>
      </c>
      <c r="F367" s="155">
        <f>Base_Données!R369</f>
        <v>0</v>
      </c>
      <c r="G367" s="154">
        <f>Base_Données!BS369</f>
        <v>0</v>
      </c>
      <c r="H367" s="155">
        <f>SIG!F367-SIG!G367</f>
        <v>0</v>
      </c>
      <c r="I367" s="159">
        <f>Base_Données!BI369+Base_Données!BJ369-Base_Données!GC369-Base_Données!GD369</f>
        <v>0</v>
      </c>
      <c r="J367" s="154">
        <f t="shared" si="10"/>
        <v>0</v>
      </c>
      <c r="K367" s="154">
        <f>Base_Données!BK369-Base_Données!GE369</f>
        <v>0</v>
      </c>
      <c r="L367" s="159">
        <f t="shared" si="11"/>
        <v>0</v>
      </c>
      <c r="M367" s="158">
        <f>Base_Données!S369</f>
        <v>0</v>
      </c>
      <c r="N367" s="154">
        <f>Base_Données!T369-(Base_Données!BU369+Base_Données!BZ369+Base_Données!CC369)</f>
        <v>0</v>
      </c>
      <c r="O367" s="154">
        <f>Base_Données!AC369+Base_Données!AL369-(Base_Données!CI369)</f>
        <v>0</v>
      </c>
      <c r="P367" s="154">
        <f>L367+Base_Données!GJ369+Base_Données!GE369+Base_Données!GB369+Base_Données!FV369+Base_Données!FS369+Base_Données!FO369+Base_Données!FE369+Base_Données!DS369-(Base_Données!BK369+Base_Données!BH369+Base_Données!AU369)</f>
        <v>0</v>
      </c>
      <c r="Q367" s="189">
        <f>P367+Base_Données!AV369-Base_Données!FE369-Base_Données!FO369</f>
        <v>0</v>
      </c>
      <c r="R367" s="329">
        <f>SIG!Q367+Base_Données!BD369+Base_Données!BH369+Base_Données!BL369+Base_Données!BM369+Base_Données!BN369-Base_Données!GB369-Base_Données!GJ369-Base_Données!GF369</f>
        <v>0</v>
      </c>
    </row>
    <row r="368" spans="1:18" customFormat="1" x14ac:dyDescent="0.25">
      <c r="A368" s="328">
        <f>Base_Données!A370</f>
        <v>0</v>
      </c>
      <c r="B368" s="181">
        <f>Base_Données!B370</f>
        <v>0</v>
      </c>
      <c r="C368" s="158">
        <f>Base_Données!C370</f>
        <v>0</v>
      </c>
      <c r="D368" s="156">
        <f>Base_Données!Q370</f>
        <v>0</v>
      </c>
      <c r="E368" s="156">
        <f>Base_Données!BR370</f>
        <v>0</v>
      </c>
      <c r="F368" s="155">
        <f>Base_Données!R370</f>
        <v>0</v>
      </c>
      <c r="G368" s="154">
        <f>Base_Données!BS370</f>
        <v>0</v>
      </c>
      <c r="H368" s="155">
        <f>SIG!F368-SIG!G368</f>
        <v>0</v>
      </c>
      <c r="I368" s="159">
        <f>Base_Données!BI370+Base_Données!BJ370-Base_Données!GC370-Base_Données!GD370</f>
        <v>0</v>
      </c>
      <c r="J368" s="154">
        <f t="shared" si="10"/>
        <v>0</v>
      </c>
      <c r="K368" s="154">
        <f>Base_Données!BK370-Base_Données!GE370</f>
        <v>0</v>
      </c>
      <c r="L368" s="159">
        <f t="shared" si="11"/>
        <v>0</v>
      </c>
      <c r="M368" s="158">
        <f>Base_Données!S370</f>
        <v>0</v>
      </c>
      <c r="N368" s="154">
        <f>Base_Données!T370-(Base_Données!BU370+Base_Données!BZ370+Base_Données!CC370)</f>
        <v>0</v>
      </c>
      <c r="O368" s="154">
        <f>Base_Données!AC370+Base_Données!AL370-(Base_Données!CI370)</f>
        <v>0</v>
      </c>
      <c r="P368" s="154">
        <f>L368+Base_Données!GJ370+Base_Données!GE370+Base_Données!GB370+Base_Données!FV370+Base_Données!FS370+Base_Données!FO370+Base_Données!FE370+Base_Données!DS370-(Base_Données!BK370+Base_Données!BH370+Base_Données!AU370)</f>
        <v>0</v>
      </c>
      <c r="Q368" s="189">
        <f>P368+Base_Données!AV370-Base_Données!FE370-Base_Données!FO370</f>
        <v>0</v>
      </c>
      <c r="R368" s="329">
        <f>SIG!Q368+Base_Données!BD370+Base_Données!BH370+Base_Données!BL370+Base_Données!BM370+Base_Données!BN370-Base_Données!GB370-Base_Données!GJ370-Base_Données!GF370</f>
        <v>0</v>
      </c>
    </row>
    <row r="369" spans="1:18" customFormat="1" x14ac:dyDescent="0.25">
      <c r="A369" s="328">
        <f>Base_Données!A371</f>
        <v>0</v>
      </c>
      <c r="B369" s="181">
        <f>Base_Données!B371</f>
        <v>0</v>
      </c>
      <c r="C369" s="158">
        <f>Base_Données!C371</f>
        <v>0</v>
      </c>
      <c r="D369" s="156">
        <f>Base_Données!Q371</f>
        <v>0</v>
      </c>
      <c r="E369" s="156">
        <f>Base_Données!BR371</f>
        <v>0</v>
      </c>
      <c r="F369" s="155">
        <f>Base_Données!R371</f>
        <v>0</v>
      </c>
      <c r="G369" s="154">
        <f>Base_Données!BS371</f>
        <v>0</v>
      </c>
      <c r="H369" s="155">
        <f>SIG!F369-SIG!G369</f>
        <v>0</v>
      </c>
      <c r="I369" s="159">
        <f>Base_Données!BI371+Base_Données!BJ371-Base_Données!GC371-Base_Données!GD371</f>
        <v>0</v>
      </c>
      <c r="J369" s="154">
        <f t="shared" si="10"/>
        <v>0</v>
      </c>
      <c r="K369" s="154">
        <f>Base_Données!BK371-Base_Données!GE371</f>
        <v>0</v>
      </c>
      <c r="L369" s="159">
        <f t="shared" si="11"/>
        <v>0</v>
      </c>
      <c r="M369" s="158">
        <f>Base_Données!S371</f>
        <v>0</v>
      </c>
      <c r="N369" s="154">
        <f>Base_Données!T371-(Base_Données!BU371+Base_Données!BZ371+Base_Données!CC371)</f>
        <v>0</v>
      </c>
      <c r="O369" s="154">
        <f>Base_Données!AC371+Base_Données!AL371-(Base_Données!CI371)</f>
        <v>0</v>
      </c>
      <c r="P369" s="154">
        <f>L369+Base_Données!GJ371+Base_Données!GE371+Base_Données!GB371+Base_Données!FV371+Base_Données!FS371+Base_Données!FO371+Base_Données!FE371+Base_Données!DS371-(Base_Données!BK371+Base_Données!BH371+Base_Données!AU371)</f>
        <v>0</v>
      </c>
      <c r="Q369" s="189">
        <f>P369+Base_Données!AV371-Base_Données!FE371-Base_Données!FO371</f>
        <v>0</v>
      </c>
      <c r="R369" s="329">
        <f>SIG!Q369+Base_Données!BD371+Base_Données!BH371+Base_Données!BL371+Base_Données!BM371+Base_Données!BN371-Base_Données!GB371-Base_Données!GJ371-Base_Données!GF371</f>
        <v>0</v>
      </c>
    </row>
    <row r="370" spans="1:18" customFormat="1" x14ac:dyDescent="0.25">
      <c r="A370" s="328">
        <f>Base_Données!A372</f>
        <v>0</v>
      </c>
      <c r="B370" s="181">
        <f>Base_Données!B372</f>
        <v>0</v>
      </c>
      <c r="C370" s="158">
        <f>Base_Données!C372</f>
        <v>0</v>
      </c>
      <c r="D370" s="156">
        <f>Base_Données!Q372</f>
        <v>0</v>
      </c>
      <c r="E370" s="156">
        <f>Base_Données!BR372</f>
        <v>0</v>
      </c>
      <c r="F370" s="155">
        <f>Base_Données!R372</f>
        <v>0</v>
      </c>
      <c r="G370" s="154">
        <f>Base_Données!BS372</f>
        <v>0</v>
      </c>
      <c r="H370" s="155">
        <f>SIG!F370-SIG!G370</f>
        <v>0</v>
      </c>
      <c r="I370" s="159">
        <f>Base_Données!BI372+Base_Données!BJ372-Base_Données!GC372-Base_Données!GD372</f>
        <v>0</v>
      </c>
      <c r="J370" s="154">
        <f t="shared" si="10"/>
        <v>0</v>
      </c>
      <c r="K370" s="154">
        <f>Base_Données!BK372-Base_Données!GE372</f>
        <v>0</v>
      </c>
      <c r="L370" s="159">
        <f t="shared" si="11"/>
        <v>0</v>
      </c>
      <c r="M370" s="158">
        <f>Base_Données!S372</f>
        <v>0</v>
      </c>
      <c r="N370" s="154">
        <f>Base_Données!T372-(Base_Données!BU372+Base_Données!BZ372+Base_Données!CC372)</f>
        <v>0</v>
      </c>
      <c r="O370" s="154">
        <f>Base_Données!AC372+Base_Données!AL372-(Base_Données!CI372)</f>
        <v>0</v>
      </c>
      <c r="P370" s="154">
        <f>L370+Base_Données!GJ372+Base_Données!GE372+Base_Données!GB372+Base_Données!FV372+Base_Données!FS372+Base_Données!FO372+Base_Données!FE372+Base_Données!DS372-(Base_Données!BK372+Base_Données!BH372+Base_Données!AU372)</f>
        <v>0</v>
      </c>
      <c r="Q370" s="189">
        <f>P370+Base_Données!AV372-Base_Données!FE372-Base_Données!FO372</f>
        <v>0</v>
      </c>
      <c r="R370" s="329">
        <f>SIG!Q370+Base_Données!BD372+Base_Données!BH372+Base_Données!BL372+Base_Données!BM372+Base_Données!BN372-Base_Données!GB372-Base_Données!GJ372-Base_Données!GF372</f>
        <v>0</v>
      </c>
    </row>
    <row r="371" spans="1:18" customFormat="1" x14ac:dyDescent="0.25">
      <c r="A371" s="328">
        <f>Base_Données!A373</f>
        <v>0</v>
      </c>
      <c r="B371" s="181">
        <f>Base_Données!B373</f>
        <v>0</v>
      </c>
      <c r="C371" s="158">
        <f>Base_Données!C373</f>
        <v>0</v>
      </c>
      <c r="D371" s="156">
        <f>Base_Données!Q373</f>
        <v>0</v>
      </c>
      <c r="E371" s="156">
        <f>Base_Données!BR373</f>
        <v>0</v>
      </c>
      <c r="F371" s="155">
        <f>Base_Données!R373</f>
        <v>0</v>
      </c>
      <c r="G371" s="154">
        <f>Base_Données!BS373</f>
        <v>0</v>
      </c>
      <c r="H371" s="155">
        <f>SIG!F371-SIG!G371</f>
        <v>0</v>
      </c>
      <c r="I371" s="159">
        <f>Base_Données!BI373+Base_Données!BJ373-Base_Données!GC373-Base_Données!GD373</f>
        <v>0</v>
      </c>
      <c r="J371" s="154">
        <f t="shared" si="10"/>
        <v>0</v>
      </c>
      <c r="K371" s="154">
        <f>Base_Données!BK373-Base_Données!GE373</f>
        <v>0</v>
      </c>
      <c r="L371" s="159">
        <f t="shared" si="11"/>
        <v>0</v>
      </c>
      <c r="M371" s="158">
        <f>Base_Données!S373</f>
        <v>0</v>
      </c>
      <c r="N371" s="154">
        <f>Base_Données!T373-(Base_Données!BU373+Base_Données!BZ373+Base_Données!CC373)</f>
        <v>0</v>
      </c>
      <c r="O371" s="154">
        <f>Base_Données!AC373+Base_Données!AL373-(Base_Données!CI373)</f>
        <v>0</v>
      </c>
      <c r="P371" s="154">
        <f>L371+Base_Données!GJ373+Base_Données!GE373+Base_Données!GB373+Base_Données!FV373+Base_Données!FS373+Base_Données!FO373+Base_Données!FE373+Base_Données!DS373-(Base_Données!BK373+Base_Données!BH373+Base_Données!AU373)</f>
        <v>0</v>
      </c>
      <c r="Q371" s="189">
        <f>P371+Base_Données!AV373-Base_Données!FE373-Base_Données!FO373</f>
        <v>0</v>
      </c>
      <c r="R371" s="329">
        <f>SIG!Q371+Base_Données!BD373+Base_Données!BH373+Base_Données!BL373+Base_Données!BM373+Base_Données!BN373-Base_Données!GB373-Base_Données!GJ373-Base_Données!GF373</f>
        <v>0</v>
      </c>
    </row>
    <row r="372" spans="1:18" customFormat="1" x14ac:dyDescent="0.25">
      <c r="A372" s="328">
        <f>Base_Données!A374</f>
        <v>0</v>
      </c>
      <c r="B372" s="181">
        <f>Base_Données!B374</f>
        <v>0</v>
      </c>
      <c r="C372" s="158">
        <f>Base_Données!C374</f>
        <v>0</v>
      </c>
      <c r="D372" s="156">
        <f>Base_Données!Q374</f>
        <v>0</v>
      </c>
      <c r="E372" s="156">
        <f>Base_Données!BR374</f>
        <v>0</v>
      </c>
      <c r="F372" s="155">
        <f>Base_Données!R374</f>
        <v>0</v>
      </c>
      <c r="G372" s="154">
        <f>Base_Données!BS374</f>
        <v>0</v>
      </c>
      <c r="H372" s="155">
        <f>SIG!F372-SIG!G372</f>
        <v>0</v>
      </c>
      <c r="I372" s="159">
        <f>Base_Données!BI374+Base_Données!BJ374-Base_Données!GC374-Base_Données!GD374</f>
        <v>0</v>
      </c>
      <c r="J372" s="154">
        <f t="shared" si="10"/>
        <v>0</v>
      </c>
      <c r="K372" s="154">
        <f>Base_Données!BK374-Base_Données!GE374</f>
        <v>0</v>
      </c>
      <c r="L372" s="159">
        <f t="shared" si="11"/>
        <v>0</v>
      </c>
      <c r="M372" s="158">
        <f>Base_Données!S374</f>
        <v>0</v>
      </c>
      <c r="N372" s="154">
        <f>Base_Données!T374-(Base_Données!BU374+Base_Données!BZ374+Base_Données!CC374)</f>
        <v>0</v>
      </c>
      <c r="O372" s="154">
        <f>Base_Données!AC374+Base_Données!AL374-(Base_Données!CI374)</f>
        <v>0</v>
      </c>
      <c r="P372" s="154">
        <f>L372+Base_Données!GJ374+Base_Données!GE374+Base_Données!GB374+Base_Données!FV374+Base_Données!FS374+Base_Données!FO374+Base_Données!FE374+Base_Données!DS374-(Base_Données!BK374+Base_Données!BH374+Base_Données!AU374)</f>
        <v>0</v>
      </c>
      <c r="Q372" s="189">
        <f>P372+Base_Données!AV374-Base_Données!FE374-Base_Données!FO374</f>
        <v>0</v>
      </c>
      <c r="R372" s="329">
        <f>SIG!Q372+Base_Données!BD374+Base_Données!BH374+Base_Données!BL374+Base_Données!BM374+Base_Données!BN374-Base_Données!GB374-Base_Données!GJ374-Base_Données!GF374</f>
        <v>0</v>
      </c>
    </row>
    <row r="373" spans="1:18" customFormat="1" x14ac:dyDescent="0.25">
      <c r="A373" s="328">
        <f>Base_Données!A375</f>
        <v>0</v>
      </c>
      <c r="B373" s="181">
        <f>Base_Données!B375</f>
        <v>0</v>
      </c>
      <c r="C373" s="158">
        <f>Base_Données!C375</f>
        <v>0</v>
      </c>
      <c r="D373" s="156">
        <f>Base_Données!Q375</f>
        <v>0</v>
      </c>
      <c r="E373" s="156">
        <f>Base_Données!BR375</f>
        <v>0</v>
      </c>
      <c r="F373" s="155">
        <f>Base_Données!R375</f>
        <v>0</v>
      </c>
      <c r="G373" s="154">
        <f>Base_Données!BS375</f>
        <v>0</v>
      </c>
      <c r="H373" s="155">
        <f>SIG!F373-SIG!G373</f>
        <v>0</v>
      </c>
      <c r="I373" s="159">
        <f>Base_Données!BI375+Base_Données!BJ375-Base_Données!GC375-Base_Données!GD375</f>
        <v>0</v>
      </c>
      <c r="J373" s="154">
        <f t="shared" si="10"/>
        <v>0</v>
      </c>
      <c r="K373" s="154">
        <f>Base_Données!BK375-Base_Données!GE375</f>
        <v>0</v>
      </c>
      <c r="L373" s="159">
        <f t="shared" si="11"/>
        <v>0</v>
      </c>
      <c r="M373" s="158">
        <f>Base_Données!S375</f>
        <v>0</v>
      </c>
      <c r="N373" s="154">
        <f>Base_Données!T375-(Base_Données!BU375+Base_Données!BZ375+Base_Données!CC375)</f>
        <v>0</v>
      </c>
      <c r="O373" s="154">
        <f>Base_Données!AC375+Base_Données!AL375-(Base_Données!CI375)</f>
        <v>0</v>
      </c>
      <c r="P373" s="154">
        <f>L373+Base_Données!GJ375+Base_Données!GE375+Base_Données!GB375+Base_Données!FV375+Base_Données!FS375+Base_Données!FO375+Base_Données!FE375+Base_Données!DS375-(Base_Données!BK375+Base_Données!BH375+Base_Données!AU375)</f>
        <v>0</v>
      </c>
      <c r="Q373" s="189">
        <f>P373+Base_Données!AV375-Base_Données!FE375-Base_Données!FO375</f>
        <v>0</v>
      </c>
      <c r="R373" s="329">
        <f>SIG!Q373+Base_Données!BD375+Base_Données!BH375+Base_Données!BL375+Base_Données!BM375+Base_Données!BN375-Base_Données!GB375-Base_Données!GJ375-Base_Données!GF375</f>
        <v>0</v>
      </c>
    </row>
    <row r="374" spans="1:18" customFormat="1" x14ac:dyDescent="0.25">
      <c r="A374" s="328">
        <f>Base_Données!A376</f>
        <v>0</v>
      </c>
      <c r="B374" s="181">
        <f>Base_Données!B376</f>
        <v>0</v>
      </c>
      <c r="C374" s="158">
        <f>Base_Données!C376</f>
        <v>0</v>
      </c>
      <c r="D374" s="156">
        <f>Base_Données!Q376</f>
        <v>0</v>
      </c>
      <c r="E374" s="156">
        <f>Base_Données!BR376</f>
        <v>0</v>
      </c>
      <c r="F374" s="155">
        <f>Base_Données!R376</f>
        <v>0</v>
      </c>
      <c r="G374" s="154">
        <f>Base_Données!BS376</f>
        <v>0</v>
      </c>
      <c r="H374" s="155">
        <f>SIG!F374-SIG!G374</f>
        <v>0</v>
      </c>
      <c r="I374" s="159">
        <f>Base_Données!BI376+Base_Données!BJ376-Base_Données!GC376-Base_Données!GD376</f>
        <v>0</v>
      </c>
      <c r="J374" s="154">
        <f t="shared" si="10"/>
        <v>0</v>
      </c>
      <c r="K374" s="154">
        <f>Base_Données!BK376-Base_Données!GE376</f>
        <v>0</v>
      </c>
      <c r="L374" s="159">
        <f t="shared" si="11"/>
        <v>0</v>
      </c>
      <c r="M374" s="158">
        <f>Base_Données!S376</f>
        <v>0</v>
      </c>
      <c r="N374" s="154">
        <f>Base_Données!T376-(Base_Données!BU376+Base_Données!BZ376+Base_Données!CC376)</f>
        <v>0</v>
      </c>
      <c r="O374" s="154">
        <f>Base_Données!AC376+Base_Données!AL376-(Base_Données!CI376)</f>
        <v>0</v>
      </c>
      <c r="P374" s="154">
        <f>L374+Base_Données!GJ376+Base_Données!GE376+Base_Données!GB376+Base_Données!FV376+Base_Données!FS376+Base_Données!FO376+Base_Données!FE376+Base_Données!DS376-(Base_Données!BK376+Base_Données!BH376+Base_Données!AU376)</f>
        <v>0</v>
      </c>
      <c r="Q374" s="189">
        <f>P374+Base_Données!AV376-Base_Données!FE376-Base_Données!FO376</f>
        <v>0</v>
      </c>
      <c r="R374" s="329">
        <f>SIG!Q374+Base_Données!BD376+Base_Données!BH376+Base_Données!BL376+Base_Données!BM376+Base_Données!BN376-Base_Données!GB376-Base_Données!GJ376-Base_Données!GF376</f>
        <v>0</v>
      </c>
    </row>
    <row r="375" spans="1:18" customFormat="1" x14ac:dyDescent="0.25">
      <c r="A375" s="328">
        <f>Base_Données!A377</f>
        <v>0</v>
      </c>
      <c r="B375" s="181">
        <f>Base_Données!B377</f>
        <v>0</v>
      </c>
      <c r="C375" s="158">
        <f>Base_Données!C377</f>
        <v>0</v>
      </c>
      <c r="D375" s="156">
        <f>Base_Données!Q377</f>
        <v>0</v>
      </c>
      <c r="E375" s="156">
        <f>Base_Données!BR377</f>
        <v>0</v>
      </c>
      <c r="F375" s="155">
        <f>Base_Données!R377</f>
        <v>0</v>
      </c>
      <c r="G375" s="154">
        <f>Base_Données!BS377</f>
        <v>0</v>
      </c>
      <c r="H375" s="155">
        <f>SIG!F375-SIG!G375</f>
        <v>0</v>
      </c>
      <c r="I375" s="159">
        <f>Base_Données!BI377+Base_Données!BJ377-Base_Données!GC377-Base_Données!GD377</f>
        <v>0</v>
      </c>
      <c r="J375" s="154">
        <f t="shared" si="10"/>
        <v>0</v>
      </c>
      <c r="K375" s="154">
        <f>Base_Données!BK377-Base_Données!GE377</f>
        <v>0</v>
      </c>
      <c r="L375" s="159">
        <f t="shared" si="11"/>
        <v>0</v>
      </c>
      <c r="M375" s="158">
        <f>Base_Données!S377</f>
        <v>0</v>
      </c>
      <c r="N375" s="154">
        <f>Base_Données!T377-(Base_Données!BU377+Base_Données!BZ377+Base_Données!CC377)</f>
        <v>0</v>
      </c>
      <c r="O375" s="154">
        <f>Base_Données!AC377+Base_Données!AL377-(Base_Données!CI377)</f>
        <v>0</v>
      </c>
      <c r="P375" s="154">
        <f>L375+Base_Données!GJ377+Base_Données!GE377+Base_Données!GB377+Base_Données!FV377+Base_Données!FS377+Base_Données!FO377+Base_Données!FE377+Base_Données!DS377-(Base_Données!BK377+Base_Données!BH377+Base_Données!AU377)</f>
        <v>0</v>
      </c>
      <c r="Q375" s="189">
        <f>P375+Base_Données!AV377-Base_Données!FE377-Base_Données!FO377</f>
        <v>0</v>
      </c>
      <c r="R375" s="329">
        <f>SIG!Q375+Base_Données!BD377+Base_Données!BH377+Base_Données!BL377+Base_Données!BM377+Base_Données!BN377-Base_Données!GB377-Base_Données!GJ377-Base_Données!GF377</f>
        <v>0</v>
      </c>
    </row>
    <row r="376" spans="1:18" customFormat="1" x14ac:dyDescent="0.25">
      <c r="A376" s="328">
        <f>Base_Données!A378</f>
        <v>0</v>
      </c>
      <c r="B376" s="181">
        <f>Base_Données!B378</f>
        <v>0</v>
      </c>
      <c r="C376" s="158">
        <f>Base_Données!C378</f>
        <v>0</v>
      </c>
      <c r="D376" s="156">
        <f>Base_Données!Q378</f>
        <v>0</v>
      </c>
      <c r="E376" s="156">
        <f>Base_Données!BR378</f>
        <v>0</v>
      </c>
      <c r="F376" s="155">
        <f>Base_Données!R378</f>
        <v>0</v>
      </c>
      <c r="G376" s="154">
        <f>Base_Données!BS378</f>
        <v>0</v>
      </c>
      <c r="H376" s="155">
        <f>SIG!F376-SIG!G376</f>
        <v>0</v>
      </c>
      <c r="I376" s="159">
        <f>Base_Données!BI378+Base_Données!BJ378-Base_Données!GC378-Base_Données!GD378</f>
        <v>0</v>
      </c>
      <c r="J376" s="154">
        <f t="shared" si="10"/>
        <v>0</v>
      </c>
      <c r="K376" s="154">
        <f>Base_Données!BK378-Base_Données!GE378</f>
        <v>0</v>
      </c>
      <c r="L376" s="159">
        <f t="shared" si="11"/>
        <v>0</v>
      </c>
      <c r="M376" s="158">
        <f>Base_Données!S378</f>
        <v>0</v>
      </c>
      <c r="N376" s="154">
        <f>Base_Données!T378-(Base_Données!BU378+Base_Données!BZ378+Base_Données!CC378)</f>
        <v>0</v>
      </c>
      <c r="O376" s="154">
        <f>Base_Données!AC378+Base_Données!AL378-(Base_Données!CI378)</f>
        <v>0</v>
      </c>
      <c r="P376" s="154">
        <f>L376+Base_Données!GJ378+Base_Données!GE378+Base_Données!GB378+Base_Données!FV378+Base_Données!FS378+Base_Données!FO378+Base_Données!FE378+Base_Données!DS378-(Base_Données!BK378+Base_Données!BH378+Base_Données!AU378)</f>
        <v>0</v>
      </c>
      <c r="Q376" s="189">
        <f>P376+Base_Données!AV378-Base_Données!FE378-Base_Données!FO378</f>
        <v>0</v>
      </c>
      <c r="R376" s="329">
        <f>SIG!Q376+Base_Données!BD378+Base_Données!BH378+Base_Données!BL378+Base_Données!BM378+Base_Données!BN378-Base_Données!GB378-Base_Données!GJ378-Base_Données!GF378</f>
        <v>0</v>
      </c>
    </row>
    <row r="377" spans="1:18" customFormat="1" x14ac:dyDescent="0.25">
      <c r="A377" s="328">
        <f>Base_Données!A379</f>
        <v>0</v>
      </c>
      <c r="B377" s="181">
        <f>Base_Données!B379</f>
        <v>0</v>
      </c>
      <c r="C377" s="158">
        <f>Base_Données!C379</f>
        <v>0</v>
      </c>
      <c r="D377" s="156">
        <f>Base_Données!Q379</f>
        <v>0</v>
      </c>
      <c r="E377" s="156">
        <f>Base_Données!BR379</f>
        <v>0</v>
      </c>
      <c r="F377" s="155">
        <f>Base_Données!R379</f>
        <v>0</v>
      </c>
      <c r="G377" s="154">
        <f>Base_Données!BS379</f>
        <v>0</v>
      </c>
      <c r="H377" s="155">
        <f>SIG!F377-SIG!G377</f>
        <v>0</v>
      </c>
      <c r="I377" s="159">
        <f>Base_Données!BI379+Base_Données!BJ379-Base_Données!GC379-Base_Données!GD379</f>
        <v>0</v>
      </c>
      <c r="J377" s="154">
        <f t="shared" si="10"/>
        <v>0</v>
      </c>
      <c r="K377" s="154">
        <f>Base_Données!BK379-Base_Données!GE379</f>
        <v>0</v>
      </c>
      <c r="L377" s="159">
        <f t="shared" si="11"/>
        <v>0</v>
      </c>
      <c r="M377" s="158">
        <f>Base_Données!S379</f>
        <v>0</v>
      </c>
      <c r="N377" s="154">
        <f>Base_Données!T379-(Base_Données!BU379+Base_Données!BZ379+Base_Données!CC379)</f>
        <v>0</v>
      </c>
      <c r="O377" s="154">
        <f>Base_Données!AC379+Base_Données!AL379-(Base_Données!CI379)</f>
        <v>0</v>
      </c>
      <c r="P377" s="154">
        <f>L377+Base_Données!GJ379+Base_Données!GE379+Base_Données!GB379+Base_Données!FV379+Base_Données!FS379+Base_Données!FO379+Base_Données!FE379+Base_Données!DS379-(Base_Données!BK379+Base_Données!BH379+Base_Données!AU379)</f>
        <v>0</v>
      </c>
      <c r="Q377" s="189">
        <f>P377+Base_Données!AV379-Base_Données!FE379-Base_Données!FO379</f>
        <v>0</v>
      </c>
      <c r="R377" s="329">
        <f>SIG!Q377+Base_Données!BD379+Base_Données!BH379+Base_Données!BL379+Base_Données!BM379+Base_Données!BN379-Base_Données!GB379-Base_Données!GJ379-Base_Données!GF379</f>
        <v>0</v>
      </c>
    </row>
    <row r="378" spans="1:18" customFormat="1" x14ac:dyDescent="0.25">
      <c r="A378" s="328">
        <f>Base_Données!A380</f>
        <v>0</v>
      </c>
      <c r="B378" s="181">
        <f>Base_Données!B380</f>
        <v>0</v>
      </c>
      <c r="C378" s="158">
        <f>Base_Données!C380</f>
        <v>0</v>
      </c>
      <c r="D378" s="156">
        <f>Base_Données!Q380</f>
        <v>0</v>
      </c>
      <c r="E378" s="156">
        <f>Base_Données!BR380</f>
        <v>0</v>
      </c>
      <c r="F378" s="155">
        <f>Base_Données!R380</f>
        <v>0</v>
      </c>
      <c r="G378" s="154">
        <f>Base_Données!BS380</f>
        <v>0</v>
      </c>
      <c r="H378" s="155">
        <f>SIG!F378-SIG!G378</f>
        <v>0</v>
      </c>
      <c r="I378" s="159">
        <f>Base_Données!BI380+Base_Données!BJ380-Base_Données!GC380-Base_Données!GD380</f>
        <v>0</v>
      </c>
      <c r="J378" s="154">
        <f t="shared" si="10"/>
        <v>0</v>
      </c>
      <c r="K378" s="154">
        <f>Base_Données!BK380-Base_Données!GE380</f>
        <v>0</v>
      </c>
      <c r="L378" s="159">
        <f t="shared" si="11"/>
        <v>0</v>
      </c>
      <c r="M378" s="158">
        <f>Base_Données!S380</f>
        <v>0</v>
      </c>
      <c r="N378" s="154">
        <f>Base_Données!T380-(Base_Données!BU380+Base_Données!BZ380+Base_Données!CC380)</f>
        <v>0</v>
      </c>
      <c r="O378" s="154">
        <f>Base_Données!AC380+Base_Données!AL380-(Base_Données!CI380)</f>
        <v>0</v>
      </c>
      <c r="P378" s="154">
        <f>L378+Base_Données!GJ380+Base_Données!GE380+Base_Données!GB380+Base_Données!FV380+Base_Données!FS380+Base_Données!FO380+Base_Données!FE380+Base_Données!DS380-(Base_Données!BK380+Base_Données!BH380+Base_Données!AU380)</f>
        <v>0</v>
      </c>
      <c r="Q378" s="189">
        <f>P378+Base_Données!AV380-Base_Données!FE380-Base_Données!FO380</f>
        <v>0</v>
      </c>
      <c r="R378" s="329">
        <f>SIG!Q378+Base_Données!BD380+Base_Données!BH380+Base_Données!BL380+Base_Données!BM380+Base_Données!BN380-Base_Données!GB380-Base_Données!GJ380-Base_Données!GF380</f>
        <v>0</v>
      </c>
    </row>
    <row r="379" spans="1:18" customFormat="1" x14ac:dyDescent="0.25">
      <c r="A379" s="328">
        <f>Base_Données!A381</f>
        <v>0</v>
      </c>
      <c r="B379" s="181">
        <f>Base_Données!B381</f>
        <v>0</v>
      </c>
      <c r="C379" s="158">
        <f>Base_Données!C381</f>
        <v>0</v>
      </c>
      <c r="D379" s="156">
        <f>Base_Données!Q381</f>
        <v>0</v>
      </c>
      <c r="E379" s="156">
        <f>Base_Données!BR381</f>
        <v>0</v>
      </c>
      <c r="F379" s="155">
        <f>Base_Données!R381</f>
        <v>0</v>
      </c>
      <c r="G379" s="154">
        <f>Base_Données!BS381</f>
        <v>0</v>
      </c>
      <c r="H379" s="155">
        <f>SIG!F379-SIG!G379</f>
        <v>0</v>
      </c>
      <c r="I379" s="159">
        <f>Base_Données!BI381+Base_Données!BJ381-Base_Données!GC381-Base_Données!GD381</f>
        <v>0</v>
      </c>
      <c r="J379" s="154">
        <f t="shared" si="10"/>
        <v>0</v>
      </c>
      <c r="K379" s="154">
        <f>Base_Données!BK381-Base_Données!GE381</f>
        <v>0</v>
      </c>
      <c r="L379" s="159">
        <f t="shared" si="11"/>
        <v>0</v>
      </c>
      <c r="M379" s="158">
        <f>Base_Données!S381</f>
        <v>0</v>
      </c>
      <c r="N379" s="154">
        <f>Base_Données!T381-(Base_Données!BU381+Base_Données!BZ381+Base_Données!CC381)</f>
        <v>0</v>
      </c>
      <c r="O379" s="154">
        <f>Base_Données!AC381+Base_Données!AL381-(Base_Données!CI381)</f>
        <v>0</v>
      </c>
      <c r="P379" s="154">
        <f>L379+Base_Données!GJ381+Base_Données!GE381+Base_Données!GB381+Base_Données!FV381+Base_Données!FS381+Base_Données!FO381+Base_Données!FE381+Base_Données!DS381-(Base_Données!BK381+Base_Données!BH381+Base_Données!AU381)</f>
        <v>0</v>
      </c>
      <c r="Q379" s="189">
        <f>P379+Base_Données!AV381-Base_Données!FE381-Base_Données!FO381</f>
        <v>0</v>
      </c>
      <c r="R379" s="329">
        <f>SIG!Q379+Base_Données!BD381+Base_Données!BH381+Base_Données!BL381+Base_Données!BM381+Base_Données!BN381-Base_Données!GB381-Base_Données!GJ381-Base_Données!GF381</f>
        <v>0</v>
      </c>
    </row>
    <row r="380" spans="1:18" customFormat="1" x14ac:dyDescent="0.25">
      <c r="A380" s="328">
        <f>Base_Données!A382</f>
        <v>0</v>
      </c>
      <c r="B380" s="181">
        <f>Base_Données!B382</f>
        <v>0</v>
      </c>
      <c r="C380" s="158">
        <f>Base_Données!C382</f>
        <v>0</v>
      </c>
      <c r="D380" s="156">
        <f>Base_Données!Q382</f>
        <v>0</v>
      </c>
      <c r="E380" s="156">
        <f>Base_Données!BR382</f>
        <v>0</v>
      </c>
      <c r="F380" s="155">
        <f>Base_Données!R382</f>
        <v>0</v>
      </c>
      <c r="G380" s="154">
        <f>Base_Données!BS382</f>
        <v>0</v>
      </c>
      <c r="H380" s="155">
        <f>SIG!F380-SIG!G380</f>
        <v>0</v>
      </c>
      <c r="I380" s="159">
        <f>Base_Données!BI382+Base_Données!BJ382-Base_Données!GC382-Base_Données!GD382</f>
        <v>0</v>
      </c>
      <c r="J380" s="154">
        <f t="shared" si="10"/>
        <v>0</v>
      </c>
      <c r="K380" s="154">
        <f>Base_Données!BK382-Base_Données!GE382</f>
        <v>0</v>
      </c>
      <c r="L380" s="159">
        <f t="shared" si="11"/>
        <v>0</v>
      </c>
      <c r="M380" s="158">
        <f>Base_Données!S382</f>
        <v>0</v>
      </c>
      <c r="N380" s="154">
        <f>Base_Données!T382-(Base_Données!BU382+Base_Données!BZ382+Base_Données!CC382)</f>
        <v>0</v>
      </c>
      <c r="O380" s="154">
        <f>Base_Données!AC382+Base_Données!AL382-(Base_Données!CI382)</f>
        <v>0</v>
      </c>
      <c r="P380" s="154">
        <f>L380+Base_Données!GJ382+Base_Données!GE382+Base_Données!GB382+Base_Données!FV382+Base_Données!FS382+Base_Données!FO382+Base_Données!FE382+Base_Données!DS382-(Base_Données!BK382+Base_Données!BH382+Base_Données!AU382)</f>
        <v>0</v>
      </c>
      <c r="Q380" s="189">
        <f>P380+Base_Données!AV382-Base_Données!FE382-Base_Données!FO382</f>
        <v>0</v>
      </c>
      <c r="R380" s="329">
        <f>SIG!Q380+Base_Données!BD382+Base_Données!BH382+Base_Données!BL382+Base_Données!BM382+Base_Données!BN382-Base_Données!GB382-Base_Données!GJ382-Base_Données!GF382</f>
        <v>0</v>
      </c>
    </row>
    <row r="381" spans="1:18" customFormat="1" x14ac:dyDescent="0.25">
      <c r="A381" s="328">
        <f>Base_Données!A383</f>
        <v>0</v>
      </c>
      <c r="B381" s="181">
        <f>Base_Données!B383</f>
        <v>0</v>
      </c>
      <c r="C381" s="158">
        <f>Base_Données!C383</f>
        <v>0</v>
      </c>
      <c r="D381" s="156">
        <f>Base_Données!Q383</f>
        <v>0</v>
      </c>
      <c r="E381" s="156">
        <f>Base_Données!BR383</f>
        <v>0</v>
      </c>
      <c r="F381" s="155">
        <f>Base_Données!R383</f>
        <v>0</v>
      </c>
      <c r="G381" s="154">
        <f>Base_Données!BS383</f>
        <v>0</v>
      </c>
      <c r="H381" s="155">
        <f>SIG!F381-SIG!G381</f>
        <v>0</v>
      </c>
      <c r="I381" s="159">
        <f>Base_Données!BI383+Base_Données!BJ383-Base_Données!GC383-Base_Données!GD383</f>
        <v>0</v>
      </c>
      <c r="J381" s="154">
        <f t="shared" si="10"/>
        <v>0</v>
      </c>
      <c r="K381" s="154">
        <f>Base_Données!BK383-Base_Données!GE383</f>
        <v>0</v>
      </c>
      <c r="L381" s="159">
        <f t="shared" si="11"/>
        <v>0</v>
      </c>
      <c r="M381" s="158">
        <f>Base_Données!S383</f>
        <v>0</v>
      </c>
      <c r="N381" s="154">
        <f>Base_Données!T383-(Base_Données!BU383+Base_Données!BZ383+Base_Données!CC383)</f>
        <v>0</v>
      </c>
      <c r="O381" s="154">
        <f>Base_Données!AC383+Base_Données!AL383-(Base_Données!CI383)</f>
        <v>0</v>
      </c>
      <c r="P381" s="154">
        <f>L381+Base_Données!GJ383+Base_Données!GE383+Base_Données!GB383+Base_Données!FV383+Base_Données!FS383+Base_Données!FO383+Base_Données!FE383+Base_Données!DS383-(Base_Données!BK383+Base_Données!BH383+Base_Données!AU383)</f>
        <v>0</v>
      </c>
      <c r="Q381" s="189">
        <f>P381+Base_Données!AV383-Base_Données!FE383-Base_Données!FO383</f>
        <v>0</v>
      </c>
      <c r="R381" s="329">
        <f>SIG!Q381+Base_Données!BD383+Base_Données!BH383+Base_Données!BL383+Base_Données!BM383+Base_Données!BN383-Base_Données!GB383-Base_Données!GJ383-Base_Données!GF383</f>
        <v>0</v>
      </c>
    </row>
    <row r="382" spans="1:18" customFormat="1" x14ac:dyDescent="0.25">
      <c r="A382" s="328">
        <f>Base_Données!A384</f>
        <v>0</v>
      </c>
      <c r="B382" s="181">
        <f>Base_Données!B384</f>
        <v>0</v>
      </c>
      <c r="C382" s="158">
        <f>Base_Données!C384</f>
        <v>0</v>
      </c>
      <c r="D382" s="156">
        <f>Base_Données!Q384</f>
        <v>0</v>
      </c>
      <c r="E382" s="156">
        <f>Base_Données!BR384</f>
        <v>0</v>
      </c>
      <c r="F382" s="155">
        <f>Base_Données!R384</f>
        <v>0</v>
      </c>
      <c r="G382" s="154">
        <f>Base_Données!BS384</f>
        <v>0</v>
      </c>
      <c r="H382" s="155">
        <f>SIG!F382-SIG!G382</f>
        <v>0</v>
      </c>
      <c r="I382" s="159">
        <f>Base_Données!BI384+Base_Données!BJ384-Base_Données!GC384-Base_Données!GD384</f>
        <v>0</v>
      </c>
      <c r="J382" s="154">
        <f t="shared" si="10"/>
        <v>0</v>
      </c>
      <c r="K382" s="154">
        <f>Base_Données!BK384-Base_Données!GE384</f>
        <v>0</v>
      </c>
      <c r="L382" s="159">
        <f t="shared" si="11"/>
        <v>0</v>
      </c>
      <c r="M382" s="158">
        <f>Base_Données!S384</f>
        <v>0</v>
      </c>
      <c r="N382" s="154">
        <f>Base_Données!T384-(Base_Données!BU384+Base_Données!BZ384+Base_Données!CC384)</f>
        <v>0</v>
      </c>
      <c r="O382" s="154">
        <f>Base_Données!AC384+Base_Données!AL384-(Base_Données!CI384)</f>
        <v>0</v>
      </c>
      <c r="P382" s="154">
        <f>L382+Base_Données!GJ384+Base_Données!GE384+Base_Données!GB384+Base_Données!FV384+Base_Données!FS384+Base_Données!FO384+Base_Données!FE384+Base_Données!DS384-(Base_Données!BK384+Base_Données!BH384+Base_Données!AU384)</f>
        <v>0</v>
      </c>
      <c r="Q382" s="189">
        <f>P382+Base_Données!AV384-Base_Données!FE384-Base_Données!FO384</f>
        <v>0</v>
      </c>
      <c r="R382" s="329">
        <f>SIG!Q382+Base_Données!BD384+Base_Données!BH384+Base_Données!BL384+Base_Données!BM384+Base_Données!BN384-Base_Données!GB384-Base_Données!GJ384-Base_Données!GF384</f>
        <v>0</v>
      </c>
    </row>
    <row r="383" spans="1:18" customFormat="1" x14ac:dyDescent="0.25">
      <c r="A383" s="328">
        <f>Base_Données!A385</f>
        <v>0</v>
      </c>
      <c r="B383" s="181">
        <f>Base_Données!B385</f>
        <v>0</v>
      </c>
      <c r="C383" s="158">
        <f>Base_Données!C385</f>
        <v>0</v>
      </c>
      <c r="D383" s="156">
        <f>Base_Données!Q385</f>
        <v>0</v>
      </c>
      <c r="E383" s="156">
        <f>Base_Données!BR385</f>
        <v>0</v>
      </c>
      <c r="F383" s="155">
        <f>Base_Données!R385</f>
        <v>0</v>
      </c>
      <c r="G383" s="154">
        <f>Base_Données!BS385</f>
        <v>0</v>
      </c>
      <c r="H383" s="155">
        <f>SIG!F383-SIG!G383</f>
        <v>0</v>
      </c>
      <c r="I383" s="159">
        <f>Base_Données!BI385+Base_Données!BJ385-Base_Données!GC385-Base_Données!GD385</f>
        <v>0</v>
      </c>
      <c r="J383" s="154">
        <f t="shared" si="10"/>
        <v>0</v>
      </c>
      <c r="K383" s="154">
        <f>Base_Données!BK385-Base_Données!GE385</f>
        <v>0</v>
      </c>
      <c r="L383" s="159">
        <f t="shared" si="11"/>
        <v>0</v>
      </c>
      <c r="M383" s="158">
        <f>Base_Données!S385</f>
        <v>0</v>
      </c>
      <c r="N383" s="154">
        <f>Base_Données!T385-(Base_Données!BU385+Base_Données!BZ385+Base_Données!CC385)</f>
        <v>0</v>
      </c>
      <c r="O383" s="154">
        <f>Base_Données!AC385+Base_Données!AL385-(Base_Données!CI385)</f>
        <v>0</v>
      </c>
      <c r="P383" s="154">
        <f>L383+Base_Données!GJ385+Base_Données!GE385+Base_Données!GB385+Base_Données!FV385+Base_Données!FS385+Base_Données!FO385+Base_Données!FE385+Base_Données!DS385-(Base_Données!BK385+Base_Données!BH385+Base_Données!AU385)</f>
        <v>0</v>
      </c>
      <c r="Q383" s="189">
        <f>P383+Base_Données!AV385-Base_Données!FE385-Base_Données!FO385</f>
        <v>0</v>
      </c>
      <c r="R383" s="329">
        <f>SIG!Q383+Base_Données!BD385+Base_Données!BH385+Base_Données!BL385+Base_Données!BM385+Base_Données!BN385-Base_Données!GB385-Base_Données!GJ385-Base_Données!GF385</f>
        <v>0</v>
      </c>
    </row>
    <row r="384" spans="1:18" customFormat="1" x14ac:dyDescent="0.25">
      <c r="A384" s="328">
        <f>Base_Données!A386</f>
        <v>0</v>
      </c>
      <c r="B384" s="181">
        <f>Base_Données!B386</f>
        <v>0</v>
      </c>
      <c r="C384" s="158">
        <f>Base_Données!C386</f>
        <v>0</v>
      </c>
      <c r="D384" s="156">
        <f>Base_Données!Q386</f>
        <v>0</v>
      </c>
      <c r="E384" s="156">
        <f>Base_Données!BR386</f>
        <v>0</v>
      </c>
      <c r="F384" s="155">
        <f>Base_Données!R386</f>
        <v>0</v>
      </c>
      <c r="G384" s="154">
        <f>Base_Données!BS386</f>
        <v>0</v>
      </c>
      <c r="H384" s="155">
        <f>SIG!F384-SIG!G384</f>
        <v>0</v>
      </c>
      <c r="I384" s="159">
        <f>Base_Données!BI386+Base_Données!BJ386-Base_Données!GC386-Base_Données!GD386</f>
        <v>0</v>
      </c>
      <c r="J384" s="154">
        <f t="shared" si="10"/>
        <v>0</v>
      </c>
      <c r="K384" s="154">
        <f>Base_Données!BK386-Base_Données!GE386</f>
        <v>0</v>
      </c>
      <c r="L384" s="159">
        <f t="shared" si="11"/>
        <v>0</v>
      </c>
      <c r="M384" s="158">
        <f>Base_Données!S386</f>
        <v>0</v>
      </c>
      <c r="N384" s="154">
        <f>Base_Données!T386-(Base_Données!BU386+Base_Données!BZ386+Base_Données!CC386)</f>
        <v>0</v>
      </c>
      <c r="O384" s="154">
        <f>Base_Données!AC386+Base_Données!AL386-(Base_Données!CI386)</f>
        <v>0</v>
      </c>
      <c r="P384" s="154">
        <f>L384+Base_Données!GJ386+Base_Données!GE386+Base_Données!GB386+Base_Données!FV386+Base_Données!FS386+Base_Données!FO386+Base_Données!FE386+Base_Données!DS386-(Base_Données!BK386+Base_Données!BH386+Base_Données!AU386)</f>
        <v>0</v>
      </c>
      <c r="Q384" s="189">
        <f>P384+Base_Données!AV386-Base_Données!FE386-Base_Données!FO386</f>
        <v>0</v>
      </c>
      <c r="R384" s="329">
        <f>SIG!Q384+Base_Données!BD386+Base_Données!BH386+Base_Données!BL386+Base_Données!BM386+Base_Données!BN386-Base_Données!GB386-Base_Données!GJ386-Base_Données!GF386</f>
        <v>0</v>
      </c>
    </row>
    <row r="385" spans="1:18" customFormat="1" x14ac:dyDescent="0.25">
      <c r="A385" s="328">
        <f>Base_Données!A387</f>
        <v>0</v>
      </c>
      <c r="B385" s="181">
        <f>Base_Données!B387</f>
        <v>0</v>
      </c>
      <c r="C385" s="158">
        <f>Base_Données!C387</f>
        <v>0</v>
      </c>
      <c r="D385" s="156">
        <f>Base_Données!Q387</f>
        <v>0</v>
      </c>
      <c r="E385" s="156">
        <f>Base_Données!BR387</f>
        <v>0</v>
      </c>
      <c r="F385" s="155">
        <f>Base_Données!R387</f>
        <v>0</v>
      </c>
      <c r="G385" s="154">
        <f>Base_Données!BS387</f>
        <v>0</v>
      </c>
      <c r="H385" s="155">
        <f>SIG!F385-SIG!G385</f>
        <v>0</v>
      </c>
      <c r="I385" s="159">
        <f>Base_Données!BI387+Base_Données!BJ387-Base_Données!GC387-Base_Données!GD387</f>
        <v>0</v>
      </c>
      <c r="J385" s="154">
        <f t="shared" si="10"/>
        <v>0</v>
      </c>
      <c r="K385" s="154">
        <f>Base_Données!BK387-Base_Données!GE387</f>
        <v>0</v>
      </c>
      <c r="L385" s="159">
        <f t="shared" si="11"/>
        <v>0</v>
      </c>
      <c r="M385" s="158">
        <f>Base_Données!S387</f>
        <v>0</v>
      </c>
      <c r="N385" s="154">
        <f>Base_Données!T387-(Base_Données!BU387+Base_Données!BZ387+Base_Données!CC387)</f>
        <v>0</v>
      </c>
      <c r="O385" s="154">
        <f>Base_Données!AC387+Base_Données!AL387-(Base_Données!CI387)</f>
        <v>0</v>
      </c>
      <c r="P385" s="154">
        <f>L385+Base_Données!GJ387+Base_Données!GE387+Base_Données!GB387+Base_Données!FV387+Base_Données!FS387+Base_Données!FO387+Base_Données!FE387+Base_Données!DS387-(Base_Données!BK387+Base_Données!BH387+Base_Données!AU387)</f>
        <v>0</v>
      </c>
      <c r="Q385" s="189">
        <f>P385+Base_Données!AV387-Base_Données!FE387-Base_Données!FO387</f>
        <v>0</v>
      </c>
      <c r="R385" s="329">
        <f>SIG!Q385+Base_Données!BD387+Base_Données!BH387+Base_Données!BL387+Base_Données!BM387+Base_Données!BN387-Base_Données!GB387-Base_Données!GJ387-Base_Données!GF387</f>
        <v>0</v>
      </c>
    </row>
    <row r="386" spans="1:18" customFormat="1" x14ac:dyDescent="0.25">
      <c r="A386" s="328">
        <f>Base_Données!A388</f>
        <v>0</v>
      </c>
      <c r="B386" s="181">
        <f>Base_Données!B388</f>
        <v>0</v>
      </c>
      <c r="C386" s="158">
        <f>Base_Données!C388</f>
        <v>0</v>
      </c>
      <c r="D386" s="156">
        <f>Base_Données!Q388</f>
        <v>0</v>
      </c>
      <c r="E386" s="156">
        <f>Base_Données!BR388</f>
        <v>0</v>
      </c>
      <c r="F386" s="155">
        <f>Base_Données!R388</f>
        <v>0</v>
      </c>
      <c r="G386" s="154">
        <f>Base_Données!BS388</f>
        <v>0</v>
      </c>
      <c r="H386" s="155">
        <f>SIG!F386-SIG!G386</f>
        <v>0</v>
      </c>
      <c r="I386" s="159">
        <f>Base_Données!BI388+Base_Données!BJ388-Base_Données!GC388-Base_Données!GD388</f>
        <v>0</v>
      </c>
      <c r="J386" s="154">
        <f t="shared" si="10"/>
        <v>0</v>
      </c>
      <c r="K386" s="154">
        <f>Base_Données!BK388-Base_Données!GE388</f>
        <v>0</v>
      </c>
      <c r="L386" s="159">
        <f t="shared" si="11"/>
        <v>0</v>
      </c>
      <c r="M386" s="158">
        <f>Base_Données!S388</f>
        <v>0</v>
      </c>
      <c r="N386" s="154">
        <f>Base_Données!T388-(Base_Données!BU388+Base_Données!BZ388+Base_Données!CC388)</f>
        <v>0</v>
      </c>
      <c r="O386" s="154">
        <f>Base_Données!AC388+Base_Données!AL388-(Base_Données!CI388)</f>
        <v>0</v>
      </c>
      <c r="P386" s="154">
        <f>L386+Base_Données!GJ388+Base_Données!GE388+Base_Données!GB388+Base_Données!FV388+Base_Données!FS388+Base_Données!FO388+Base_Données!FE388+Base_Données!DS388-(Base_Données!BK388+Base_Données!BH388+Base_Données!AU388)</f>
        <v>0</v>
      </c>
      <c r="Q386" s="189">
        <f>P386+Base_Données!AV388-Base_Données!FE388-Base_Données!FO388</f>
        <v>0</v>
      </c>
      <c r="R386" s="329">
        <f>SIG!Q386+Base_Données!BD388+Base_Données!BH388+Base_Données!BL388+Base_Données!BM388+Base_Données!BN388-Base_Données!GB388-Base_Données!GJ388-Base_Données!GF388</f>
        <v>0</v>
      </c>
    </row>
    <row r="387" spans="1:18" customFormat="1" x14ac:dyDescent="0.25">
      <c r="A387" s="328">
        <f>Base_Données!A389</f>
        <v>0</v>
      </c>
      <c r="B387" s="181">
        <f>Base_Données!B389</f>
        <v>0</v>
      </c>
      <c r="C387" s="158">
        <f>Base_Données!C389</f>
        <v>0</v>
      </c>
      <c r="D387" s="156">
        <f>Base_Données!Q389</f>
        <v>0</v>
      </c>
      <c r="E387" s="156">
        <f>Base_Données!BR389</f>
        <v>0</v>
      </c>
      <c r="F387" s="155">
        <f>Base_Données!R389</f>
        <v>0</v>
      </c>
      <c r="G387" s="154">
        <f>Base_Données!BS389</f>
        <v>0</v>
      </c>
      <c r="H387" s="155">
        <f>SIG!F387-SIG!G387</f>
        <v>0</v>
      </c>
      <c r="I387" s="159">
        <f>Base_Données!BI389+Base_Données!BJ389-Base_Données!GC389-Base_Données!GD389</f>
        <v>0</v>
      </c>
      <c r="J387" s="154">
        <f t="shared" si="10"/>
        <v>0</v>
      </c>
      <c r="K387" s="154">
        <f>Base_Données!BK389-Base_Données!GE389</f>
        <v>0</v>
      </c>
      <c r="L387" s="159">
        <f t="shared" si="11"/>
        <v>0</v>
      </c>
      <c r="M387" s="158">
        <f>Base_Données!S389</f>
        <v>0</v>
      </c>
      <c r="N387" s="154">
        <f>Base_Données!T389-(Base_Données!BU389+Base_Données!BZ389+Base_Données!CC389)</f>
        <v>0</v>
      </c>
      <c r="O387" s="154">
        <f>Base_Données!AC389+Base_Données!AL389-(Base_Données!CI389)</f>
        <v>0</v>
      </c>
      <c r="P387" s="154">
        <f>L387+Base_Données!GJ389+Base_Données!GE389+Base_Données!GB389+Base_Données!FV389+Base_Données!FS389+Base_Données!FO389+Base_Données!FE389+Base_Données!DS389-(Base_Données!BK389+Base_Données!BH389+Base_Données!AU389)</f>
        <v>0</v>
      </c>
      <c r="Q387" s="189">
        <f>P387+Base_Données!AV389-Base_Données!FE389-Base_Données!FO389</f>
        <v>0</v>
      </c>
      <c r="R387" s="329">
        <f>SIG!Q387+Base_Données!BD389+Base_Données!BH389+Base_Données!BL389+Base_Données!BM389+Base_Données!BN389-Base_Données!GB389-Base_Données!GJ389-Base_Données!GF389</f>
        <v>0</v>
      </c>
    </row>
    <row r="388" spans="1:18" customFormat="1" x14ac:dyDescent="0.25">
      <c r="A388" s="328">
        <f>Base_Données!A390</f>
        <v>0</v>
      </c>
      <c r="B388" s="181">
        <f>Base_Données!B390</f>
        <v>0</v>
      </c>
      <c r="C388" s="158">
        <f>Base_Données!C390</f>
        <v>0</v>
      </c>
      <c r="D388" s="156">
        <f>Base_Données!Q390</f>
        <v>0</v>
      </c>
      <c r="E388" s="156">
        <f>Base_Données!BR390</f>
        <v>0</v>
      </c>
      <c r="F388" s="155">
        <f>Base_Données!R390</f>
        <v>0</v>
      </c>
      <c r="G388" s="154">
        <f>Base_Données!BS390</f>
        <v>0</v>
      </c>
      <c r="H388" s="155">
        <f>SIG!F388-SIG!G388</f>
        <v>0</v>
      </c>
      <c r="I388" s="159">
        <f>Base_Données!BI390+Base_Données!BJ390-Base_Données!GC390-Base_Données!GD390</f>
        <v>0</v>
      </c>
      <c r="J388" s="154">
        <f t="shared" ref="J388:J451" si="12">H388+(I388)</f>
        <v>0</v>
      </c>
      <c r="K388" s="154">
        <f>Base_Données!BK390-Base_Données!GE390</f>
        <v>0</v>
      </c>
      <c r="L388" s="159">
        <f t="shared" ref="L388:L451" si="13">D388-E388</f>
        <v>0</v>
      </c>
      <c r="M388" s="158">
        <f>Base_Données!S390</f>
        <v>0</v>
      </c>
      <c r="N388" s="154">
        <f>Base_Données!T390-(Base_Données!BU390+Base_Données!BZ390+Base_Données!CC390)</f>
        <v>0</v>
      </c>
      <c r="O388" s="154">
        <f>Base_Données!AC390+Base_Données!AL390-(Base_Données!CI390)</f>
        <v>0</v>
      </c>
      <c r="P388" s="154">
        <f>L388+Base_Données!GJ390+Base_Données!GE390+Base_Données!GB390+Base_Données!FV390+Base_Données!FS390+Base_Données!FO390+Base_Données!FE390+Base_Données!DS390-(Base_Données!BK390+Base_Données!BH390+Base_Données!AU390)</f>
        <v>0</v>
      </c>
      <c r="Q388" s="189">
        <f>P388+Base_Données!AV390-Base_Données!FE390-Base_Données!FO390</f>
        <v>0</v>
      </c>
      <c r="R388" s="329">
        <f>SIG!Q388+Base_Données!BD390+Base_Données!BH390+Base_Données!BL390+Base_Données!BM390+Base_Données!BN390-Base_Données!GB390-Base_Données!GJ390-Base_Données!GF390</f>
        <v>0</v>
      </c>
    </row>
    <row r="389" spans="1:18" customFormat="1" x14ac:dyDescent="0.25">
      <c r="A389" s="328">
        <f>Base_Données!A391</f>
        <v>0</v>
      </c>
      <c r="B389" s="181">
        <f>Base_Données!B391</f>
        <v>0</v>
      </c>
      <c r="C389" s="158">
        <f>Base_Données!C391</f>
        <v>0</v>
      </c>
      <c r="D389" s="156">
        <f>Base_Données!Q391</f>
        <v>0</v>
      </c>
      <c r="E389" s="156">
        <f>Base_Données!BR391</f>
        <v>0</v>
      </c>
      <c r="F389" s="155">
        <f>Base_Données!R391</f>
        <v>0</v>
      </c>
      <c r="G389" s="154">
        <f>Base_Données!BS391</f>
        <v>0</v>
      </c>
      <c r="H389" s="155">
        <f>SIG!F389-SIG!G389</f>
        <v>0</v>
      </c>
      <c r="I389" s="159">
        <f>Base_Données!BI391+Base_Données!BJ391-Base_Données!GC391-Base_Données!GD391</f>
        <v>0</v>
      </c>
      <c r="J389" s="154">
        <f t="shared" si="12"/>
        <v>0</v>
      </c>
      <c r="K389" s="154">
        <f>Base_Données!BK391-Base_Données!GE391</f>
        <v>0</v>
      </c>
      <c r="L389" s="159">
        <f t="shared" si="13"/>
        <v>0</v>
      </c>
      <c r="M389" s="158">
        <f>Base_Données!S391</f>
        <v>0</v>
      </c>
      <c r="N389" s="154">
        <f>Base_Données!T391-(Base_Données!BU391+Base_Données!BZ391+Base_Données!CC391)</f>
        <v>0</v>
      </c>
      <c r="O389" s="154">
        <f>Base_Données!AC391+Base_Données!AL391-(Base_Données!CI391)</f>
        <v>0</v>
      </c>
      <c r="P389" s="154">
        <f>L389+Base_Données!GJ391+Base_Données!GE391+Base_Données!GB391+Base_Données!FV391+Base_Données!FS391+Base_Données!FO391+Base_Données!FE391+Base_Données!DS391-(Base_Données!BK391+Base_Données!BH391+Base_Données!AU391)</f>
        <v>0</v>
      </c>
      <c r="Q389" s="189">
        <f>P389+Base_Données!AV391-Base_Données!FE391-Base_Données!FO391</f>
        <v>0</v>
      </c>
      <c r="R389" s="329">
        <f>SIG!Q389+Base_Données!BD391+Base_Données!BH391+Base_Données!BL391+Base_Données!BM391+Base_Données!BN391-Base_Données!GB391-Base_Données!GJ391-Base_Données!GF391</f>
        <v>0</v>
      </c>
    </row>
    <row r="390" spans="1:18" customFormat="1" x14ac:dyDescent="0.25">
      <c r="A390" s="328">
        <f>Base_Données!A392</f>
        <v>0</v>
      </c>
      <c r="B390" s="181">
        <f>Base_Données!B392</f>
        <v>0</v>
      </c>
      <c r="C390" s="158">
        <f>Base_Données!C392</f>
        <v>0</v>
      </c>
      <c r="D390" s="156">
        <f>Base_Données!Q392</f>
        <v>0</v>
      </c>
      <c r="E390" s="156">
        <f>Base_Données!BR392</f>
        <v>0</v>
      </c>
      <c r="F390" s="155">
        <f>Base_Données!R392</f>
        <v>0</v>
      </c>
      <c r="G390" s="154">
        <f>Base_Données!BS392</f>
        <v>0</v>
      </c>
      <c r="H390" s="155">
        <f>SIG!F390-SIG!G390</f>
        <v>0</v>
      </c>
      <c r="I390" s="159">
        <f>Base_Données!BI392+Base_Données!BJ392-Base_Données!GC392-Base_Données!GD392</f>
        <v>0</v>
      </c>
      <c r="J390" s="154">
        <f t="shared" si="12"/>
        <v>0</v>
      </c>
      <c r="K390" s="154">
        <f>Base_Données!BK392-Base_Données!GE392</f>
        <v>0</v>
      </c>
      <c r="L390" s="159">
        <f t="shared" si="13"/>
        <v>0</v>
      </c>
      <c r="M390" s="158">
        <f>Base_Données!S392</f>
        <v>0</v>
      </c>
      <c r="N390" s="154">
        <f>Base_Données!T392-(Base_Données!BU392+Base_Données!BZ392+Base_Données!CC392)</f>
        <v>0</v>
      </c>
      <c r="O390" s="154">
        <f>Base_Données!AC392+Base_Données!AL392-(Base_Données!CI392)</f>
        <v>0</v>
      </c>
      <c r="P390" s="154">
        <f>L390+Base_Données!GJ392+Base_Données!GE392+Base_Données!GB392+Base_Données!FV392+Base_Données!FS392+Base_Données!FO392+Base_Données!FE392+Base_Données!DS392-(Base_Données!BK392+Base_Données!BH392+Base_Données!AU392)</f>
        <v>0</v>
      </c>
      <c r="Q390" s="189">
        <f>P390+Base_Données!AV392-Base_Données!FE392-Base_Données!FO392</f>
        <v>0</v>
      </c>
      <c r="R390" s="329">
        <f>SIG!Q390+Base_Données!BD392+Base_Données!BH392+Base_Données!BL392+Base_Données!BM392+Base_Données!BN392-Base_Données!GB392-Base_Données!GJ392-Base_Données!GF392</f>
        <v>0</v>
      </c>
    </row>
    <row r="391" spans="1:18" customFormat="1" x14ac:dyDescent="0.25">
      <c r="A391" s="328">
        <f>Base_Données!A393</f>
        <v>0</v>
      </c>
      <c r="B391" s="181">
        <f>Base_Données!B393</f>
        <v>0</v>
      </c>
      <c r="C391" s="158">
        <f>Base_Données!C393</f>
        <v>0</v>
      </c>
      <c r="D391" s="156">
        <f>Base_Données!Q393</f>
        <v>0</v>
      </c>
      <c r="E391" s="156">
        <f>Base_Données!BR393</f>
        <v>0</v>
      </c>
      <c r="F391" s="155">
        <f>Base_Données!R393</f>
        <v>0</v>
      </c>
      <c r="G391" s="154">
        <f>Base_Données!BS393</f>
        <v>0</v>
      </c>
      <c r="H391" s="155">
        <f>SIG!F391-SIG!G391</f>
        <v>0</v>
      </c>
      <c r="I391" s="159">
        <f>Base_Données!BI393+Base_Données!BJ393-Base_Données!GC393-Base_Données!GD393</f>
        <v>0</v>
      </c>
      <c r="J391" s="154">
        <f t="shared" si="12"/>
        <v>0</v>
      </c>
      <c r="K391" s="154">
        <f>Base_Données!BK393-Base_Données!GE393</f>
        <v>0</v>
      </c>
      <c r="L391" s="159">
        <f t="shared" si="13"/>
        <v>0</v>
      </c>
      <c r="M391" s="158">
        <f>Base_Données!S393</f>
        <v>0</v>
      </c>
      <c r="N391" s="154">
        <f>Base_Données!T393-(Base_Données!BU393+Base_Données!BZ393+Base_Données!CC393)</f>
        <v>0</v>
      </c>
      <c r="O391" s="154">
        <f>Base_Données!AC393+Base_Données!AL393-(Base_Données!CI393)</f>
        <v>0</v>
      </c>
      <c r="P391" s="154">
        <f>L391+Base_Données!GJ393+Base_Données!GE393+Base_Données!GB393+Base_Données!FV393+Base_Données!FS393+Base_Données!FO393+Base_Données!FE393+Base_Données!DS393-(Base_Données!BK393+Base_Données!BH393+Base_Données!AU393)</f>
        <v>0</v>
      </c>
      <c r="Q391" s="189">
        <f>P391+Base_Données!AV393-Base_Données!FE393-Base_Données!FO393</f>
        <v>0</v>
      </c>
      <c r="R391" s="329">
        <f>SIG!Q391+Base_Données!BD393+Base_Données!BH393+Base_Données!BL393+Base_Données!BM393+Base_Données!BN393-Base_Données!GB393-Base_Données!GJ393-Base_Données!GF393</f>
        <v>0</v>
      </c>
    </row>
    <row r="392" spans="1:18" customFormat="1" x14ac:dyDescent="0.25">
      <c r="A392" s="328">
        <f>Base_Données!A394</f>
        <v>0</v>
      </c>
      <c r="B392" s="181">
        <f>Base_Données!B394</f>
        <v>0</v>
      </c>
      <c r="C392" s="158">
        <f>Base_Données!C394</f>
        <v>0</v>
      </c>
      <c r="D392" s="156">
        <f>Base_Données!Q394</f>
        <v>0</v>
      </c>
      <c r="E392" s="156">
        <f>Base_Données!BR394</f>
        <v>0</v>
      </c>
      <c r="F392" s="155">
        <f>Base_Données!R394</f>
        <v>0</v>
      </c>
      <c r="G392" s="154">
        <f>Base_Données!BS394</f>
        <v>0</v>
      </c>
      <c r="H392" s="155">
        <f>SIG!F392-SIG!G392</f>
        <v>0</v>
      </c>
      <c r="I392" s="159">
        <f>Base_Données!BI394+Base_Données!BJ394-Base_Données!GC394-Base_Données!GD394</f>
        <v>0</v>
      </c>
      <c r="J392" s="154">
        <f t="shared" si="12"/>
        <v>0</v>
      </c>
      <c r="K392" s="154">
        <f>Base_Données!BK394-Base_Données!GE394</f>
        <v>0</v>
      </c>
      <c r="L392" s="159">
        <f t="shared" si="13"/>
        <v>0</v>
      </c>
      <c r="M392" s="158">
        <f>Base_Données!S394</f>
        <v>0</v>
      </c>
      <c r="N392" s="154">
        <f>Base_Données!T394-(Base_Données!BU394+Base_Données!BZ394+Base_Données!CC394)</f>
        <v>0</v>
      </c>
      <c r="O392" s="154">
        <f>Base_Données!AC394+Base_Données!AL394-(Base_Données!CI394)</f>
        <v>0</v>
      </c>
      <c r="P392" s="154">
        <f>L392+Base_Données!GJ394+Base_Données!GE394+Base_Données!GB394+Base_Données!FV394+Base_Données!FS394+Base_Données!FO394+Base_Données!FE394+Base_Données!DS394-(Base_Données!BK394+Base_Données!BH394+Base_Données!AU394)</f>
        <v>0</v>
      </c>
      <c r="Q392" s="189">
        <f>P392+Base_Données!AV394-Base_Données!FE394-Base_Données!FO394</f>
        <v>0</v>
      </c>
      <c r="R392" s="329">
        <f>SIG!Q392+Base_Données!BD394+Base_Données!BH394+Base_Données!BL394+Base_Données!BM394+Base_Données!BN394-Base_Données!GB394-Base_Données!GJ394-Base_Données!GF394</f>
        <v>0</v>
      </c>
    </row>
    <row r="393" spans="1:18" customFormat="1" x14ac:dyDescent="0.25">
      <c r="A393" s="328">
        <f>Base_Données!A395</f>
        <v>0</v>
      </c>
      <c r="B393" s="181">
        <f>Base_Données!B395</f>
        <v>0</v>
      </c>
      <c r="C393" s="158">
        <f>Base_Données!C395</f>
        <v>0</v>
      </c>
      <c r="D393" s="156">
        <f>Base_Données!Q395</f>
        <v>0</v>
      </c>
      <c r="E393" s="156">
        <f>Base_Données!BR395</f>
        <v>0</v>
      </c>
      <c r="F393" s="155">
        <f>Base_Données!R395</f>
        <v>0</v>
      </c>
      <c r="G393" s="154">
        <f>Base_Données!BS395</f>
        <v>0</v>
      </c>
      <c r="H393" s="155">
        <f>SIG!F393-SIG!G393</f>
        <v>0</v>
      </c>
      <c r="I393" s="159">
        <f>Base_Données!BI395+Base_Données!BJ395-Base_Données!GC395-Base_Données!GD395</f>
        <v>0</v>
      </c>
      <c r="J393" s="154">
        <f t="shared" si="12"/>
        <v>0</v>
      </c>
      <c r="K393" s="154">
        <f>Base_Données!BK395-Base_Données!GE395</f>
        <v>0</v>
      </c>
      <c r="L393" s="159">
        <f t="shared" si="13"/>
        <v>0</v>
      </c>
      <c r="M393" s="158">
        <f>Base_Données!S395</f>
        <v>0</v>
      </c>
      <c r="N393" s="154">
        <f>Base_Données!T395-(Base_Données!BU395+Base_Données!BZ395+Base_Données!CC395)</f>
        <v>0</v>
      </c>
      <c r="O393" s="154">
        <f>Base_Données!AC395+Base_Données!AL395-(Base_Données!CI395)</f>
        <v>0</v>
      </c>
      <c r="P393" s="154">
        <f>L393+Base_Données!GJ395+Base_Données!GE395+Base_Données!GB395+Base_Données!FV395+Base_Données!FS395+Base_Données!FO395+Base_Données!FE395+Base_Données!DS395-(Base_Données!BK395+Base_Données!BH395+Base_Données!AU395)</f>
        <v>0</v>
      </c>
      <c r="Q393" s="189">
        <f>P393+Base_Données!AV395-Base_Données!FE395-Base_Données!FO395</f>
        <v>0</v>
      </c>
      <c r="R393" s="329">
        <f>SIG!Q393+Base_Données!BD395+Base_Données!BH395+Base_Données!BL395+Base_Données!BM395+Base_Données!BN395-Base_Données!GB395-Base_Données!GJ395-Base_Données!GF395</f>
        <v>0</v>
      </c>
    </row>
    <row r="394" spans="1:18" customFormat="1" x14ac:dyDescent="0.25">
      <c r="A394" s="328">
        <f>Base_Données!A396</f>
        <v>0</v>
      </c>
      <c r="B394" s="181">
        <f>Base_Données!B396</f>
        <v>0</v>
      </c>
      <c r="C394" s="158">
        <f>Base_Données!C396</f>
        <v>0</v>
      </c>
      <c r="D394" s="156">
        <f>Base_Données!Q396</f>
        <v>0</v>
      </c>
      <c r="E394" s="156">
        <f>Base_Données!BR396</f>
        <v>0</v>
      </c>
      <c r="F394" s="155">
        <f>Base_Données!R396</f>
        <v>0</v>
      </c>
      <c r="G394" s="154">
        <f>Base_Données!BS396</f>
        <v>0</v>
      </c>
      <c r="H394" s="155">
        <f>SIG!F394-SIG!G394</f>
        <v>0</v>
      </c>
      <c r="I394" s="159">
        <f>Base_Données!BI396+Base_Données!BJ396-Base_Données!GC396-Base_Données!GD396</f>
        <v>0</v>
      </c>
      <c r="J394" s="154">
        <f t="shared" si="12"/>
        <v>0</v>
      </c>
      <c r="K394" s="154">
        <f>Base_Données!BK396-Base_Données!GE396</f>
        <v>0</v>
      </c>
      <c r="L394" s="159">
        <f t="shared" si="13"/>
        <v>0</v>
      </c>
      <c r="M394" s="158">
        <f>Base_Données!S396</f>
        <v>0</v>
      </c>
      <c r="N394" s="154">
        <f>Base_Données!T396-(Base_Données!BU396+Base_Données!BZ396+Base_Données!CC396)</f>
        <v>0</v>
      </c>
      <c r="O394" s="154">
        <f>Base_Données!AC396+Base_Données!AL396-(Base_Données!CI396)</f>
        <v>0</v>
      </c>
      <c r="P394" s="154">
        <f>L394+Base_Données!GJ396+Base_Données!GE396+Base_Données!GB396+Base_Données!FV396+Base_Données!FS396+Base_Données!FO396+Base_Données!FE396+Base_Données!DS396-(Base_Données!BK396+Base_Données!BH396+Base_Données!AU396)</f>
        <v>0</v>
      </c>
      <c r="Q394" s="189">
        <f>P394+Base_Données!AV396-Base_Données!FE396-Base_Données!FO396</f>
        <v>0</v>
      </c>
      <c r="R394" s="329">
        <f>SIG!Q394+Base_Données!BD396+Base_Données!BH396+Base_Données!BL396+Base_Données!BM396+Base_Données!BN396-Base_Données!GB396-Base_Données!GJ396-Base_Données!GF396</f>
        <v>0</v>
      </c>
    </row>
    <row r="395" spans="1:18" customFormat="1" x14ac:dyDescent="0.25">
      <c r="A395" s="328">
        <f>Base_Données!A397</f>
        <v>0</v>
      </c>
      <c r="B395" s="181">
        <f>Base_Données!B397</f>
        <v>0</v>
      </c>
      <c r="C395" s="158">
        <f>Base_Données!C397</f>
        <v>0</v>
      </c>
      <c r="D395" s="156">
        <f>Base_Données!Q397</f>
        <v>0</v>
      </c>
      <c r="E395" s="156">
        <f>Base_Données!BR397</f>
        <v>0</v>
      </c>
      <c r="F395" s="155">
        <f>Base_Données!R397</f>
        <v>0</v>
      </c>
      <c r="G395" s="154">
        <f>Base_Données!BS397</f>
        <v>0</v>
      </c>
      <c r="H395" s="155">
        <f>SIG!F395-SIG!G395</f>
        <v>0</v>
      </c>
      <c r="I395" s="159">
        <f>Base_Données!BI397+Base_Données!BJ397-Base_Données!GC397-Base_Données!GD397</f>
        <v>0</v>
      </c>
      <c r="J395" s="154">
        <f t="shared" si="12"/>
        <v>0</v>
      </c>
      <c r="K395" s="154">
        <f>Base_Données!BK397-Base_Données!GE397</f>
        <v>0</v>
      </c>
      <c r="L395" s="159">
        <f t="shared" si="13"/>
        <v>0</v>
      </c>
      <c r="M395" s="158">
        <f>Base_Données!S397</f>
        <v>0</v>
      </c>
      <c r="N395" s="154">
        <f>Base_Données!T397-(Base_Données!BU397+Base_Données!BZ397+Base_Données!CC397)</f>
        <v>0</v>
      </c>
      <c r="O395" s="154">
        <f>Base_Données!AC397+Base_Données!AL397-(Base_Données!CI397)</f>
        <v>0</v>
      </c>
      <c r="P395" s="154">
        <f>L395+Base_Données!GJ397+Base_Données!GE397+Base_Données!GB397+Base_Données!FV397+Base_Données!FS397+Base_Données!FO397+Base_Données!FE397+Base_Données!DS397-(Base_Données!BK397+Base_Données!BH397+Base_Données!AU397)</f>
        <v>0</v>
      </c>
      <c r="Q395" s="189">
        <f>P395+Base_Données!AV397-Base_Données!FE397-Base_Données!FO397</f>
        <v>0</v>
      </c>
      <c r="R395" s="329">
        <f>SIG!Q395+Base_Données!BD397+Base_Données!BH397+Base_Données!BL397+Base_Données!BM397+Base_Données!BN397-Base_Données!GB397-Base_Données!GJ397-Base_Données!GF397</f>
        <v>0</v>
      </c>
    </row>
    <row r="396" spans="1:18" customFormat="1" x14ac:dyDescent="0.25">
      <c r="A396" s="328">
        <f>Base_Données!A398</f>
        <v>0</v>
      </c>
      <c r="B396" s="181">
        <f>Base_Données!B398</f>
        <v>0</v>
      </c>
      <c r="C396" s="158">
        <f>Base_Données!C398</f>
        <v>0</v>
      </c>
      <c r="D396" s="156">
        <f>Base_Données!Q398</f>
        <v>0</v>
      </c>
      <c r="E396" s="156">
        <f>Base_Données!BR398</f>
        <v>0</v>
      </c>
      <c r="F396" s="155">
        <f>Base_Données!R398</f>
        <v>0</v>
      </c>
      <c r="G396" s="154">
        <f>Base_Données!BS398</f>
        <v>0</v>
      </c>
      <c r="H396" s="155">
        <f>SIG!F396-SIG!G396</f>
        <v>0</v>
      </c>
      <c r="I396" s="159">
        <f>Base_Données!BI398+Base_Données!BJ398-Base_Données!GC398-Base_Données!GD398</f>
        <v>0</v>
      </c>
      <c r="J396" s="154">
        <f t="shared" si="12"/>
        <v>0</v>
      </c>
      <c r="K396" s="154">
        <f>Base_Données!BK398-Base_Données!GE398</f>
        <v>0</v>
      </c>
      <c r="L396" s="159">
        <f t="shared" si="13"/>
        <v>0</v>
      </c>
      <c r="M396" s="158">
        <f>Base_Données!S398</f>
        <v>0</v>
      </c>
      <c r="N396" s="154">
        <f>Base_Données!T398-(Base_Données!BU398+Base_Données!BZ398+Base_Données!CC398)</f>
        <v>0</v>
      </c>
      <c r="O396" s="154">
        <f>Base_Données!AC398+Base_Données!AL398-(Base_Données!CI398)</f>
        <v>0</v>
      </c>
      <c r="P396" s="154">
        <f>L396+Base_Données!GJ398+Base_Données!GE398+Base_Données!GB398+Base_Données!FV398+Base_Données!FS398+Base_Données!FO398+Base_Données!FE398+Base_Données!DS398-(Base_Données!BK398+Base_Données!BH398+Base_Données!AU398)</f>
        <v>0</v>
      </c>
      <c r="Q396" s="189">
        <f>P396+Base_Données!AV398-Base_Données!FE398-Base_Données!FO398</f>
        <v>0</v>
      </c>
      <c r="R396" s="329">
        <f>SIG!Q396+Base_Données!BD398+Base_Données!BH398+Base_Données!BL398+Base_Données!BM398+Base_Données!BN398-Base_Données!GB398-Base_Données!GJ398-Base_Données!GF398</f>
        <v>0</v>
      </c>
    </row>
    <row r="397" spans="1:18" customFormat="1" x14ac:dyDescent="0.25">
      <c r="A397" s="328">
        <f>Base_Données!A399</f>
        <v>0</v>
      </c>
      <c r="B397" s="181">
        <f>Base_Données!B399</f>
        <v>0</v>
      </c>
      <c r="C397" s="158">
        <f>Base_Données!C399</f>
        <v>0</v>
      </c>
      <c r="D397" s="156">
        <f>Base_Données!Q399</f>
        <v>0</v>
      </c>
      <c r="E397" s="156">
        <f>Base_Données!BR399</f>
        <v>0</v>
      </c>
      <c r="F397" s="155">
        <f>Base_Données!R399</f>
        <v>0</v>
      </c>
      <c r="G397" s="154">
        <f>Base_Données!BS399</f>
        <v>0</v>
      </c>
      <c r="H397" s="155">
        <f>SIG!F397-SIG!G397</f>
        <v>0</v>
      </c>
      <c r="I397" s="159">
        <f>Base_Données!BI399+Base_Données!BJ399-Base_Données!GC399-Base_Données!GD399</f>
        <v>0</v>
      </c>
      <c r="J397" s="154">
        <f t="shared" si="12"/>
        <v>0</v>
      </c>
      <c r="K397" s="154">
        <f>Base_Données!BK399-Base_Données!GE399</f>
        <v>0</v>
      </c>
      <c r="L397" s="159">
        <f t="shared" si="13"/>
        <v>0</v>
      </c>
      <c r="M397" s="158">
        <f>Base_Données!S399</f>
        <v>0</v>
      </c>
      <c r="N397" s="154">
        <f>Base_Données!T399-(Base_Données!BU399+Base_Données!BZ399+Base_Données!CC399)</f>
        <v>0</v>
      </c>
      <c r="O397" s="154">
        <f>Base_Données!AC399+Base_Données!AL399-(Base_Données!CI399)</f>
        <v>0</v>
      </c>
      <c r="P397" s="154">
        <f>L397+Base_Données!GJ399+Base_Données!GE399+Base_Données!GB399+Base_Données!FV399+Base_Données!FS399+Base_Données!FO399+Base_Données!FE399+Base_Données!DS399-(Base_Données!BK399+Base_Données!BH399+Base_Données!AU399)</f>
        <v>0</v>
      </c>
      <c r="Q397" s="189">
        <f>P397+Base_Données!AV399-Base_Données!FE399-Base_Données!FO399</f>
        <v>0</v>
      </c>
      <c r="R397" s="329">
        <f>SIG!Q397+Base_Données!BD399+Base_Données!BH399+Base_Données!BL399+Base_Données!BM399+Base_Données!BN399-Base_Données!GB399-Base_Données!GJ399-Base_Données!GF399</f>
        <v>0</v>
      </c>
    </row>
    <row r="398" spans="1:18" customFormat="1" x14ac:dyDescent="0.25">
      <c r="A398" s="328">
        <f>Base_Données!A400</f>
        <v>0</v>
      </c>
      <c r="B398" s="181">
        <f>Base_Données!B400</f>
        <v>0</v>
      </c>
      <c r="C398" s="158">
        <f>Base_Données!C400</f>
        <v>0</v>
      </c>
      <c r="D398" s="156">
        <f>Base_Données!Q400</f>
        <v>0</v>
      </c>
      <c r="E398" s="156">
        <f>Base_Données!BR400</f>
        <v>0</v>
      </c>
      <c r="F398" s="155">
        <f>Base_Données!R400</f>
        <v>0</v>
      </c>
      <c r="G398" s="154">
        <f>Base_Données!BS400</f>
        <v>0</v>
      </c>
      <c r="H398" s="155">
        <f>SIG!F398-SIG!G398</f>
        <v>0</v>
      </c>
      <c r="I398" s="159">
        <f>Base_Données!BI400+Base_Données!BJ400-Base_Données!GC400-Base_Données!GD400</f>
        <v>0</v>
      </c>
      <c r="J398" s="154">
        <f t="shared" si="12"/>
        <v>0</v>
      </c>
      <c r="K398" s="154">
        <f>Base_Données!BK400-Base_Données!GE400</f>
        <v>0</v>
      </c>
      <c r="L398" s="159">
        <f t="shared" si="13"/>
        <v>0</v>
      </c>
      <c r="M398" s="158">
        <f>Base_Données!S400</f>
        <v>0</v>
      </c>
      <c r="N398" s="154">
        <f>Base_Données!T400-(Base_Données!BU400+Base_Données!BZ400+Base_Données!CC400)</f>
        <v>0</v>
      </c>
      <c r="O398" s="154">
        <f>Base_Données!AC400+Base_Données!AL400-(Base_Données!CI400)</f>
        <v>0</v>
      </c>
      <c r="P398" s="154">
        <f>L398+Base_Données!GJ400+Base_Données!GE400+Base_Données!GB400+Base_Données!FV400+Base_Données!FS400+Base_Données!FO400+Base_Données!FE400+Base_Données!DS400-(Base_Données!BK400+Base_Données!BH400+Base_Données!AU400)</f>
        <v>0</v>
      </c>
      <c r="Q398" s="189">
        <f>P398+Base_Données!AV400-Base_Données!FE400-Base_Données!FO400</f>
        <v>0</v>
      </c>
      <c r="R398" s="329">
        <f>SIG!Q398+Base_Données!BD400+Base_Données!BH400+Base_Données!BL400+Base_Données!BM400+Base_Données!BN400-Base_Données!GB400-Base_Données!GJ400-Base_Données!GF400</f>
        <v>0</v>
      </c>
    </row>
    <row r="399" spans="1:18" customFormat="1" x14ac:dyDescent="0.25">
      <c r="A399" s="328">
        <f>Base_Données!A401</f>
        <v>0</v>
      </c>
      <c r="B399" s="181">
        <f>Base_Données!B401</f>
        <v>0</v>
      </c>
      <c r="C399" s="158">
        <f>Base_Données!C401</f>
        <v>0</v>
      </c>
      <c r="D399" s="156">
        <f>Base_Données!Q401</f>
        <v>0</v>
      </c>
      <c r="E399" s="156">
        <f>Base_Données!BR401</f>
        <v>0</v>
      </c>
      <c r="F399" s="155">
        <f>Base_Données!R401</f>
        <v>0</v>
      </c>
      <c r="G399" s="154">
        <f>Base_Données!BS401</f>
        <v>0</v>
      </c>
      <c r="H399" s="155">
        <f>SIG!F399-SIG!G399</f>
        <v>0</v>
      </c>
      <c r="I399" s="159">
        <f>Base_Données!BI401+Base_Données!BJ401-Base_Données!GC401-Base_Données!GD401</f>
        <v>0</v>
      </c>
      <c r="J399" s="154">
        <f t="shared" si="12"/>
        <v>0</v>
      </c>
      <c r="K399" s="154">
        <f>Base_Données!BK401-Base_Données!GE401</f>
        <v>0</v>
      </c>
      <c r="L399" s="159">
        <f t="shared" si="13"/>
        <v>0</v>
      </c>
      <c r="M399" s="158">
        <f>Base_Données!S401</f>
        <v>0</v>
      </c>
      <c r="N399" s="154">
        <f>Base_Données!T401-(Base_Données!BU401+Base_Données!BZ401+Base_Données!CC401)</f>
        <v>0</v>
      </c>
      <c r="O399" s="154">
        <f>Base_Données!AC401+Base_Données!AL401-(Base_Données!CI401)</f>
        <v>0</v>
      </c>
      <c r="P399" s="154">
        <f>L399+Base_Données!GJ401+Base_Données!GE401+Base_Données!GB401+Base_Données!FV401+Base_Données!FS401+Base_Données!FO401+Base_Données!FE401+Base_Données!DS401-(Base_Données!BK401+Base_Données!BH401+Base_Données!AU401)</f>
        <v>0</v>
      </c>
      <c r="Q399" s="189">
        <f>P399+Base_Données!AV401-Base_Données!FE401-Base_Données!FO401</f>
        <v>0</v>
      </c>
      <c r="R399" s="329">
        <f>SIG!Q399+Base_Données!BD401+Base_Données!BH401+Base_Données!BL401+Base_Données!BM401+Base_Données!BN401-Base_Données!GB401-Base_Données!GJ401-Base_Données!GF401</f>
        <v>0</v>
      </c>
    </row>
    <row r="400" spans="1:18" customFormat="1" x14ac:dyDescent="0.25">
      <c r="A400" s="328">
        <f>Base_Données!A402</f>
        <v>0</v>
      </c>
      <c r="B400" s="181">
        <f>Base_Données!B402</f>
        <v>0</v>
      </c>
      <c r="C400" s="158">
        <f>Base_Données!C402</f>
        <v>0</v>
      </c>
      <c r="D400" s="156">
        <f>Base_Données!Q402</f>
        <v>0</v>
      </c>
      <c r="E400" s="156">
        <f>Base_Données!BR402</f>
        <v>0</v>
      </c>
      <c r="F400" s="155">
        <f>Base_Données!R402</f>
        <v>0</v>
      </c>
      <c r="G400" s="154">
        <f>Base_Données!BS402</f>
        <v>0</v>
      </c>
      <c r="H400" s="155">
        <f>SIG!F400-SIG!G400</f>
        <v>0</v>
      </c>
      <c r="I400" s="159">
        <f>Base_Données!BI402+Base_Données!BJ402-Base_Données!GC402-Base_Données!GD402</f>
        <v>0</v>
      </c>
      <c r="J400" s="154">
        <f t="shared" si="12"/>
        <v>0</v>
      </c>
      <c r="K400" s="154">
        <f>Base_Données!BK402-Base_Données!GE402</f>
        <v>0</v>
      </c>
      <c r="L400" s="159">
        <f t="shared" si="13"/>
        <v>0</v>
      </c>
      <c r="M400" s="158">
        <f>Base_Données!S402</f>
        <v>0</v>
      </c>
      <c r="N400" s="154">
        <f>Base_Données!T402-(Base_Données!BU402+Base_Données!BZ402+Base_Données!CC402)</f>
        <v>0</v>
      </c>
      <c r="O400" s="154">
        <f>Base_Données!AC402+Base_Données!AL402-(Base_Données!CI402)</f>
        <v>0</v>
      </c>
      <c r="P400" s="154">
        <f>L400+Base_Données!GJ402+Base_Données!GE402+Base_Données!GB402+Base_Données!FV402+Base_Données!FS402+Base_Données!FO402+Base_Données!FE402+Base_Données!DS402-(Base_Données!BK402+Base_Données!BH402+Base_Données!AU402)</f>
        <v>0</v>
      </c>
      <c r="Q400" s="189">
        <f>P400+Base_Données!AV402-Base_Données!FE402-Base_Données!FO402</f>
        <v>0</v>
      </c>
      <c r="R400" s="329">
        <f>SIG!Q400+Base_Données!BD402+Base_Données!BH402+Base_Données!BL402+Base_Données!BM402+Base_Données!BN402-Base_Données!GB402-Base_Données!GJ402-Base_Données!GF402</f>
        <v>0</v>
      </c>
    </row>
    <row r="401" spans="1:18" customFormat="1" x14ac:dyDescent="0.25">
      <c r="A401" s="328">
        <f>Base_Données!A403</f>
        <v>0</v>
      </c>
      <c r="B401" s="181">
        <f>Base_Données!B403</f>
        <v>0</v>
      </c>
      <c r="C401" s="158">
        <f>Base_Données!C403</f>
        <v>0</v>
      </c>
      <c r="D401" s="156">
        <f>Base_Données!Q403</f>
        <v>0</v>
      </c>
      <c r="E401" s="156">
        <f>Base_Données!BR403</f>
        <v>0</v>
      </c>
      <c r="F401" s="155">
        <f>Base_Données!R403</f>
        <v>0</v>
      </c>
      <c r="G401" s="154">
        <f>Base_Données!BS403</f>
        <v>0</v>
      </c>
      <c r="H401" s="155">
        <f>SIG!F401-SIG!G401</f>
        <v>0</v>
      </c>
      <c r="I401" s="159">
        <f>Base_Données!BI403+Base_Données!BJ403-Base_Données!GC403-Base_Données!GD403</f>
        <v>0</v>
      </c>
      <c r="J401" s="154">
        <f t="shared" si="12"/>
        <v>0</v>
      </c>
      <c r="K401" s="154">
        <f>Base_Données!BK403-Base_Données!GE403</f>
        <v>0</v>
      </c>
      <c r="L401" s="159">
        <f t="shared" si="13"/>
        <v>0</v>
      </c>
      <c r="M401" s="158">
        <f>Base_Données!S403</f>
        <v>0</v>
      </c>
      <c r="N401" s="154">
        <f>Base_Données!T403-(Base_Données!BU403+Base_Données!BZ403+Base_Données!CC403)</f>
        <v>0</v>
      </c>
      <c r="O401" s="154">
        <f>Base_Données!AC403+Base_Données!AL403-(Base_Données!CI403)</f>
        <v>0</v>
      </c>
      <c r="P401" s="154">
        <f>L401+Base_Données!GJ403+Base_Données!GE403+Base_Données!GB403+Base_Données!FV403+Base_Données!FS403+Base_Données!FO403+Base_Données!FE403+Base_Données!DS403-(Base_Données!BK403+Base_Données!BH403+Base_Données!AU403)</f>
        <v>0</v>
      </c>
      <c r="Q401" s="189">
        <f>P401+Base_Données!AV403-Base_Données!FE403-Base_Données!FO403</f>
        <v>0</v>
      </c>
      <c r="R401" s="329">
        <f>SIG!Q401+Base_Données!BD403+Base_Données!BH403+Base_Données!BL403+Base_Données!BM403+Base_Données!BN403-Base_Données!GB403-Base_Données!GJ403-Base_Données!GF403</f>
        <v>0</v>
      </c>
    </row>
    <row r="402" spans="1:18" customFormat="1" x14ac:dyDescent="0.25">
      <c r="A402" s="328">
        <f>Base_Données!A404</f>
        <v>0</v>
      </c>
      <c r="B402" s="181">
        <f>Base_Données!B404</f>
        <v>0</v>
      </c>
      <c r="C402" s="158">
        <f>Base_Données!C404</f>
        <v>0</v>
      </c>
      <c r="D402" s="156">
        <f>Base_Données!Q404</f>
        <v>0</v>
      </c>
      <c r="E402" s="156">
        <f>Base_Données!BR404</f>
        <v>0</v>
      </c>
      <c r="F402" s="155">
        <f>Base_Données!R404</f>
        <v>0</v>
      </c>
      <c r="G402" s="154">
        <f>Base_Données!BS404</f>
        <v>0</v>
      </c>
      <c r="H402" s="155">
        <f>SIG!F402-SIG!G402</f>
        <v>0</v>
      </c>
      <c r="I402" s="159">
        <f>Base_Données!BI404+Base_Données!BJ404-Base_Données!GC404-Base_Données!GD404</f>
        <v>0</v>
      </c>
      <c r="J402" s="154">
        <f t="shared" si="12"/>
        <v>0</v>
      </c>
      <c r="K402" s="154">
        <f>Base_Données!BK404-Base_Données!GE404</f>
        <v>0</v>
      </c>
      <c r="L402" s="159">
        <f t="shared" si="13"/>
        <v>0</v>
      </c>
      <c r="M402" s="158">
        <f>Base_Données!S404</f>
        <v>0</v>
      </c>
      <c r="N402" s="154">
        <f>Base_Données!T404-(Base_Données!BU404+Base_Données!BZ404+Base_Données!CC404)</f>
        <v>0</v>
      </c>
      <c r="O402" s="154">
        <f>Base_Données!AC404+Base_Données!AL404-(Base_Données!CI404)</f>
        <v>0</v>
      </c>
      <c r="P402" s="154">
        <f>L402+Base_Données!GJ404+Base_Données!GE404+Base_Données!GB404+Base_Données!FV404+Base_Données!FS404+Base_Données!FO404+Base_Données!FE404+Base_Données!DS404-(Base_Données!BK404+Base_Données!BH404+Base_Données!AU404)</f>
        <v>0</v>
      </c>
      <c r="Q402" s="189">
        <f>P402+Base_Données!AV404-Base_Données!FE404-Base_Données!FO404</f>
        <v>0</v>
      </c>
      <c r="R402" s="329">
        <f>SIG!Q402+Base_Données!BD404+Base_Données!BH404+Base_Données!BL404+Base_Données!BM404+Base_Données!BN404-Base_Données!GB404-Base_Données!GJ404-Base_Données!GF404</f>
        <v>0</v>
      </c>
    </row>
    <row r="403" spans="1:18" customFormat="1" x14ac:dyDescent="0.25">
      <c r="A403" s="328">
        <f>Base_Données!A405</f>
        <v>0</v>
      </c>
      <c r="B403" s="181">
        <f>Base_Données!B405</f>
        <v>0</v>
      </c>
      <c r="C403" s="158">
        <f>Base_Données!C405</f>
        <v>0</v>
      </c>
      <c r="D403" s="156">
        <f>Base_Données!Q405</f>
        <v>0</v>
      </c>
      <c r="E403" s="156">
        <f>Base_Données!BR405</f>
        <v>0</v>
      </c>
      <c r="F403" s="155">
        <f>Base_Données!R405</f>
        <v>0</v>
      </c>
      <c r="G403" s="154">
        <f>Base_Données!BS405</f>
        <v>0</v>
      </c>
      <c r="H403" s="155">
        <f>SIG!F403-SIG!G403</f>
        <v>0</v>
      </c>
      <c r="I403" s="159">
        <f>Base_Données!BI405+Base_Données!BJ405-Base_Données!GC405-Base_Données!GD405</f>
        <v>0</v>
      </c>
      <c r="J403" s="154">
        <f t="shared" si="12"/>
        <v>0</v>
      </c>
      <c r="K403" s="154">
        <f>Base_Données!BK405-Base_Données!GE405</f>
        <v>0</v>
      </c>
      <c r="L403" s="159">
        <f t="shared" si="13"/>
        <v>0</v>
      </c>
      <c r="M403" s="158">
        <f>Base_Données!S405</f>
        <v>0</v>
      </c>
      <c r="N403" s="154">
        <f>Base_Données!T405-(Base_Données!BU405+Base_Données!BZ405+Base_Données!CC405)</f>
        <v>0</v>
      </c>
      <c r="O403" s="154">
        <f>Base_Données!AC405+Base_Données!AL405-(Base_Données!CI405)</f>
        <v>0</v>
      </c>
      <c r="P403" s="154">
        <f>L403+Base_Données!GJ405+Base_Données!GE405+Base_Données!GB405+Base_Données!FV405+Base_Données!FS405+Base_Données!FO405+Base_Données!FE405+Base_Données!DS405-(Base_Données!BK405+Base_Données!BH405+Base_Données!AU405)</f>
        <v>0</v>
      </c>
      <c r="Q403" s="189">
        <f>P403+Base_Données!AV405-Base_Données!FE405-Base_Données!FO405</f>
        <v>0</v>
      </c>
      <c r="R403" s="329">
        <f>SIG!Q403+Base_Données!BD405+Base_Données!BH405+Base_Données!BL405+Base_Données!BM405+Base_Données!BN405-Base_Données!GB405-Base_Données!GJ405-Base_Données!GF405</f>
        <v>0</v>
      </c>
    </row>
    <row r="404" spans="1:18" customFormat="1" x14ac:dyDescent="0.25">
      <c r="A404" s="328">
        <f>Base_Données!A406</f>
        <v>0</v>
      </c>
      <c r="B404" s="181">
        <f>Base_Données!B406</f>
        <v>0</v>
      </c>
      <c r="C404" s="158">
        <f>Base_Données!C406</f>
        <v>0</v>
      </c>
      <c r="D404" s="156">
        <f>Base_Données!Q406</f>
        <v>0</v>
      </c>
      <c r="E404" s="156">
        <f>Base_Données!BR406</f>
        <v>0</v>
      </c>
      <c r="F404" s="155">
        <f>Base_Données!R406</f>
        <v>0</v>
      </c>
      <c r="G404" s="154">
        <f>Base_Données!BS406</f>
        <v>0</v>
      </c>
      <c r="H404" s="155">
        <f>SIG!F404-SIG!G404</f>
        <v>0</v>
      </c>
      <c r="I404" s="159">
        <f>Base_Données!BI406+Base_Données!BJ406-Base_Données!GC406-Base_Données!GD406</f>
        <v>0</v>
      </c>
      <c r="J404" s="154">
        <f t="shared" si="12"/>
        <v>0</v>
      </c>
      <c r="K404" s="154">
        <f>Base_Données!BK406-Base_Données!GE406</f>
        <v>0</v>
      </c>
      <c r="L404" s="159">
        <f t="shared" si="13"/>
        <v>0</v>
      </c>
      <c r="M404" s="158">
        <f>Base_Données!S406</f>
        <v>0</v>
      </c>
      <c r="N404" s="154">
        <f>Base_Données!T406-(Base_Données!BU406+Base_Données!BZ406+Base_Données!CC406)</f>
        <v>0</v>
      </c>
      <c r="O404" s="154">
        <f>Base_Données!AC406+Base_Données!AL406-(Base_Données!CI406)</f>
        <v>0</v>
      </c>
      <c r="P404" s="154">
        <f>L404+Base_Données!GJ406+Base_Données!GE406+Base_Données!GB406+Base_Données!FV406+Base_Données!FS406+Base_Données!FO406+Base_Données!FE406+Base_Données!DS406-(Base_Données!BK406+Base_Données!BH406+Base_Données!AU406)</f>
        <v>0</v>
      </c>
      <c r="Q404" s="189">
        <f>P404+Base_Données!AV406-Base_Données!FE406-Base_Données!FO406</f>
        <v>0</v>
      </c>
      <c r="R404" s="329">
        <f>SIG!Q404+Base_Données!BD406+Base_Données!BH406+Base_Données!BL406+Base_Données!BM406+Base_Données!BN406-Base_Données!GB406-Base_Données!GJ406-Base_Données!GF406</f>
        <v>0</v>
      </c>
    </row>
    <row r="405" spans="1:18" customFormat="1" x14ac:dyDescent="0.25">
      <c r="A405" s="328">
        <f>Base_Données!A407</f>
        <v>0</v>
      </c>
      <c r="B405" s="181">
        <f>Base_Données!B407</f>
        <v>0</v>
      </c>
      <c r="C405" s="158">
        <f>Base_Données!C407</f>
        <v>0</v>
      </c>
      <c r="D405" s="156">
        <f>Base_Données!Q407</f>
        <v>0</v>
      </c>
      <c r="E405" s="156">
        <f>Base_Données!BR407</f>
        <v>0</v>
      </c>
      <c r="F405" s="155">
        <f>Base_Données!R407</f>
        <v>0</v>
      </c>
      <c r="G405" s="154">
        <f>Base_Données!BS407</f>
        <v>0</v>
      </c>
      <c r="H405" s="155">
        <f>SIG!F405-SIG!G405</f>
        <v>0</v>
      </c>
      <c r="I405" s="159">
        <f>Base_Données!BI407+Base_Données!BJ407-Base_Données!GC407-Base_Données!GD407</f>
        <v>0</v>
      </c>
      <c r="J405" s="154">
        <f t="shared" si="12"/>
        <v>0</v>
      </c>
      <c r="K405" s="154">
        <f>Base_Données!BK407-Base_Données!GE407</f>
        <v>0</v>
      </c>
      <c r="L405" s="159">
        <f t="shared" si="13"/>
        <v>0</v>
      </c>
      <c r="M405" s="158">
        <f>Base_Données!S407</f>
        <v>0</v>
      </c>
      <c r="N405" s="154">
        <f>Base_Données!T407-(Base_Données!BU407+Base_Données!BZ407+Base_Données!CC407)</f>
        <v>0</v>
      </c>
      <c r="O405" s="154">
        <f>Base_Données!AC407+Base_Données!AL407-(Base_Données!CI407)</f>
        <v>0</v>
      </c>
      <c r="P405" s="154">
        <f>L405+Base_Données!GJ407+Base_Données!GE407+Base_Données!GB407+Base_Données!FV407+Base_Données!FS407+Base_Données!FO407+Base_Données!FE407+Base_Données!DS407-(Base_Données!BK407+Base_Données!BH407+Base_Données!AU407)</f>
        <v>0</v>
      </c>
      <c r="Q405" s="189">
        <f>P405+Base_Données!AV407-Base_Données!FE407-Base_Données!FO407</f>
        <v>0</v>
      </c>
      <c r="R405" s="329">
        <f>SIG!Q405+Base_Données!BD407+Base_Données!BH407+Base_Données!BL407+Base_Données!BM407+Base_Données!BN407-Base_Données!GB407-Base_Données!GJ407-Base_Données!GF407</f>
        <v>0</v>
      </c>
    </row>
    <row r="406" spans="1:18" customFormat="1" x14ac:dyDescent="0.25">
      <c r="A406" s="328">
        <f>Base_Données!A408</f>
        <v>0</v>
      </c>
      <c r="B406" s="181">
        <f>Base_Données!B408</f>
        <v>0</v>
      </c>
      <c r="C406" s="158">
        <f>Base_Données!C408</f>
        <v>0</v>
      </c>
      <c r="D406" s="156">
        <f>Base_Données!Q408</f>
        <v>0</v>
      </c>
      <c r="E406" s="156">
        <f>Base_Données!BR408</f>
        <v>0</v>
      </c>
      <c r="F406" s="155">
        <f>Base_Données!R408</f>
        <v>0</v>
      </c>
      <c r="G406" s="154">
        <f>Base_Données!BS408</f>
        <v>0</v>
      </c>
      <c r="H406" s="155">
        <f>SIG!F406-SIG!G406</f>
        <v>0</v>
      </c>
      <c r="I406" s="159">
        <f>Base_Données!BI408+Base_Données!BJ408-Base_Données!GC408-Base_Données!GD408</f>
        <v>0</v>
      </c>
      <c r="J406" s="154">
        <f t="shared" si="12"/>
        <v>0</v>
      </c>
      <c r="K406" s="154">
        <f>Base_Données!BK408-Base_Données!GE408</f>
        <v>0</v>
      </c>
      <c r="L406" s="159">
        <f t="shared" si="13"/>
        <v>0</v>
      </c>
      <c r="M406" s="158">
        <f>Base_Données!S408</f>
        <v>0</v>
      </c>
      <c r="N406" s="154">
        <f>Base_Données!T408-(Base_Données!BU408+Base_Données!BZ408+Base_Données!CC408)</f>
        <v>0</v>
      </c>
      <c r="O406" s="154">
        <f>Base_Données!AC408+Base_Données!AL408-(Base_Données!CI408)</f>
        <v>0</v>
      </c>
      <c r="P406" s="154">
        <f>L406+Base_Données!GJ408+Base_Données!GE408+Base_Données!GB408+Base_Données!FV408+Base_Données!FS408+Base_Données!FO408+Base_Données!FE408+Base_Données!DS408-(Base_Données!BK408+Base_Données!BH408+Base_Données!AU408)</f>
        <v>0</v>
      </c>
      <c r="Q406" s="189">
        <f>P406+Base_Données!AV408-Base_Données!FE408-Base_Données!FO408</f>
        <v>0</v>
      </c>
      <c r="R406" s="329">
        <f>SIG!Q406+Base_Données!BD408+Base_Données!BH408+Base_Données!BL408+Base_Données!BM408+Base_Données!BN408-Base_Données!GB408-Base_Données!GJ408-Base_Données!GF408</f>
        <v>0</v>
      </c>
    </row>
    <row r="407" spans="1:18" customFormat="1" x14ac:dyDescent="0.25">
      <c r="A407" s="328">
        <f>Base_Données!A409</f>
        <v>0</v>
      </c>
      <c r="B407" s="181">
        <f>Base_Données!B409</f>
        <v>0</v>
      </c>
      <c r="C407" s="158">
        <f>Base_Données!C409</f>
        <v>0</v>
      </c>
      <c r="D407" s="156">
        <f>Base_Données!Q409</f>
        <v>0</v>
      </c>
      <c r="E407" s="156">
        <f>Base_Données!BR409</f>
        <v>0</v>
      </c>
      <c r="F407" s="155">
        <f>Base_Données!R409</f>
        <v>0</v>
      </c>
      <c r="G407" s="154">
        <f>Base_Données!BS409</f>
        <v>0</v>
      </c>
      <c r="H407" s="155">
        <f>SIG!F407-SIG!G407</f>
        <v>0</v>
      </c>
      <c r="I407" s="159">
        <f>Base_Données!BI409+Base_Données!BJ409-Base_Données!GC409-Base_Données!GD409</f>
        <v>0</v>
      </c>
      <c r="J407" s="154">
        <f t="shared" si="12"/>
        <v>0</v>
      </c>
      <c r="K407" s="154">
        <f>Base_Données!BK409-Base_Données!GE409</f>
        <v>0</v>
      </c>
      <c r="L407" s="159">
        <f t="shared" si="13"/>
        <v>0</v>
      </c>
      <c r="M407" s="158">
        <f>Base_Données!S409</f>
        <v>0</v>
      </c>
      <c r="N407" s="154">
        <f>Base_Données!T409-(Base_Données!BU409+Base_Données!BZ409+Base_Données!CC409)</f>
        <v>0</v>
      </c>
      <c r="O407" s="154">
        <f>Base_Données!AC409+Base_Données!AL409-(Base_Données!CI409)</f>
        <v>0</v>
      </c>
      <c r="P407" s="154">
        <f>L407+Base_Données!GJ409+Base_Données!GE409+Base_Données!GB409+Base_Données!FV409+Base_Données!FS409+Base_Données!FO409+Base_Données!FE409+Base_Données!DS409-(Base_Données!BK409+Base_Données!BH409+Base_Données!AU409)</f>
        <v>0</v>
      </c>
      <c r="Q407" s="189">
        <f>P407+Base_Données!AV409-Base_Données!FE409-Base_Données!FO409</f>
        <v>0</v>
      </c>
      <c r="R407" s="329">
        <f>SIG!Q407+Base_Données!BD409+Base_Données!BH409+Base_Données!BL409+Base_Données!BM409+Base_Données!BN409-Base_Données!GB409-Base_Données!GJ409-Base_Données!GF409</f>
        <v>0</v>
      </c>
    </row>
    <row r="408" spans="1:18" customFormat="1" x14ac:dyDescent="0.25">
      <c r="A408" s="328">
        <f>Base_Données!A410</f>
        <v>0</v>
      </c>
      <c r="B408" s="181">
        <f>Base_Données!B410</f>
        <v>0</v>
      </c>
      <c r="C408" s="158">
        <f>Base_Données!C410</f>
        <v>0</v>
      </c>
      <c r="D408" s="156">
        <f>Base_Données!Q410</f>
        <v>0</v>
      </c>
      <c r="E408" s="156">
        <f>Base_Données!BR410</f>
        <v>0</v>
      </c>
      <c r="F408" s="155">
        <f>Base_Données!R410</f>
        <v>0</v>
      </c>
      <c r="G408" s="154">
        <f>Base_Données!BS410</f>
        <v>0</v>
      </c>
      <c r="H408" s="155">
        <f>SIG!F408-SIG!G408</f>
        <v>0</v>
      </c>
      <c r="I408" s="159">
        <f>Base_Données!BI410+Base_Données!BJ410-Base_Données!GC410-Base_Données!GD410</f>
        <v>0</v>
      </c>
      <c r="J408" s="154">
        <f t="shared" si="12"/>
        <v>0</v>
      </c>
      <c r="K408" s="154">
        <f>Base_Données!BK410-Base_Données!GE410</f>
        <v>0</v>
      </c>
      <c r="L408" s="159">
        <f t="shared" si="13"/>
        <v>0</v>
      </c>
      <c r="M408" s="158">
        <f>Base_Données!S410</f>
        <v>0</v>
      </c>
      <c r="N408" s="154">
        <f>Base_Données!T410-(Base_Données!BU410+Base_Données!BZ410+Base_Données!CC410)</f>
        <v>0</v>
      </c>
      <c r="O408" s="154">
        <f>Base_Données!AC410+Base_Données!AL410-(Base_Données!CI410)</f>
        <v>0</v>
      </c>
      <c r="P408" s="154">
        <f>L408+Base_Données!GJ410+Base_Données!GE410+Base_Données!GB410+Base_Données!FV410+Base_Données!FS410+Base_Données!FO410+Base_Données!FE410+Base_Données!DS410-(Base_Données!BK410+Base_Données!BH410+Base_Données!AU410)</f>
        <v>0</v>
      </c>
      <c r="Q408" s="189">
        <f>P408+Base_Données!AV410-Base_Données!FE410-Base_Données!FO410</f>
        <v>0</v>
      </c>
      <c r="R408" s="329">
        <f>SIG!Q408+Base_Données!BD410+Base_Données!BH410+Base_Données!BL410+Base_Données!BM410+Base_Données!BN410-Base_Données!GB410-Base_Données!GJ410-Base_Données!GF410</f>
        <v>0</v>
      </c>
    </row>
    <row r="409" spans="1:18" customFormat="1" x14ac:dyDescent="0.25">
      <c r="A409" s="328">
        <f>Base_Données!A411</f>
        <v>0</v>
      </c>
      <c r="B409" s="181">
        <f>Base_Données!B411</f>
        <v>0</v>
      </c>
      <c r="C409" s="158">
        <f>Base_Données!C411</f>
        <v>0</v>
      </c>
      <c r="D409" s="156">
        <f>Base_Données!Q411</f>
        <v>0</v>
      </c>
      <c r="E409" s="156">
        <f>Base_Données!BR411</f>
        <v>0</v>
      </c>
      <c r="F409" s="155">
        <f>Base_Données!R411</f>
        <v>0</v>
      </c>
      <c r="G409" s="154">
        <f>Base_Données!BS411</f>
        <v>0</v>
      </c>
      <c r="H409" s="155">
        <f>SIG!F409-SIG!G409</f>
        <v>0</v>
      </c>
      <c r="I409" s="159">
        <f>Base_Données!BI411+Base_Données!BJ411-Base_Données!GC411-Base_Données!GD411</f>
        <v>0</v>
      </c>
      <c r="J409" s="154">
        <f t="shared" si="12"/>
        <v>0</v>
      </c>
      <c r="K409" s="154">
        <f>Base_Données!BK411-Base_Données!GE411</f>
        <v>0</v>
      </c>
      <c r="L409" s="159">
        <f t="shared" si="13"/>
        <v>0</v>
      </c>
      <c r="M409" s="158">
        <f>Base_Données!S411</f>
        <v>0</v>
      </c>
      <c r="N409" s="154">
        <f>Base_Données!T411-(Base_Données!BU411+Base_Données!BZ411+Base_Données!CC411)</f>
        <v>0</v>
      </c>
      <c r="O409" s="154">
        <f>Base_Données!AC411+Base_Données!AL411-(Base_Données!CI411)</f>
        <v>0</v>
      </c>
      <c r="P409" s="154">
        <f>L409+Base_Données!GJ411+Base_Données!GE411+Base_Données!GB411+Base_Données!FV411+Base_Données!FS411+Base_Données!FO411+Base_Données!FE411+Base_Données!DS411-(Base_Données!BK411+Base_Données!BH411+Base_Données!AU411)</f>
        <v>0</v>
      </c>
      <c r="Q409" s="189">
        <f>P409+Base_Données!AV411-Base_Données!FE411-Base_Données!FO411</f>
        <v>0</v>
      </c>
      <c r="R409" s="329">
        <f>SIG!Q409+Base_Données!BD411+Base_Données!BH411+Base_Données!BL411+Base_Données!BM411+Base_Données!BN411-Base_Données!GB411-Base_Données!GJ411-Base_Données!GF411</f>
        <v>0</v>
      </c>
    </row>
    <row r="410" spans="1:18" customFormat="1" x14ac:dyDescent="0.25">
      <c r="A410" s="328">
        <f>Base_Données!A412</f>
        <v>0</v>
      </c>
      <c r="B410" s="181">
        <f>Base_Données!B412</f>
        <v>0</v>
      </c>
      <c r="C410" s="158">
        <f>Base_Données!C412</f>
        <v>0</v>
      </c>
      <c r="D410" s="156">
        <f>Base_Données!Q412</f>
        <v>0</v>
      </c>
      <c r="E410" s="156">
        <f>Base_Données!BR412</f>
        <v>0</v>
      </c>
      <c r="F410" s="155">
        <f>Base_Données!R412</f>
        <v>0</v>
      </c>
      <c r="G410" s="154">
        <f>Base_Données!BS412</f>
        <v>0</v>
      </c>
      <c r="H410" s="155">
        <f>SIG!F410-SIG!G410</f>
        <v>0</v>
      </c>
      <c r="I410" s="159">
        <f>Base_Données!BI412+Base_Données!BJ412-Base_Données!GC412-Base_Données!GD412</f>
        <v>0</v>
      </c>
      <c r="J410" s="154">
        <f t="shared" si="12"/>
        <v>0</v>
      </c>
      <c r="K410" s="154">
        <f>Base_Données!BK412-Base_Données!GE412</f>
        <v>0</v>
      </c>
      <c r="L410" s="159">
        <f t="shared" si="13"/>
        <v>0</v>
      </c>
      <c r="M410" s="158">
        <f>Base_Données!S412</f>
        <v>0</v>
      </c>
      <c r="N410" s="154">
        <f>Base_Données!T412-(Base_Données!BU412+Base_Données!BZ412+Base_Données!CC412)</f>
        <v>0</v>
      </c>
      <c r="O410" s="154">
        <f>Base_Données!AC412+Base_Données!AL412-(Base_Données!CI412)</f>
        <v>0</v>
      </c>
      <c r="P410" s="154">
        <f>L410+Base_Données!GJ412+Base_Données!GE412+Base_Données!GB412+Base_Données!FV412+Base_Données!FS412+Base_Données!FO412+Base_Données!FE412+Base_Données!DS412-(Base_Données!BK412+Base_Données!BH412+Base_Données!AU412)</f>
        <v>0</v>
      </c>
      <c r="Q410" s="189">
        <f>P410+Base_Données!AV412-Base_Données!FE412-Base_Données!FO412</f>
        <v>0</v>
      </c>
      <c r="R410" s="329">
        <f>SIG!Q410+Base_Données!BD412+Base_Données!BH412+Base_Données!BL412+Base_Données!BM412+Base_Données!BN412-Base_Données!GB412-Base_Données!GJ412-Base_Données!GF412</f>
        <v>0</v>
      </c>
    </row>
    <row r="411" spans="1:18" customFormat="1" x14ac:dyDescent="0.25">
      <c r="A411" s="328">
        <f>Base_Données!A413</f>
        <v>0</v>
      </c>
      <c r="B411" s="181">
        <f>Base_Données!B413</f>
        <v>0</v>
      </c>
      <c r="C411" s="158">
        <f>Base_Données!C413</f>
        <v>0</v>
      </c>
      <c r="D411" s="156">
        <f>Base_Données!Q413</f>
        <v>0</v>
      </c>
      <c r="E411" s="156">
        <f>Base_Données!BR413</f>
        <v>0</v>
      </c>
      <c r="F411" s="155">
        <f>Base_Données!R413</f>
        <v>0</v>
      </c>
      <c r="G411" s="154">
        <f>Base_Données!BS413</f>
        <v>0</v>
      </c>
      <c r="H411" s="155">
        <f>SIG!F411-SIG!G411</f>
        <v>0</v>
      </c>
      <c r="I411" s="159">
        <f>Base_Données!BI413+Base_Données!BJ413-Base_Données!GC413-Base_Données!GD413</f>
        <v>0</v>
      </c>
      <c r="J411" s="154">
        <f t="shared" si="12"/>
        <v>0</v>
      </c>
      <c r="K411" s="154">
        <f>Base_Données!BK413-Base_Données!GE413</f>
        <v>0</v>
      </c>
      <c r="L411" s="159">
        <f t="shared" si="13"/>
        <v>0</v>
      </c>
      <c r="M411" s="158">
        <f>Base_Données!S413</f>
        <v>0</v>
      </c>
      <c r="N411" s="154">
        <f>Base_Données!T413-(Base_Données!BU413+Base_Données!BZ413+Base_Données!CC413)</f>
        <v>0</v>
      </c>
      <c r="O411" s="154">
        <f>Base_Données!AC413+Base_Données!AL413-(Base_Données!CI413)</f>
        <v>0</v>
      </c>
      <c r="P411" s="154">
        <f>L411+Base_Données!GJ413+Base_Données!GE413+Base_Données!GB413+Base_Données!FV413+Base_Données!FS413+Base_Données!FO413+Base_Données!FE413+Base_Données!DS413-(Base_Données!BK413+Base_Données!BH413+Base_Données!AU413)</f>
        <v>0</v>
      </c>
      <c r="Q411" s="189">
        <f>P411+Base_Données!AV413-Base_Données!FE413-Base_Données!FO413</f>
        <v>0</v>
      </c>
      <c r="R411" s="329">
        <f>SIG!Q411+Base_Données!BD413+Base_Données!BH413+Base_Données!BL413+Base_Données!BM413+Base_Données!BN413-Base_Données!GB413-Base_Données!GJ413-Base_Données!GF413</f>
        <v>0</v>
      </c>
    </row>
    <row r="412" spans="1:18" customFormat="1" x14ac:dyDescent="0.25">
      <c r="A412" s="328">
        <f>Base_Données!A414</f>
        <v>0</v>
      </c>
      <c r="B412" s="181">
        <f>Base_Données!B414</f>
        <v>0</v>
      </c>
      <c r="C412" s="158">
        <f>Base_Données!C414</f>
        <v>0</v>
      </c>
      <c r="D412" s="156">
        <f>Base_Données!Q414</f>
        <v>0</v>
      </c>
      <c r="E412" s="156">
        <f>Base_Données!BR414</f>
        <v>0</v>
      </c>
      <c r="F412" s="155">
        <f>Base_Données!R414</f>
        <v>0</v>
      </c>
      <c r="G412" s="154">
        <f>Base_Données!BS414</f>
        <v>0</v>
      </c>
      <c r="H412" s="155">
        <f>SIG!F412-SIG!G412</f>
        <v>0</v>
      </c>
      <c r="I412" s="159">
        <f>Base_Données!BI414+Base_Données!BJ414-Base_Données!GC414-Base_Données!GD414</f>
        <v>0</v>
      </c>
      <c r="J412" s="154">
        <f t="shared" si="12"/>
        <v>0</v>
      </c>
      <c r="K412" s="154">
        <f>Base_Données!BK414-Base_Données!GE414</f>
        <v>0</v>
      </c>
      <c r="L412" s="159">
        <f t="shared" si="13"/>
        <v>0</v>
      </c>
      <c r="M412" s="158">
        <f>Base_Données!S414</f>
        <v>0</v>
      </c>
      <c r="N412" s="154">
        <f>Base_Données!T414-(Base_Données!BU414+Base_Données!BZ414+Base_Données!CC414)</f>
        <v>0</v>
      </c>
      <c r="O412" s="154">
        <f>Base_Données!AC414+Base_Données!AL414-(Base_Données!CI414)</f>
        <v>0</v>
      </c>
      <c r="P412" s="154">
        <f>L412+Base_Données!GJ414+Base_Données!GE414+Base_Données!GB414+Base_Données!FV414+Base_Données!FS414+Base_Données!FO414+Base_Données!FE414+Base_Données!DS414-(Base_Données!BK414+Base_Données!BH414+Base_Données!AU414)</f>
        <v>0</v>
      </c>
      <c r="Q412" s="189">
        <f>P412+Base_Données!AV414-Base_Données!FE414-Base_Données!FO414</f>
        <v>0</v>
      </c>
      <c r="R412" s="329">
        <f>SIG!Q412+Base_Données!BD414+Base_Données!BH414+Base_Données!BL414+Base_Données!BM414+Base_Données!BN414-Base_Données!GB414-Base_Données!GJ414-Base_Données!GF414</f>
        <v>0</v>
      </c>
    </row>
    <row r="413" spans="1:18" customFormat="1" x14ac:dyDescent="0.25">
      <c r="A413" s="328">
        <f>Base_Données!A415</f>
        <v>0</v>
      </c>
      <c r="B413" s="181">
        <f>Base_Données!B415</f>
        <v>0</v>
      </c>
      <c r="C413" s="158">
        <f>Base_Données!C415</f>
        <v>0</v>
      </c>
      <c r="D413" s="156">
        <f>Base_Données!Q415</f>
        <v>0</v>
      </c>
      <c r="E413" s="156">
        <f>Base_Données!BR415</f>
        <v>0</v>
      </c>
      <c r="F413" s="155">
        <f>Base_Données!R415</f>
        <v>0</v>
      </c>
      <c r="G413" s="154">
        <f>Base_Données!BS415</f>
        <v>0</v>
      </c>
      <c r="H413" s="155">
        <f>SIG!F413-SIG!G413</f>
        <v>0</v>
      </c>
      <c r="I413" s="159">
        <f>Base_Données!BI415+Base_Données!BJ415-Base_Données!GC415-Base_Données!GD415</f>
        <v>0</v>
      </c>
      <c r="J413" s="154">
        <f t="shared" si="12"/>
        <v>0</v>
      </c>
      <c r="K413" s="154">
        <f>Base_Données!BK415-Base_Données!GE415</f>
        <v>0</v>
      </c>
      <c r="L413" s="159">
        <f t="shared" si="13"/>
        <v>0</v>
      </c>
      <c r="M413" s="158">
        <f>Base_Données!S415</f>
        <v>0</v>
      </c>
      <c r="N413" s="154">
        <f>Base_Données!T415-(Base_Données!BU415+Base_Données!BZ415+Base_Données!CC415)</f>
        <v>0</v>
      </c>
      <c r="O413" s="154">
        <f>Base_Données!AC415+Base_Données!AL415-(Base_Données!CI415)</f>
        <v>0</v>
      </c>
      <c r="P413" s="154">
        <f>L413+Base_Données!GJ415+Base_Données!GE415+Base_Données!GB415+Base_Données!FV415+Base_Données!FS415+Base_Données!FO415+Base_Données!FE415+Base_Données!DS415-(Base_Données!BK415+Base_Données!BH415+Base_Données!AU415)</f>
        <v>0</v>
      </c>
      <c r="Q413" s="189">
        <f>P413+Base_Données!AV415-Base_Données!FE415-Base_Données!FO415</f>
        <v>0</v>
      </c>
      <c r="R413" s="329">
        <f>SIG!Q413+Base_Données!BD415+Base_Données!BH415+Base_Données!BL415+Base_Données!BM415+Base_Données!BN415-Base_Données!GB415-Base_Données!GJ415-Base_Données!GF415</f>
        <v>0</v>
      </c>
    </row>
    <row r="414" spans="1:18" customFormat="1" x14ac:dyDescent="0.25">
      <c r="A414" s="328">
        <f>Base_Données!A416</f>
        <v>0</v>
      </c>
      <c r="B414" s="181">
        <f>Base_Données!B416</f>
        <v>0</v>
      </c>
      <c r="C414" s="158">
        <f>Base_Données!C416</f>
        <v>0</v>
      </c>
      <c r="D414" s="156">
        <f>Base_Données!Q416</f>
        <v>0</v>
      </c>
      <c r="E414" s="156">
        <f>Base_Données!BR416</f>
        <v>0</v>
      </c>
      <c r="F414" s="155">
        <f>Base_Données!R416</f>
        <v>0</v>
      </c>
      <c r="G414" s="154">
        <f>Base_Données!BS416</f>
        <v>0</v>
      </c>
      <c r="H414" s="155">
        <f>SIG!F414-SIG!G414</f>
        <v>0</v>
      </c>
      <c r="I414" s="159">
        <f>Base_Données!BI416+Base_Données!BJ416-Base_Données!GC416-Base_Données!GD416</f>
        <v>0</v>
      </c>
      <c r="J414" s="154">
        <f t="shared" si="12"/>
        <v>0</v>
      </c>
      <c r="K414" s="154">
        <f>Base_Données!BK416-Base_Données!GE416</f>
        <v>0</v>
      </c>
      <c r="L414" s="159">
        <f t="shared" si="13"/>
        <v>0</v>
      </c>
      <c r="M414" s="158">
        <f>Base_Données!S416</f>
        <v>0</v>
      </c>
      <c r="N414" s="154">
        <f>Base_Données!T416-(Base_Données!BU416+Base_Données!BZ416+Base_Données!CC416)</f>
        <v>0</v>
      </c>
      <c r="O414" s="154">
        <f>Base_Données!AC416+Base_Données!AL416-(Base_Données!CI416)</f>
        <v>0</v>
      </c>
      <c r="P414" s="154">
        <f>L414+Base_Données!GJ416+Base_Données!GE416+Base_Données!GB416+Base_Données!FV416+Base_Données!FS416+Base_Données!FO416+Base_Données!FE416+Base_Données!DS416-(Base_Données!BK416+Base_Données!BH416+Base_Données!AU416)</f>
        <v>0</v>
      </c>
      <c r="Q414" s="189">
        <f>P414+Base_Données!AV416-Base_Données!FE416-Base_Données!FO416</f>
        <v>0</v>
      </c>
      <c r="R414" s="329">
        <f>SIG!Q414+Base_Données!BD416+Base_Données!BH416+Base_Données!BL416+Base_Données!BM416+Base_Données!BN416-Base_Données!GB416-Base_Données!GJ416-Base_Données!GF416</f>
        <v>0</v>
      </c>
    </row>
    <row r="415" spans="1:18" customFormat="1" x14ac:dyDescent="0.25">
      <c r="A415" s="328">
        <f>Base_Données!A417</f>
        <v>0</v>
      </c>
      <c r="B415" s="181">
        <f>Base_Données!B417</f>
        <v>0</v>
      </c>
      <c r="C415" s="158">
        <f>Base_Données!C417</f>
        <v>0</v>
      </c>
      <c r="D415" s="156">
        <f>Base_Données!Q417</f>
        <v>0</v>
      </c>
      <c r="E415" s="156">
        <f>Base_Données!BR417</f>
        <v>0</v>
      </c>
      <c r="F415" s="155">
        <f>Base_Données!R417</f>
        <v>0</v>
      </c>
      <c r="G415" s="154">
        <f>Base_Données!BS417</f>
        <v>0</v>
      </c>
      <c r="H415" s="155">
        <f>SIG!F415-SIG!G415</f>
        <v>0</v>
      </c>
      <c r="I415" s="159">
        <f>Base_Données!BI417+Base_Données!BJ417-Base_Données!GC417-Base_Données!GD417</f>
        <v>0</v>
      </c>
      <c r="J415" s="154">
        <f t="shared" si="12"/>
        <v>0</v>
      </c>
      <c r="K415" s="154">
        <f>Base_Données!BK417-Base_Données!GE417</f>
        <v>0</v>
      </c>
      <c r="L415" s="159">
        <f t="shared" si="13"/>
        <v>0</v>
      </c>
      <c r="M415" s="158">
        <f>Base_Données!S417</f>
        <v>0</v>
      </c>
      <c r="N415" s="154">
        <f>Base_Données!T417-(Base_Données!BU417+Base_Données!BZ417+Base_Données!CC417)</f>
        <v>0</v>
      </c>
      <c r="O415" s="154">
        <f>Base_Données!AC417+Base_Données!AL417-(Base_Données!CI417)</f>
        <v>0</v>
      </c>
      <c r="P415" s="154">
        <f>L415+Base_Données!GJ417+Base_Données!GE417+Base_Données!GB417+Base_Données!FV417+Base_Données!FS417+Base_Données!FO417+Base_Données!FE417+Base_Données!DS417-(Base_Données!BK417+Base_Données!BH417+Base_Données!AU417)</f>
        <v>0</v>
      </c>
      <c r="Q415" s="189">
        <f>P415+Base_Données!AV417-Base_Données!FE417-Base_Données!FO417</f>
        <v>0</v>
      </c>
      <c r="R415" s="329">
        <f>SIG!Q415+Base_Données!BD417+Base_Données!BH417+Base_Données!BL417+Base_Données!BM417+Base_Données!BN417-Base_Données!GB417-Base_Données!GJ417-Base_Données!GF417</f>
        <v>0</v>
      </c>
    </row>
    <row r="416" spans="1:18" customFormat="1" x14ac:dyDescent="0.25">
      <c r="A416" s="328">
        <f>Base_Données!A418</f>
        <v>0</v>
      </c>
      <c r="B416" s="181">
        <f>Base_Données!B418</f>
        <v>0</v>
      </c>
      <c r="C416" s="158">
        <f>Base_Données!C418</f>
        <v>0</v>
      </c>
      <c r="D416" s="156">
        <f>Base_Données!Q418</f>
        <v>0</v>
      </c>
      <c r="E416" s="156">
        <f>Base_Données!BR418</f>
        <v>0</v>
      </c>
      <c r="F416" s="155">
        <f>Base_Données!R418</f>
        <v>0</v>
      </c>
      <c r="G416" s="154">
        <f>Base_Données!BS418</f>
        <v>0</v>
      </c>
      <c r="H416" s="155">
        <f>SIG!F416-SIG!G416</f>
        <v>0</v>
      </c>
      <c r="I416" s="159">
        <f>Base_Données!BI418+Base_Données!BJ418-Base_Données!GC418-Base_Données!GD418</f>
        <v>0</v>
      </c>
      <c r="J416" s="154">
        <f t="shared" si="12"/>
        <v>0</v>
      </c>
      <c r="K416" s="154">
        <f>Base_Données!BK418-Base_Données!GE418</f>
        <v>0</v>
      </c>
      <c r="L416" s="159">
        <f t="shared" si="13"/>
        <v>0</v>
      </c>
      <c r="M416" s="158">
        <f>Base_Données!S418</f>
        <v>0</v>
      </c>
      <c r="N416" s="154">
        <f>Base_Données!T418-(Base_Données!BU418+Base_Données!BZ418+Base_Données!CC418)</f>
        <v>0</v>
      </c>
      <c r="O416" s="154">
        <f>Base_Données!AC418+Base_Données!AL418-(Base_Données!CI418)</f>
        <v>0</v>
      </c>
      <c r="P416" s="154">
        <f>L416+Base_Données!GJ418+Base_Données!GE418+Base_Données!GB418+Base_Données!FV418+Base_Données!FS418+Base_Données!FO418+Base_Données!FE418+Base_Données!DS418-(Base_Données!BK418+Base_Données!BH418+Base_Données!AU418)</f>
        <v>0</v>
      </c>
      <c r="Q416" s="189">
        <f>P416+Base_Données!AV418-Base_Données!FE418-Base_Données!FO418</f>
        <v>0</v>
      </c>
      <c r="R416" s="329">
        <f>SIG!Q416+Base_Données!BD418+Base_Données!BH418+Base_Données!BL418+Base_Données!BM418+Base_Données!BN418-Base_Données!GB418-Base_Données!GJ418-Base_Données!GF418</f>
        <v>0</v>
      </c>
    </row>
    <row r="417" spans="1:18" customFormat="1" x14ac:dyDescent="0.25">
      <c r="A417" s="328">
        <f>Base_Données!A419</f>
        <v>0</v>
      </c>
      <c r="B417" s="181">
        <f>Base_Données!B419</f>
        <v>0</v>
      </c>
      <c r="C417" s="158">
        <f>Base_Données!C419</f>
        <v>0</v>
      </c>
      <c r="D417" s="156">
        <f>Base_Données!Q419</f>
        <v>0</v>
      </c>
      <c r="E417" s="156">
        <f>Base_Données!BR419</f>
        <v>0</v>
      </c>
      <c r="F417" s="155">
        <f>Base_Données!R419</f>
        <v>0</v>
      </c>
      <c r="G417" s="154">
        <f>Base_Données!BS419</f>
        <v>0</v>
      </c>
      <c r="H417" s="155">
        <f>SIG!F417-SIG!G417</f>
        <v>0</v>
      </c>
      <c r="I417" s="159">
        <f>Base_Données!BI419+Base_Données!BJ419-Base_Données!GC419-Base_Données!GD419</f>
        <v>0</v>
      </c>
      <c r="J417" s="154">
        <f t="shared" si="12"/>
        <v>0</v>
      </c>
      <c r="K417" s="154">
        <f>Base_Données!BK419-Base_Données!GE419</f>
        <v>0</v>
      </c>
      <c r="L417" s="159">
        <f t="shared" si="13"/>
        <v>0</v>
      </c>
      <c r="M417" s="158">
        <f>Base_Données!S419</f>
        <v>0</v>
      </c>
      <c r="N417" s="154">
        <f>Base_Données!T419-(Base_Données!BU419+Base_Données!BZ419+Base_Données!CC419)</f>
        <v>0</v>
      </c>
      <c r="O417" s="154">
        <f>Base_Données!AC419+Base_Données!AL419-(Base_Données!CI419)</f>
        <v>0</v>
      </c>
      <c r="P417" s="154">
        <f>L417+Base_Données!GJ419+Base_Données!GE419+Base_Données!GB419+Base_Données!FV419+Base_Données!FS419+Base_Données!FO419+Base_Données!FE419+Base_Données!DS419-(Base_Données!BK419+Base_Données!BH419+Base_Données!AU419)</f>
        <v>0</v>
      </c>
      <c r="Q417" s="189">
        <f>P417+Base_Données!AV419-Base_Données!FE419-Base_Données!FO419</f>
        <v>0</v>
      </c>
      <c r="R417" s="329">
        <f>SIG!Q417+Base_Données!BD419+Base_Données!BH419+Base_Données!BL419+Base_Données!BM419+Base_Données!BN419-Base_Données!GB419-Base_Données!GJ419-Base_Données!GF419</f>
        <v>0</v>
      </c>
    </row>
    <row r="418" spans="1:18" customFormat="1" x14ac:dyDescent="0.25">
      <c r="A418" s="328">
        <f>Base_Données!A420</f>
        <v>0</v>
      </c>
      <c r="B418" s="181">
        <f>Base_Données!B420</f>
        <v>0</v>
      </c>
      <c r="C418" s="158">
        <f>Base_Données!C420</f>
        <v>0</v>
      </c>
      <c r="D418" s="156">
        <f>Base_Données!Q420</f>
        <v>0</v>
      </c>
      <c r="E418" s="156">
        <f>Base_Données!BR420</f>
        <v>0</v>
      </c>
      <c r="F418" s="155">
        <f>Base_Données!R420</f>
        <v>0</v>
      </c>
      <c r="G418" s="154">
        <f>Base_Données!BS420</f>
        <v>0</v>
      </c>
      <c r="H418" s="155">
        <f>SIG!F418-SIG!G418</f>
        <v>0</v>
      </c>
      <c r="I418" s="159">
        <f>Base_Données!BI420+Base_Données!BJ420-Base_Données!GC420-Base_Données!GD420</f>
        <v>0</v>
      </c>
      <c r="J418" s="154">
        <f t="shared" si="12"/>
        <v>0</v>
      </c>
      <c r="K418" s="154">
        <f>Base_Données!BK420-Base_Données!GE420</f>
        <v>0</v>
      </c>
      <c r="L418" s="159">
        <f t="shared" si="13"/>
        <v>0</v>
      </c>
      <c r="M418" s="158">
        <f>Base_Données!S420</f>
        <v>0</v>
      </c>
      <c r="N418" s="154">
        <f>Base_Données!T420-(Base_Données!BU420+Base_Données!BZ420+Base_Données!CC420)</f>
        <v>0</v>
      </c>
      <c r="O418" s="154">
        <f>Base_Données!AC420+Base_Données!AL420-(Base_Données!CI420)</f>
        <v>0</v>
      </c>
      <c r="P418" s="154">
        <f>L418+Base_Données!GJ420+Base_Données!GE420+Base_Données!GB420+Base_Données!FV420+Base_Données!FS420+Base_Données!FO420+Base_Données!FE420+Base_Données!DS420-(Base_Données!BK420+Base_Données!BH420+Base_Données!AU420)</f>
        <v>0</v>
      </c>
      <c r="Q418" s="189">
        <f>P418+Base_Données!AV420-Base_Données!FE420-Base_Données!FO420</f>
        <v>0</v>
      </c>
      <c r="R418" s="329">
        <f>SIG!Q418+Base_Données!BD420+Base_Données!BH420+Base_Données!BL420+Base_Données!BM420+Base_Données!BN420-Base_Données!GB420-Base_Données!GJ420-Base_Données!GF420</f>
        <v>0</v>
      </c>
    </row>
    <row r="419" spans="1:18" customFormat="1" x14ac:dyDescent="0.25">
      <c r="A419" s="328">
        <f>Base_Données!A421</f>
        <v>0</v>
      </c>
      <c r="B419" s="181">
        <f>Base_Données!B421</f>
        <v>0</v>
      </c>
      <c r="C419" s="158">
        <f>Base_Données!C421</f>
        <v>0</v>
      </c>
      <c r="D419" s="156">
        <f>Base_Données!Q421</f>
        <v>0</v>
      </c>
      <c r="E419" s="156">
        <f>Base_Données!BR421</f>
        <v>0</v>
      </c>
      <c r="F419" s="155">
        <f>Base_Données!R421</f>
        <v>0</v>
      </c>
      <c r="G419" s="154">
        <f>Base_Données!BS421</f>
        <v>0</v>
      </c>
      <c r="H419" s="155">
        <f>SIG!F419-SIG!G419</f>
        <v>0</v>
      </c>
      <c r="I419" s="159">
        <f>Base_Données!BI421+Base_Données!BJ421-Base_Données!GC421-Base_Données!GD421</f>
        <v>0</v>
      </c>
      <c r="J419" s="154">
        <f t="shared" si="12"/>
        <v>0</v>
      </c>
      <c r="K419" s="154">
        <f>Base_Données!BK421-Base_Données!GE421</f>
        <v>0</v>
      </c>
      <c r="L419" s="159">
        <f t="shared" si="13"/>
        <v>0</v>
      </c>
      <c r="M419" s="158">
        <f>Base_Données!S421</f>
        <v>0</v>
      </c>
      <c r="N419" s="154">
        <f>Base_Données!T421-(Base_Données!BU421+Base_Données!BZ421+Base_Données!CC421)</f>
        <v>0</v>
      </c>
      <c r="O419" s="154">
        <f>Base_Données!AC421+Base_Données!AL421-(Base_Données!CI421)</f>
        <v>0</v>
      </c>
      <c r="P419" s="154">
        <f>L419+Base_Données!GJ421+Base_Données!GE421+Base_Données!GB421+Base_Données!FV421+Base_Données!FS421+Base_Données!FO421+Base_Données!FE421+Base_Données!DS421-(Base_Données!BK421+Base_Données!BH421+Base_Données!AU421)</f>
        <v>0</v>
      </c>
      <c r="Q419" s="189">
        <f>P419+Base_Données!AV421-Base_Données!FE421-Base_Données!FO421</f>
        <v>0</v>
      </c>
      <c r="R419" s="329">
        <f>SIG!Q419+Base_Données!BD421+Base_Données!BH421+Base_Données!BL421+Base_Données!BM421+Base_Données!BN421-Base_Données!GB421-Base_Données!GJ421-Base_Données!GF421</f>
        <v>0</v>
      </c>
    </row>
    <row r="420" spans="1:18" customFormat="1" x14ac:dyDescent="0.25">
      <c r="A420" s="328">
        <f>Base_Données!A422</f>
        <v>0</v>
      </c>
      <c r="B420" s="181">
        <f>Base_Données!B422</f>
        <v>0</v>
      </c>
      <c r="C420" s="158">
        <f>Base_Données!C422</f>
        <v>0</v>
      </c>
      <c r="D420" s="156">
        <f>Base_Données!Q422</f>
        <v>0</v>
      </c>
      <c r="E420" s="156">
        <f>Base_Données!BR422</f>
        <v>0</v>
      </c>
      <c r="F420" s="155">
        <f>Base_Données!R422</f>
        <v>0</v>
      </c>
      <c r="G420" s="154">
        <f>Base_Données!BS422</f>
        <v>0</v>
      </c>
      <c r="H420" s="155">
        <f>SIG!F420-SIG!G420</f>
        <v>0</v>
      </c>
      <c r="I420" s="159">
        <f>Base_Données!BI422+Base_Données!BJ422-Base_Données!GC422-Base_Données!GD422</f>
        <v>0</v>
      </c>
      <c r="J420" s="154">
        <f t="shared" si="12"/>
        <v>0</v>
      </c>
      <c r="K420" s="154">
        <f>Base_Données!BK422-Base_Données!GE422</f>
        <v>0</v>
      </c>
      <c r="L420" s="159">
        <f t="shared" si="13"/>
        <v>0</v>
      </c>
      <c r="M420" s="158">
        <f>Base_Données!S422</f>
        <v>0</v>
      </c>
      <c r="N420" s="154">
        <f>Base_Données!T422-(Base_Données!BU422+Base_Données!BZ422+Base_Données!CC422)</f>
        <v>0</v>
      </c>
      <c r="O420" s="154">
        <f>Base_Données!AC422+Base_Données!AL422-(Base_Données!CI422)</f>
        <v>0</v>
      </c>
      <c r="P420" s="154">
        <f>L420+Base_Données!GJ422+Base_Données!GE422+Base_Données!GB422+Base_Données!FV422+Base_Données!FS422+Base_Données!FO422+Base_Données!FE422+Base_Données!DS422-(Base_Données!BK422+Base_Données!BH422+Base_Données!AU422)</f>
        <v>0</v>
      </c>
      <c r="Q420" s="189">
        <f>P420+Base_Données!AV422-Base_Données!FE422-Base_Données!FO422</f>
        <v>0</v>
      </c>
      <c r="R420" s="329">
        <f>SIG!Q420+Base_Données!BD422+Base_Données!BH422+Base_Données!BL422+Base_Données!BM422+Base_Données!BN422-Base_Données!GB422-Base_Données!GJ422-Base_Données!GF422</f>
        <v>0</v>
      </c>
    </row>
    <row r="421" spans="1:18" customFormat="1" x14ac:dyDescent="0.25">
      <c r="A421" s="328">
        <f>Base_Données!A423</f>
        <v>0</v>
      </c>
      <c r="B421" s="181">
        <f>Base_Données!B423</f>
        <v>0</v>
      </c>
      <c r="C421" s="158">
        <f>Base_Données!C423</f>
        <v>0</v>
      </c>
      <c r="D421" s="156">
        <f>Base_Données!Q423</f>
        <v>0</v>
      </c>
      <c r="E421" s="156">
        <f>Base_Données!BR423</f>
        <v>0</v>
      </c>
      <c r="F421" s="155">
        <f>Base_Données!R423</f>
        <v>0</v>
      </c>
      <c r="G421" s="154">
        <f>Base_Données!BS423</f>
        <v>0</v>
      </c>
      <c r="H421" s="155">
        <f>SIG!F421-SIG!G421</f>
        <v>0</v>
      </c>
      <c r="I421" s="159">
        <f>Base_Données!BI423+Base_Données!BJ423-Base_Données!GC423-Base_Données!GD423</f>
        <v>0</v>
      </c>
      <c r="J421" s="154">
        <f t="shared" si="12"/>
        <v>0</v>
      </c>
      <c r="K421" s="154">
        <f>Base_Données!BK423-Base_Données!GE423</f>
        <v>0</v>
      </c>
      <c r="L421" s="159">
        <f t="shared" si="13"/>
        <v>0</v>
      </c>
      <c r="M421" s="158">
        <f>Base_Données!S423</f>
        <v>0</v>
      </c>
      <c r="N421" s="154">
        <f>Base_Données!T423-(Base_Données!BU423+Base_Données!BZ423+Base_Données!CC423)</f>
        <v>0</v>
      </c>
      <c r="O421" s="154">
        <f>Base_Données!AC423+Base_Données!AL423-(Base_Données!CI423)</f>
        <v>0</v>
      </c>
      <c r="P421" s="154">
        <f>L421+Base_Données!GJ423+Base_Données!GE423+Base_Données!GB423+Base_Données!FV423+Base_Données!FS423+Base_Données!FO423+Base_Données!FE423+Base_Données!DS423-(Base_Données!BK423+Base_Données!BH423+Base_Données!AU423)</f>
        <v>0</v>
      </c>
      <c r="Q421" s="189">
        <f>P421+Base_Données!AV423-Base_Données!FE423-Base_Données!FO423</f>
        <v>0</v>
      </c>
      <c r="R421" s="329">
        <f>SIG!Q421+Base_Données!BD423+Base_Données!BH423+Base_Données!BL423+Base_Données!BM423+Base_Données!BN423-Base_Données!GB423-Base_Données!GJ423-Base_Données!GF423</f>
        <v>0</v>
      </c>
    </row>
    <row r="422" spans="1:18" customFormat="1" x14ac:dyDescent="0.25">
      <c r="A422" s="328">
        <f>Base_Données!A424</f>
        <v>0</v>
      </c>
      <c r="B422" s="181">
        <f>Base_Données!B424</f>
        <v>0</v>
      </c>
      <c r="C422" s="158">
        <f>Base_Données!C424</f>
        <v>0</v>
      </c>
      <c r="D422" s="156">
        <f>Base_Données!Q424</f>
        <v>0</v>
      </c>
      <c r="E422" s="156">
        <f>Base_Données!BR424</f>
        <v>0</v>
      </c>
      <c r="F422" s="155">
        <f>Base_Données!R424</f>
        <v>0</v>
      </c>
      <c r="G422" s="154">
        <f>Base_Données!BS424</f>
        <v>0</v>
      </c>
      <c r="H422" s="155">
        <f>SIG!F422-SIG!G422</f>
        <v>0</v>
      </c>
      <c r="I422" s="159">
        <f>Base_Données!BI424+Base_Données!BJ424-Base_Données!GC424-Base_Données!GD424</f>
        <v>0</v>
      </c>
      <c r="J422" s="154">
        <f t="shared" si="12"/>
        <v>0</v>
      </c>
      <c r="K422" s="154">
        <f>Base_Données!BK424-Base_Données!GE424</f>
        <v>0</v>
      </c>
      <c r="L422" s="159">
        <f t="shared" si="13"/>
        <v>0</v>
      </c>
      <c r="M422" s="158">
        <f>Base_Données!S424</f>
        <v>0</v>
      </c>
      <c r="N422" s="154">
        <f>Base_Données!T424-(Base_Données!BU424+Base_Données!BZ424+Base_Données!CC424)</f>
        <v>0</v>
      </c>
      <c r="O422" s="154">
        <f>Base_Données!AC424+Base_Données!AL424-(Base_Données!CI424)</f>
        <v>0</v>
      </c>
      <c r="P422" s="154">
        <f>L422+Base_Données!GJ424+Base_Données!GE424+Base_Données!GB424+Base_Données!FV424+Base_Données!FS424+Base_Données!FO424+Base_Données!FE424+Base_Données!DS424-(Base_Données!BK424+Base_Données!BH424+Base_Données!AU424)</f>
        <v>0</v>
      </c>
      <c r="Q422" s="189">
        <f>P422+Base_Données!AV424-Base_Données!FE424-Base_Données!FO424</f>
        <v>0</v>
      </c>
      <c r="R422" s="329">
        <f>SIG!Q422+Base_Données!BD424+Base_Données!BH424+Base_Données!BL424+Base_Données!BM424+Base_Données!BN424-Base_Données!GB424-Base_Données!GJ424-Base_Données!GF424</f>
        <v>0</v>
      </c>
    </row>
    <row r="423" spans="1:18" customFormat="1" x14ac:dyDescent="0.25">
      <c r="A423" s="328">
        <f>Base_Données!A425</f>
        <v>0</v>
      </c>
      <c r="B423" s="181">
        <f>Base_Données!B425</f>
        <v>0</v>
      </c>
      <c r="C423" s="158">
        <f>Base_Données!C425</f>
        <v>0</v>
      </c>
      <c r="D423" s="156">
        <f>Base_Données!Q425</f>
        <v>0</v>
      </c>
      <c r="E423" s="156">
        <f>Base_Données!BR425</f>
        <v>0</v>
      </c>
      <c r="F423" s="155">
        <f>Base_Données!R425</f>
        <v>0</v>
      </c>
      <c r="G423" s="154">
        <f>Base_Données!BS425</f>
        <v>0</v>
      </c>
      <c r="H423" s="155">
        <f>SIG!F423-SIG!G423</f>
        <v>0</v>
      </c>
      <c r="I423" s="159">
        <f>Base_Données!BI425+Base_Données!BJ425-Base_Données!GC425-Base_Données!GD425</f>
        <v>0</v>
      </c>
      <c r="J423" s="154">
        <f t="shared" si="12"/>
        <v>0</v>
      </c>
      <c r="K423" s="154">
        <f>Base_Données!BK425-Base_Données!GE425</f>
        <v>0</v>
      </c>
      <c r="L423" s="159">
        <f t="shared" si="13"/>
        <v>0</v>
      </c>
      <c r="M423" s="158">
        <f>Base_Données!S425</f>
        <v>0</v>
      </c>
      <c r="N423" s="154">
        <f>Base_Données!T425-(Base_Données!BU425+Base_Données!BZ425+Base_Données!CC425)</f>
        <v>0</v>
      </c>
      <c r="O423" s="154">
        <f>Base_Données!AC425+Base_Données!AL425-(Base_Données!CI425)</f>
        <v>0</v>
      </c>
      <c r="P423" s="154">
        <f>L423+Base_Données!GJ425+Base_Données!GE425+Base_Données!GB425+Base_Données!FV425+Base_Données!FS425+Base_Données!FO425+Base_Données!FE425+Base_Données!DS425-(Base_Données!BK425+Base_Données!BH425+Base_Données!AU425)</f>
        <v>0</v>
      </c>
      <c r="Q423" s="189">
        <f>P423+Base_Données!AV425-Base_Données!FE425-Base_Données!FO425</f>
        <v>0</v>
      </c>
      <c r="R423" s="329">
        <f>SIG!Q423+Base_Données!BD425+Base_Données!BH425+Base_Données!BL425+Base_Données!BM425+Base_Données!BN425-Base_Données!GB425-Base_Données!GJ425-Base_Données!GF425</f>
        <v>0</v>
      </c>
    </row>
    <row r="424" spans="1:18" customFormat="1" x14ac:dyDescent="0.25">
      <c r="A424" s="328">
        <f>Base_Données!A426</f>
        <v>0</v>
      </c>
      <c r="B424" s="181">
        <f>Base_Données!B426</f>
        <v>0</v>
      </c>
      <c r="C424" s="158">
        <f>Base_Données!C426</f>
        <v>0</v>
      </c>
      <c r="D424" s="156">
        <f>Base_Données!Q426</f>
        <v>0</v>
      </c>
      <c r="E424" s="156">
        <f>Base_Données!BR426</f>
        <v>0</v>
      </c>
      <c r="F424" s="155">
        <f>Base_Données!R426</f>
        <v>0</v>
      </c>
      <c r="G424" s="154">
        <f>Base_Données!BS426</f>
        <v>0</v>
      </c>
      <c r="H424" s="155">
        <f>SIG!F424-SIG!G424</f>
        <v>0</v>
      </c>
      <c r="I424" s="159">
        <f>Base_Données!BI426+Base_Données!BJ426-Base_Données!GC426-Base_Données!GD426</f>
        <v>0</v>
      </c>
      <c r="J424" s="154">
        <f t="shared" si="12"/>
        <v>0</v>
      </c>
      <c r="K424" s="154">
        <f>Base_Données!BK426-Base_Données!GE426</f>
        <v>0</v>
      </c>
      <c r="L424" s="159">
        <f t="shared" si="13"/>
        <v>0</v>
      </c>
      <c r="M424" s="158">
        <f>Base_Données!S426</f>
        <v>0</v>
      </c>
      <c r="N424" s="154">
        <f>Base_Données!T426-(Base_Données!BU426+Base_Données!BZ426+Base_Données!CC426)</f>
        <v>0</v>
      </c>
      <c r="O424" s="154">
        <f>Base_Données!AC426+Base_Données!AL426-(Base_Données!CI426)</f>
        <v>0</v>
      </c>
      <c r="P424" s="154">
        <f>L424+Base_Données!GJ426+Base_Données!GE426+Base_Données!GB426+Base_Données!FV426+Base_Données!FS426+Base_Données!FO426+Base_Données!FE426+Base_Données!DS426-(Base_Données!BK426+Base_Données!BH426+Base_Données!AU426)</f>
        <v>0</v>
      </c>
      <c r="Q424" s="189">
        <f>P424+Base_Données!AV426-Base_Données!FE426-Base_Données!FO426</f>
        <v>0</v>
      </c>
      <c r="R424" s="329">
        <f>SIG!Q424+Base_Données!BD426+Base_Données!BH426+Base_Données!BL426+Base_Données!BM426+Base_Données!BN426-Base_Données!GB426-Base_Données!GJ426-Base_Données!GF426</f>
        <v>0</v>
      </c>
    </row>
    <row r="425" spans="1:18" customFormat="1" x14ac:dyDescent="0.25">
      <c r="A425" s="328">
        <f>Base_Données!A427</f>
        <v>0</v>
      </c>
      <c r="B425" s="181">
        <f>Base_Données!B427</f>
        <v>0</v>
      </c>
      <c r="C425" s="158">
        <f>Base_Données!C427</f>
        <v>0</v>
      </c>
      <c r="D425" s="156">
        <f>Base_Données!Q427</f>
        <v>0</v>
      </c>
      <c r="E425" s="156">
        <f>Base_Données!BR427</f>
        <v>0</v>
      </c>
      <c r="F425" s="155">
        <f>Base_Données!R427</f>
        <v>0</v>
      </c>
      <c r="G425" s="154">
        <f>Base_Données!BS427</f>
        <v>0</v>
      </c>
      <c r="H425" s="155">
        <f>SIG!F425-SIG!G425</f>
        <v>0</v>
      </c>
      <c r="I425" s="159">
        <f>Base_Données!BI427+Base_Données!BJ427-Base_Données!GC427-Base_Données!GD427</f>
        <v>0</v>
      </c>
      <c r="J425" s="154">
        <f t="shared" si="12"/>
        <v>0</v>
      </c>
      <c r="K425" s="154">
        <f>Base_Données!BK427-Base_Données!GE427</f>
        <v>0</v>
      </c>
      <c r="L425" s="159">
        <f t="shared" si="13"/>
        <v>0</v>
      </c>
      <c r="M425" s="158">
        <f>Base_Données!S427</f>
        <v>0</v>
      </c>
      <c r="N425" s="154">
        <f>Base_Données!T427-(Base_Données!BU427+Base_Données!BZ427+Base_Données!CC427)</f>
        <v>0</v>
      </c>
      <c r="O425" s="154">
        <f>Base_Données!AC427+Base_Données!AL427-(Base_Données!CI427)</f>
        <v>0</v>
      </c>
      <c r="P425" s="154">
        <f>L425+Base_Données!GJ427+Base_Données!GE427+Base_Données!GB427+Base_Données!FV427+Base_Données!FS427+Base_Données!FO427+Base_Données!FE427+Base_Données!DS427-(Base_Données!BK427+Base_Données!BH427+Base_Données!AU427)</f>
        <v>0</v>
      </c>
      <c r="Q425" s="189">
        <f>P425+Base_Données!AV427-Base_Données!FE427-Base_Données!FO427</f>
        <v>0</v>
      </c>
      <c r="R425" s="329">
        <f>SIG!Q425+Base_Données!BD427+Base_Données!BH427+Base_Données!BL427+Base_Données!BM427+Base_Données!BN427-Base_Données!GB427-Base_Données!GJ427-Base_Données!GF427</f>
        <v>0</v>
      </c>
    </row>
    <row r="426" spans="1:18" customFormat="1" x14ac:dyDescent="0.25">
      <c r="A426" s="328">
        <f>Base_Données!A428</f>
        <v>0</v>
      </c>
      <c r="B426" s="181">
        <f>Base_Données!B428</f>
        <v>0</v>
      </c>
      <c r="C426" s="158">
        <f>Base_Données!C428</f>
        <v>0</v>
      </c>
      <c r="D426" s="156">
        <f>Base_Données!Q428</f>
        <v>0</v>
      </c>
      <c r="E426" s="156">
        <f>Base_Données!BR428</f>
        <v>0</v>
      </c>
      <c r="F426" s="155">
        <f>Base_Données!R428</f>
        <v>0</v>
      </c>
      <c r="G426" s="154">
        <f>Base_Données!BS428</f>
        <v>0</v>
      </c>
      <c r="H426" s="155">
        <f>SIG!F426-SIG!G426</f>
        <v>0</v>
      </c>
      <c r="I426" s="159">
        <f>Base_Données!BI428+Base_Données!BJ428-Base_Données!GC428-Base_Données!GD428</f>
        <v>0</v>
      </c>
      <c r="J426" s="154">
        <f t="shared" si="12"/>
        <v>0</v>
      </c>
      <c r="K426" s="154">
        <f>Base_Données!BK428-Base_Données!GE428</f>
        <v>0</v>
      </c>
      <c r="L426" s="159">
        <f t="shared" si="13"/>
        <v>0</v>
      </c>
      <c r="M426" s="158">
        <f>Base_Données!S428</f>
        <v>0</v>
      </c>
      <c r="N426" s="154">
        <f>Base_Données!T428-(Base_Données!BU428+Base_Données!BZ428+Base_Données!CC428)</f>
        <v>0</v>
      </c>
      <c r="O426" s="154">
        <f>Base_Données!AC428+Base_Données!AL428-(Base_Données!CI428)</f>
        <v>0</v>
      </c>
      <c r="P426" s="154">
        <f>L426+Base_Données!GJ428+Base_Données!GE428+Base_Données!GB428+Base_Données!FV428+Base_Données!FS428+Base_Données!FO428+Base_Données!FE428+Base_Données!DS428-(Base_Données!BK428+Base_Données!BH428+Base_Données!AU428)</f>
        <v>0</v>
      </c>
      <c r="Q426" s="189">
        <f>P426+Base_Données!AV428-Base_Données!FE428-Base_Données!FO428</f>
        <v>0</v>
      </c>
      <c r="R426" s="329">
        <f>SIG!Q426+Base_Données!BD428+Base_Données!BH428+Base_Données!BL428+Base_Données!BM428+Base_Données!BN428-Base_Données!GB428-Base_Données!GJ428-Base_Données!GF428</f>
        <v>0</v>
      </c>
    </row>
    <row r="427" spans="1:18" customFormat="1" x14ac:dyDescent="0.25">
      <c r="A427" s="328">
        <f>Base_Données!A429</f>
        <v>0</v>
      </c>
      <c r="B427" s="181">
        <f>Base_Données!B429</f>
        <v>0</v>
      </c>
      <c r="C427" s="158">
        <f>Base_Données!C429</f>
        <v>0</v>
      </c>
      <c r="D427" s="156">
        <f>Base_Données!Q429</f>
        <v>0</v>
      </c>
      <c r="E427" s="156">
        <f>Base_Données!BR429</f>
        <v>0</v>
      </c>
      <c r="F427" s="155">
        <f>Base_Données!R429</f>
        <v>0</v>
      </c>
      <c r="G427" s="154">
        <f>Base_Données!BS429</f>
        <v>0</v>
      </c>
      <c r="H427" s="155">
        <f>SIG!F427-SIG!G427</f>
        <v>0</v>
      </c>
      <c r="I427" s="159">
        <f>Base_Données!BI429+Base_Données!BJ429-Base_Données!GC429-Base_Données!GD429</f>
        <v>0</v>
      </c>
      <c r="J427" s="154">
        <f t="shared" si="12"/>
        <v>0</v>
      </c>
      <c r="K427" s="154">
        <f>Base_Données!BK429-Base_Données!GE429</f>
        <v>0</v>
      </c>
      <c r="L427" s="159">
        <f t="shared" si="13"/>
        <v>0</v>
      </c>
      <c r="M427" s="158">
        <f>Base_Données!S429</f>
        <v>0</v>
      </c>
      <c r="N427" s="154">
        <f>Base_Données!T429-(Base_Données!BU429+Base_Données!BZ429+Base_Données!CC429)</f>
        <v>0</v>
      </c>
      <c r="O427" s="154">
        <f>Base_Données!AC429+Base_Données!AL429-(Base_Données!CI429)</f>
        <v>0</v>
      </c>
      <c r="P427" s="154">
        <f>L427+Base_Données!GJ429+Base_Données!GE429+Base_Données!GB429+Base_Données!FV429+Base_Données!FS429+Base_Données!FO429+Base_Données!FE429+Base_Données!DS429-(Base_Données!BK429+Base_Données!BH429+Base_Données!AU429)</f>
        <v>0</v>
      </c>
      <c r="Q427" s="189">
        <f>P427+Base_Données!AV429-Base_Données!FE429-Base_Données!FO429</f>
        <v>0</v>
      </c>
      <c r="R427" s="329">
        <f>SIG!Q427+Base_Données!BD429+Base_Données!BH429+Base_Données!BL429+Base_Données!BM429+Base_Données!BN429-Base_Données!GB429-Base_Données!GJ429-Base_Données!GF429</f>
        <v>0</v>
      </c>
    </row>
    <row r="428" spans="1:18" customFormat="1" x14ac:dyDescent="0.25">
      <c r="A428" s="328">
        <f>Base_Données!A430</f>
        <v>0</v>
      </c>
      <c r="B428" s="181">
        <f>Base_Données!B430</f>
        <v>0</v>
      </c>
      <c r="C428" s="158">
        <f>Base_Données!C430</f>
        <v>0</v>
      </c>
      <c r="D428" s="156">
        <f>Base_Données!Q430</f>
        <v>0</v>
      </c>
      <c r="E428" s="156">
        <f>Base_Données!BR430</f>
        <v>0</v>
      </c>
      <c r="F428" s="155">
        <f>Base_Données!R430</f>
        <v>0</v>
      </c>
      <c r="G428" s="154">
        <f>Base_Données!BS430</f>
        <v>0</v>
      </c>
      <c r="H428" s="155">
        <f>SIG!F428-SIG!G428</f>
        <v>0</v>
      </c>
      <c r="I428" s="159">
        <f>Base_Données!BI430+Base_Données!BJ430-Base_Données!GC430-Base_Données!GD430</f>
        <v>0</v>
      </c>
      <c r="J428" s="154">
        <f t="shared" si="12"/>
        <v>0</v>
      </c>
      <c r="K428" s="154">
        <f>Base_Données!BK430-Base_Données!GE430</f>
        <v>0</v>
      </c>
      <c r="L428" s="159">
        <f t="shared" si="13"/>
        <v>0</v>
      </c>
      <c r="M428" s="158">
        <f>Base_Données!S430</f>
        <v>0</v>
      </c>
      <c r="N428" s="154">
        <f>Base_Données!T430-(Base_Données!BU430+Base_Données!BZ430+Base_Données!CC430)</f>
        <v>0</v>
      </c>
      <c r="O428" s="154">
        <f>Base_Données!AC430+Base_Données!AL430-(Base_Données!CI430)</f>
        <v>0</v>
      </c>
      <c r="P428" s="154">
        <f>L428+Base_Données!GJ430+Base_Données!GE430+Base_Données!GB430+Base_Données!FV430+Base_Données!FS430+Base_Données!FO430+Base_Données!FE430+Base_Données!DS430-(Base_Données!BK430+Base_Données!BH430+Base_Données!AU430)</f>
        <v>0</v>
      </c>
      <c r="Q428" s="189">
        <f>P428+Base_Données!AV430-Base_Données!FE430-Base_Données!FO430</f>
        <v>0</v>
      </c>
      <c r="R428" s="329">
        <f>SIG!Q428+Base_Données!BD430+Base_Données!BH430+Base_Données!BL430+Base_Données!BM430+Base_Données!BN430-Base_Données!GB430-Base_Données!GJ430-Base_Données!GF430</f>
        <v>0</v>
      </c>
    </row>
    <row r="429" spans="1:18" customFormat="1" x14ac:dyDescent="0.25">
      <c r="A429" s="328">
        <f>Base_Données!A431</f>
        <v>0</v>
      </c>
      <c r="B429" s="181">
        <f>Base_Données!B431</f>
        <v>0</v>
      </c>
      <c r="C429" s="158">
        <f>Base_Données!C431</f>
        <v>0</v>
      </c>
      <c r="D429" s="156">
        <f>Base_Données!Q431</f>
        <v>0</v>
      </c>
      <c r="E429" s="156">
        <f>Base_Données!BR431</f>
        <v>0</v>
      </c>
      <c r="F429" s="155">
        <f>Base_Données!R431</f>
        <v>0</v>
      </c>
      <c r="G429" s="154">
        <f>Base_Données!BS431</f>
        <v>0</v>
      </c>
      <c r="H429" s="155">
        <f>SIG!F429-SIG!G429</f>
        <v>0</v>
      </c>
      <c r="I429" s="159">
        <f>Base_Données!BI431+Base_Données!BJ431-Base_Données!GC431-Base_Données!GD431</f>
        <v>0</v>
      </c>
      <c r="J429" s="154">
        <f t="shared" si="12"/>
        <v>0</v>
      </c>
      <c r="K429" s="154">
        <f>Base_Données!BK431-Base_Données!GE431</f>
        <v>0</v>
      </c>
      <c r="L429" s="159">
        <f t="shared" si="13"/>
        <v>0</v>
      </c>
      <c r="M429" s="158">
        <f>Base_Données!S431</f>
        <v>0</v>
      </c>
      <c r="N429" s="154">
        <f>Base_Données!T431-(Base_Données!BU431+Base_Données!BZ431+Base_Données!CC431)</f>
        <v>0</v>
      </c>
      <c r="O429" s="154">
        <f>Base_Données!AC431+Base_Données!AL431-(Base_Données!CI431)</f>
        <v>0</v>
      </c>
      <c r="P429" s="154">
        <f>L429+Base_Données!GJ431+Base_Données!GE431+Base_Données!GB431+Base_Données!FV431+Base_Données!FS431+Base_Données!FO431+Base_Données!FE431+Base_Données!DS431-(Base_Données!BK431+Base_Données!BH431+Base_Données!AU431)</f>
        <v>0</v>
      </c>
      <c r="Q429" s="189">
        <f>P429+Base_Données!AV431-Base_Données!FE431-Base_Données!FO431</f>
        <v>0</v>
      </c>
      <c r="R429" s="329">
        <f>SIG!Q429+Base_Données!BD431+Base_Données!BH431+Base_Données!BL431+Base_Données!BM431+Base_Données!BN431-Base_Données!GB431-Base_Données!GJ431-Base_Données!GF431</f>
        <v>0</v>
      </c>
    </row>
    <row r="430" spans="1:18" customFormat="1" x14ac:dyDescent="0.25">
      <c r="A430" s="328">
        <f>Base_Données!A432</f>
        <v>0</v>
      </c>
      <c r="B430" s="181">
        <f>Base_Données!B432</f>
        <v>0</v>
      </c>
      <c r="C430" s="158">
        <f>Base_Données!C432</f>
        <v>0</v>
      </c>
      <c r="D430" s="156">
        <f>Base_Données!Q432</f>
        <v>0</v>
      </c>
      <c r="E430" s="156">
        <f>Base_Données!BR432</f>
        <v>0</v>
      </c>
      <c r="F430" s="155">
        <f>Base_Données!R432</f>
        <v>0</v>
      </c>
      <c r="G430" s="154">
        <f>Base_Données!BS432</f>
        <v>0</v>
      </c>
      <c r="H430" s="155">
        <f>SIG!F430-SIG!G430</f>
        <v>0</v>
      </c>
      <c r="I430" s="159">
        <f>Base_Données!BI432+Base_Données!BJ432-Base_Données!GC432-Base_Données!GD432</f>
        <v>0</v>
      </c>
      <c r="J430" s="154">
        <f t="shared" si="12"/>
        <v>0</v>
      </c>
      <c r="K430" s="154">
        <f>Base_Données!BK432-Base_Données!GE432</f>
        <v>0</v>
      </c>
      <c r="L430" s="159">
        <f t="shared" si="13"/>
        <v>0</v>
      </c>
      <c r="M430" s="158">
        <f>Base_Données!S432</f>
        <v>0</v>
      </c>
      <c r="N430" s="154">
        <f>Base_Données!T432-(Base_Données!BU432+Base_Données!BZ432+Base_Données!CC432)</f>
        <v>0</v>
      </c>
      <c r="O430" s="154">
        <f>Base_Données!AC432+Base_Données!AL432-(Base_Données!CI432)</f>
        <v>0</v>
      </c>
      <c r="P430" s="154">
        <f>L430+Base_Données!GJ432+Base_Données!GE432+Base_Données!GB432+Base_Données!FV432+Base_Données!FS432+Base_Données!FO432+Base_Données!FE432+Base_Données!DS432-(Base_Données!BK432+Base_Données!BH432+Base_Données!AU432)</f>
        <v>0</v>
      </c>
      <c r="Q430" s="189">
        <f>P430+Base_Données!AV432-Base_Données!FE432-Base_Données!FO432</f>
        <v>0</v>
      </c>
      <c r="R430" s="329">
        <f>SIG!Q430+Base_Données!BD432+Base_Données!BH432+Base_Données!BL432+Base_Données!BM432+Base_Données!BN432-Base_Données!GB432-Base_Données!GJ432-Base_Données!GF432</f>
        <v>0</v>
      </c>
    </row>
    <row r="431" spans="1:18" customFormat="1" x14ac:dyDescent="0.25">
      <c r="A431" s="328">
        <f>Base_Données!A433</f>
        <v>0</v>
      </c>
      <c r="B431" s="181">
        <f>Base_Données!B433</f>
        <v>0</v>
      </c>
      <c r="C431" s="158">
        <f>Base_Données!C433</f>
        <v>0</v>
      </c>
      <c r="D431" s="156">
        <f>Base_Données!Q433</f>
        <v>0</v>
      </c>
      <c r="E431" s="156">
        <f>Base_Données!BR433</f>
        <v>0</v>
      </c>
      <c r="F431" s="155">
        <f>Base_Données!R433</f>
        <v>0</v>
      </c>
      <c r="G431" s="154">
        <f>Base_Données!BS433</f>
        <v>0</v>
      </c>
      <c r="H431" s="155">
        <f>SIG!F431-SIG!G431</f>
        <v>0</v>
      </c>
      <c r="I431" s="159">
        <f>Base_Données!BI433+Base_Données!BJ433-Base_Données!GC433-Base_Données!GD433</f>
        <v>0</v>
      </c>
      <c r="J431" s="154">
        <f t="shared" si="12"/>
        <v>0</v>
      </c>
      <c r="K431" s="154">
        <f>Base_Données!BK433-Base_Données!GE433</f>
        <v>0</v>
      </c>
      <c r="L431" s="159">
        <f t="shared" si="13"/>
        <v>0</v>
      </c>
      <c r="M431" s="158">
        <f>Base_Données!S433</f>
        <v>0</v>
      </c>
      <c r="N431" s="154">
        <f>Base_Données!T433-(Base_Données!BU433+Base_Données!BZ433+Base_Données!CC433)</f>
        <v>0</v>
      </c>
      <c r="O431" s="154">
        <f>Base_Données!AC433+Base_Données!AL433-(Base_Données!CI433)</f>
        <v>0</v>
      </c>
      <c r="P431" s="154">
        <f>L431+Base_Données!GJ433+Base_Données!GE433+Base_Données!GB433+Base_Données!FV433+Base_Données!FS433+Base_Données!FO433+Base_Données!FE433+Base_Données!DS433-(Base_Données!BK433+Base_Données!BH433+Base_Données!AU433)</f>
        <v>0</v>
      </c>
      <c r="Q431" s="189">
        <f>P431+Base_Données!AV433-Base_Données!FE433-Base_Données!FO433</f>
        <v>0</v>
      </c>
      <c r="R431" s="329">
        <f>SIG!Q431+Base_Données!BD433+Base_Données!BH433+Base_Données!BL433+Base_Données!BM433+Base_Données!BN433-Base_Données!GB433-Base_Données!GJ433-Base_Données!GF433</f>
        <v>0</v>
      </c>
    </row>
    <row r="432" spans="1:18" customFormat="1" x14ac:dyDescent="0.25">
      <c r="A432" s="328">
        <f>Base_Données!A434</f>
        <v>0</v>
      </c>
      <c r="B432" s="181">
        <f>Base_Données!B434</f>
        <v>0</v>
      </c>
      <c r="C432" s="158">
        <f>Base_Données!C434</f>
        <v>0</v>
      </c>
      <c r="D432" s="156">
        <f>Base_Données!Q434</f>
        <v>0</v>
      </c>
      <c r="E432" s="156">
        <f>Base_Données!BR434</f>
        <v>0</v>
      </c>
      <c r="F432" s="155">
        <f>Base_Données!R434</f>
        <v>0</v>
      </c>
      <c r="G432" s="154">
        <f>Base_Données!BS434</f>
        <v>0</v>
      </c>
      <c r="H432" s="155">
        <f>SIG!F432-SIG!G432</f>
        <v>0</v>
      </c>
      <c r="I432" s="159">
        <f>Base_Données!BI434+Base_Données!BJ434-Base_Données!GC434-Base_Données!GD434</f>
        <v>0</v>
      </c>
      <c r="J432" s="154">
        <f t="shared" si="12"/>
        <v>0</v>
      </c>
      <c r="K432" s="154">
        <f>Base_Données!BK434-Base_Données!GE434</f>
        <v>0</v>
      </c>
      <c r="L432" s="159">
        <f t="shared" si="13"/>
        <v>0</v>
      </c>
      <c r="M432" s="158">
        <f>Base_Données!S434</f>
        <v>0</v>
      </c>
      <c r="N432" s="154">
        <f>Base_Données!T434-(Base_Données!BU434+Base_Données!BZ434+Base_Données!CC434)</f>
        <v>0</v>
      </c>
      <c r="O432" s="154">
        <f>Base_Données!AC434+Base_Données!AL434-(Base_Données!CI434)</f>
        <v>0</v>
      </c>
      <c r="P432" s="154">
        <f>L432+Base_Données!GJ434+Base_Données!GE434+Base_Données!GB434+Base_Données!FV434+Base_Données!FS434+Base_Données!FO434+Base_Données!FE434+Base_Données!DS434-(Base_Données!BK434+Base_Données!BH434+Base_Données!AU434)</f>
        <v>0</v>
      </c>
      <c r="Q432" s="189">
        <f>P432+Base_Données!AV434-Base_Données!FE434-Base_Données!FO434</f>
        <v>0</v>
      </c>
      <c r="R432" s="329">
        <f>SIG!Q432+Base_Données!BD434+Base_Données!BH434+Base_Données!BL434+Base_Données!BM434+Base_Données!BN434-Base_Données!GB434-Base_Données!GJ434-Base_Données!GF434</f>
        <v>0</v>
      </c>
    </row>
    <row r="433" spans="1:18" customFormat="1" x14ac:dyDescent="0.25">
      <c r="A433" s="328">
        <f>Base_Données!A435</f>
        <v>0</v>
      </c>
      <c r="B433" s="181">
        <f>Base_Données!B435</f>
        <v>0</v>
      </c>
      <c r="C433" s="158">
        <f>Base_Données!C435</f>
        <v>0</v>
      </c>
      <c r="D433" s="156">
        <f>Base_Données!Q435</f>
        <v>0</v>
      </c>
      <c r="E433" s="156">
        <f>Base_Données!BR435</f>
        <v>0</v>
      </c>
      <c r="F433" s="155">
        <f>Base_Données!R435</f>
        <v>0</v>
      </c>
      <c r="G433" s="154">
        <f>Base_Données!BS435</f>
        <v>0</v>
      </c>
      <c r="H433" s="155">
        <f>SIG!F433-SIG!G433</f>
        <v>0</v>
      </c>
      <c r="I433" s="159">
        <f>Base_Données!BI435+Base_Données!BJ435-Base_Données!GC435-Base_Données!GD435</f>
        <v>0</v>
      </c>
      <c r="J433" s="154">
        <f t="shared" si="12"/>
        <v>0</v>
      </c>
      <c r="K433" s="154">
        <f>Base_Données!BK435-Base_Données!GE435</f>
        <v>0</v>
      </c>
      <c r="L433" s="159">
        <f t="shared" si="13"/>
        <v>0</v>
      </c>
      <c r="M433" s="158">
        <f>Base_Données!S435</f>
        <v>0</v>
      </c>
      <c r="N433" s="154">
        <f>Base_Données!T435-(Base_Données!BU435+Base_Données!BZ435+Base_Données!CC435)</f>
        <v>0</v>
      </c>
      <c r="O433" s="154">
        <f>Base_Données!AC435+Base_Données!AL435-(Base_Données!CI435)</f>
        <v>0</v>
      </c>
      <c r="P433" s="154">
        <f>L433+Base_Données!GJ435+Base_Données!GE435+Base_Données!GB435+Base_Données!FV435+Base_Données!FS435+Base_Données!FO435+Base_Données!FE435+Base_Données!DS435-(Base_Données!BK435+Base_Données!BH435+Base_Données!AU435)</f>
        <v>0</v>
      </c>
      <c r="Q433" s="189">
        <f>P433+Base_Données!AV435-Base_Données!FE435-Base_Données!FO435</f>
        <v>0</v>
      </c>
      <c r="R433" s="329">
        <f>SIG!Q433+Base_Données!BD435+Base_Données!BH435+Base_Données!BL435+Base_Données!BM435+Base_Données!BN435-Base_Données!GB435-Base_Données!GJ435-Base_Données!GF435</f>
        <v>0</v>
      </c>
    </row>
    <row r="434" spans="1:18" customFormat="1" x14ac:dyDescent="0.25">
      <c r="A434" s="328">
        <f>Base_Données!A436</f>
        <v>0</v>
      </c>
      <c r="B434" s="181">
        <f>Base_Données!B436</f>
        <v>0</v>
      </c>
      <c r="C434" s="158">
        <f>Base_Données!C436</f>
        <v>0</v>
      </c>
      <c r="D434" s="156">
        <f>Base_Données!Q436</f>
        <v>0</v>
      </c>
      <c r="E434" s="156">
        <f>Base_Données!BR436</f>
        <v>0</v>
      </c>
      <c r="F434" s="155">
        <f>Base_Données!R436</f>
        <v>0</v>
      </c>
      <c r="G434" s="154">
        <f>Base_Données!BS436</f>
        <v>0</v>
      </c>
      <c r="H434" s="155">
        <f>SIG!F434-SIG!G434</f>
        <v>0</v>
      </c>
      <c r="I434" s="159">
        <f>Base_Données!BI436+Base_Données!BJ436-Base_Données!GC436-Base_Données!GD436</f>
        <v>0</v>
      </c>
      <c r="J434" s="154">
        <f t="shared" si="12"/>
        <v>0</v>
      </c>
      <c r="K434" s="154">
        <f>Base_Données!BK436-Base_Données!GE436</f>
        <v>0</v>
      </c>
      <c r="L434" s="159">
        <f t="shared" si="13"/>
        <v>0</v>
      </c>
      <c r="M434" s="158">
        <f>Base_Données!S436</f>
        <v>0</v>
      </c>
      <c r="N434" s="154">
        <f>Base_Données!T436-(Base_Données!BU436+Base_Données!BZ436+Base_Données!CC436)</f>
        <v>0</v>
      </c>
      <c r="O434" s="154">
        <f>Base_Données!AC436+Base_Données!AL436-(Base_Données!CI436)</f>
        <v>0</v>
      </c>
      <c r="P434" s="154">
        <f>L434+Base_Données!GJ436+Base_Données!GE436+Base_Données!GB436+Base_Données!FV436+Base_Données!FS436+Base_Données!FO436+Base_Données!FE436+Base_Données!DS436-(Base_Données!BK436+Base_Données!BH436+Base_Données!AU436)</f>
        <v>0</v>
      </c>
      <c r="Q434" s="189">
        <f>P434+Base_Données!AV436-Base_Données!FE436-Base_Données!FO436</f>
        <v>0</v>
      </c>
      <c r="R434" s="329">
        <f>SIG!Q434+Base_Données!BD436+Base_Données!BH436+Base_Données!BL436+Base_Données!BM436+Base_Données!BN436-Base_Données!GB436-Base_Données!GJ436-Base_Données!GF436</f>
        <v>0</v>
      </c>
    </row>
    <row r="435" spans="1:18" customFormat="1" x14ac:dyDescent="0.25">
      <c r="A435" s="328">
        <f>Base_Données!A437</f>
        <v>0</v>
      </c>
      <c r="B435" s="181">
        <f>Base_Données!B437</f>
        <v>0</v>
      </c>
      <c r="C435" s="158">
        <f>Base_Données!C437</f>
        <v>0</v>
      </c>
      <c r="D435" s="156">
        <f>Base_Données!Q437</f>
        <v>0</v>
      </c>
      <c r="E435" s="156">
        <f>Base_Données!BR437</f>
        <v>0</v>
      </c>
      <c r="F435" s="155">
        <f>Base_Données!R437</f>
        <v>0</v>
      </c>
      <c r="G435" s="154">
        <f>Base_Données!BS437</f>
        <v>0</v>
      </c>
      <c r="H435" s="155">
        <f>SIG!F435-SIG!G435</f>
        <v>0</v>
      </c>
      <c r="I435" s="159">
        <f>Base_Données!BI437+Base_Données!BJ437-Base_Données!GC437-Base_Données!GD437</f>
        <v>0</v>
      </c>
      <c r="J435" s="154">
        <f t="shared" si="12"/>
        <v>0</v>
      </c>
      <c r="K435" s="154">
        <f>Base_Données!BK437-Base_Données!GE437</f>
        <v>0</v>
      </c>
      <c r="L435" s="159">
        <f t="shared" si="13"/>
        <v>0</v>
      </c>
      <c r="M435" s="158">
        <f>Base_Données!S437</f>
        <v>0</v>
      </c>
      <c r="N435" s="154">
        <f>Base_Données!T437-(Base_Données!BU437+Base_Données!BZ437+Base_Données!CC437)</f>
        <v>0</v>
      </c>
      <c r="O435" s="154">
        <f>Base_Données!AC437+Base_Données!AL437-(Base_Données!CI437)</f>
        <v>0</v>
      </c>
      <c r="P435" s="154">
        <f>L435+Base_Données!GJ437+Base_Données!GE437+Base_Données!GB437+Base_Données!FV437+Base_Données!FS437+Base_Données!FO437+Base_Données!FE437+Base_Données!DS437-(Base_Données!BK437+Base_Données!BH437+Base_Données!AU437)</f>
        <v>0</v>
      </c>
      <c r="Q435" s="189">
        <f>P435+Base_Données!AV437-Base_Données!FE437-Base_Données!FO437</f>
        <v>0</v>
      </c>
      <c r="R435" s="329">
        <f>SIG!Q435+Base_Données!BD437+Base_Données!BH437+Base_Données!BL437+Base_Données!BM437+Base_Données!BN437-Base_Données!GB437-Base_Données!GJ437-Base_Données!GF437</f>
        <v>0</v>
      </c>
    </row>
    <row r="436" spans="1:18" customFormat="1" x14ac:dyDescent="0.25">
      <c r="A436" s="328">
        <f>Base_Données!A438</f>
        <v>0</v>
      </c>
      <c r="B436" s="181">
        <f>Base_Données!B438</f>
        <v>0</v>
      </c>
      <c r="C436" s="158">
        <f>Base_Données!C438</f>
        <v>0</v>
      </c>
      <c r="D436" s="156">
        <f>Base_Données!Q438</f>
        <v>0</v>
      </c>
      <c r="E436" s="156">
        <f>Base_Données!BR438</f>
        <v>0</v>
      </c>
      <c r="F436" s="155">
        <f>Base_Données!R438</f>
        <v>0</v>
      </c>
      <c r="G436" s="154">
        <f>Base_Données!BS438</f>
        <v>0</v>
      </c>
      <c r="H436" s="155">
        <f>SIG!F436-SIG!G436</f>
        <v>0</v>
      </c>
      <c r="I436" s="159">
        <f>Base_Données!BI438+Base_Données!BJ438-Base_Données!GC438-Base_Données!GD438</f>
        <v>0</v>
      </c>
      <c r="J436" s="154">
        <f t="shared" si="12"/>
        <v>0</v>
      </c>
      <c r="K436" s="154">
        <f>Base_Données!BK438-Base_Données!GE438</f>
        <v>0</v>
      </c>
      <c r="L436" s="159">
        <f t="shared" si="13"/>
        <v>0</v>
      </c>
      <c r="M436" s="158">
        <f>Base_Données!S438</f>
        <v>0</v>
      </c>
      <c r="N436" s="154">
        <f>Base_Données!T438-(Base_Données!BU438+Base_Données!BZ438+Base_Données!CC438)</f>
        <v>0</v>
      </c>
      <c r="O436" s="154">
        <f>Base_Données!AC438+Base_Données!AL438-(Base_Données!CI438)</f>
        <v>0</v>
      </c>
      <c r="P436" s="154">
        <f>L436+Base_Données!GJ438+Base_Données!GE438+Base_Données!GB438+Base_Données!FV438+Base_Données!FS438+Base_Données!FO438+Base_Données!FE438+Base_Données!DS438-(Base_Données!BK438+Base_Données!BH438+Base_Données!AU438)</f>
        <v>0</v>
      </c>
      <c r="Q436" s="189">
        <f>P436+Base_Données!AV438-Base_Données!FE438-Base_Données!FO438</f>
        <v>0</v>
      </c>
      <c r="R436" s="329">
        <f>SIG!Q436+Base_Données!BD438+Base_Données!BH438+Base_Données!BL438+Base_Données!BM438+Base_Données!BN438-Base_Données!GB438-Base_Données!GJ438-Base_Données!GF438</f>
        <v>0</v>
      </c>
    </row>
    <row r="437" spans="1:18" customFormat="1" x14ac:dyDescent="0.25">
      <c r="A437" s="328">
        <f>Base_Données!A439</f>
        <v>0</v>
      </c>
      <c r="B437" s="181">
        <f>Base_Données!B439</f>
        <v>0</v>
      </c>
      <c r="C437" s="158">
        <f>Base_Données!C439</f>
        <v>0</v>
      </c>
      <c r="D437" s="156">
        <f>Base_Données!Q439</f>
        <v>0</v>
      </c>
      <c r="E437" s="156">
        <f>Base_Données!BR439</f>
        <v>0</v>
      </c>
      <c r="F437" s="155">
        <f>Base_Données!R439</f>
        <v>0</v>
      </c>
      <c r="G437" s="154">
        <f>Base_Données!BS439</f>
        <v>0</v>
      </c>
      <c r="H437" s="155">
        <f>SIG!F437-SIG!G437</f>
        <v>0</v>
      </c>
      <c r="I437" s="159">
        <f>Base_Données!BI439+Base_Données!BJ439-Base_Données!GC439-Base_Données!GD439</f>
        <v>0</v>
      </c>
      <c r="J437" s="154">
        <f t="shared" si="12"/>
        <v>0</v>
      </c>
      <c r="K437" s="154">
        <f>Base_Données!BK439-Base_Données!GE439</f>
        <v>0</v>
      </c>
      <c r="L437" s="159">
        <f t="shared" si="13"/>
        <v>0</v>
      </c>
      <c r="M437" s="158">
        <f>Base_Données!S439</f>
        <v>0</v>
      </c>
      <c r="N437" s="154">
        <f>Base_Données!T439-(Base_Données!BU439+Base_Données!BZ439+Base_Données!CC439)</f>
        <v>0</v>
      </c>
      <c r="O437" s="154">
        <f>Base_Données!AC439+Base_Données!AL439-(Base_Données!CI439)</f>
        <v>0</v>
      </c>
      <c r="P437" s="154">
        <f>L437+Base_Données!GJ439+Base_Données!GE439+Base_Données!GB439+Base_Données!FV439+Base_Données!FS439+Base_Données!FO439+Base_Données!FE439+Base_Données!DS439-(Base_Données!BK439+Base_Données!BH439+Base_Données!AU439)</f>
        <v>0</v>
      </c>
      <c r="Q437" s="189">
        <f>P437+Base_Données!AV439-Base_Données!FE439-Base_Données!FO439</f>
        <v>0</v>
      </c>
      <c r="R437" s="329">
        <f>SIG!Q437+Base_Données!BD439+Base_Données!BH439+Base_Données!BL439+Base_Données!BM439+Base_Données!BN439-Base_Données!GB439-Base_Données!GJ439-Base_Données!GF439</f>
        <v>0</v>
      </c>
    </row>
    <row r="438" spans="1:18" customFormat="1" x14ac:dyDescent="0.25">
      <c r="A438" s="328">
        <f>Base_Données!A440</f>
        <v>0</v>
      </c>
      <c r="B438" s="181">
        <f>Base_Données!B440</f>
        <v>0</v>
      </c>
      <c r="C438" s="158">
        <f>Base_Données!C440</f>
        <v>0</v>
      </c>
      <c r="D438" s="156">
        <f>Base_Données!Q440</f>
        <v>0</v>
      </c>
      <c r="E438" s="156">
        <f>Base_Données!BR440</f>
        <v>0</v>
      </c>
      <c r="F438" s="155">
        <f>Base_Données!R440</f>
        <v>0</v>
      </c>
      <c r="G438" s="154">
        <f>Base_Données!BS440</f>
        <v>0</v>
      </c>
      <c r="H438" s="155">
        <f>SIG!F438-SIG!G438</f>
        <v>0</v>
      </c>
      <c r="I438" s="159">
        <f>Base_Données!BI440+Base_Données!BJ440-Base_Données!GC440-Base_Données!GD440</f>
        <v>0</v>
      </c>
      <c r="J438" s="154">
        <f t="shared" si="12"/>
        <v>0</v>
      </c>
      <c r="K438" s="154">
        <f>Base_Données!BK440-Base_Données!GE440</f>
        <v>0</v>
      </c>
      <c r="L438" s="159">
        <f t="shared" si="13"/>
        <v>0</v>
      </c>
      <c r="M438" s="158">
        <f>Base_Données!S440</f>
        <v>0</v>
      </c>
      <c r="N438" s="154">
        <f>Base_Données!T440-(Base_Données!BU440+Base_Données!BZ440+Base_Données!CC440)</f>
        <v>0</v>
      </c>
      <c r="O438" s="154">
        <f>Base_Données!AC440+Base_Données!AL440-(Base_Données!CI440)</f>
        <v>0</v>
      </c>
      <c r="P438" s="154">
        <f>L438+Base_Données!GJ440+Base_Données!GE440+Base_Données!GB440+Base_Données!FV440+Base_Données!FS440+Base_Données!FO440+Base_Données!FE440+Base_Données!DS440-(Base_Données!BK440+Base_Données!BH440+Base_Données!AU440)</f>
        <v>0</v>
      </c>
      <c r="Q438" s="189">
        <f>P438+Base_Données!AV440-Base_Données!FE440-Base_Données!FO440</f>
        <v>0</v>
      </c>
      <c r="R438" s="329">
        <f>SIG!Q438+Base_Données!BD440+Base_Données!BH440+Base_Données!BL440+Base_Données!BM440+Base_Données!BN440-Base_Données!GB440-Base_Données!GJ440-Base_Données!GF440</f>
        <v>0</v>
      </c>
    </row>
    <row r="439" spans="1:18" customFormat="1" x14ac:dyDescent="0.25">
      <c r="A439" s="328">
        <f>Base_Données!A441</f>
        <v>0</v>
      </c>
      <c r="B439" s="181">
        <f>Base_Données!B441</f>
        <v>0</v>
      </c>
      <c r="C439" s="158">
        <f>Base_Données!C441</f>
        <v>0</v>
      </c>
      <c r="D439" s="156">
        <f>Base_Données!Q441</f>
        <v>0</v>
      </c>
      <c r="E439" s="156">
        <f>Base_Données!BR441</f>
        <v>0</v>
      </c>
      <c r="F439" s="155">
        <f>Base_Données!R441</f>
        <v>0</v>
      </c>
      <c r="G439" s="154">
        <f>Base_Données!BS441</f>
        <v>0</v>
      </c>
      <c r="H439" s="155">
        <f>SIG!F439-SIG!G439</f>
        <v>0</v>
      </c>
      <c r="I439" s="159">
        <f>Base_Données!BI441+Base_Données!BJ441-Base_Données!GC441-Base_Données!GD441</f>
        <v>0</v>
      </c>
      <c r="J439" s="154">
        <f t="shared" si="12"/>
        <v>0</v>
      </c>
      <c r="K439" s="154">
        <f>Base_Données!BK441-Base_Données!GE441</f>
        <v>0</v>
      </c>
      <c r="L439" s="159">
        <f t="shared" si="13"/>
        <v>0</v>
      </c>
      <c r="M439" s="158">
        <f>Base_Données!S441</f>
        <v>0</v>
      </c>
      <c r="N439" s="154">
        <f>Base_Données!T441-(Base_Données!BU441+Base_Données!BZ441+Base_Données!CC441)</f>
        <v>0</v>
      </c>
      <c r="O439" s="154">
        <f>Base_Données!AC441+Base_Données!AL441-(Base_Données!CI441)</f>
        <v>0</v>
      </c>
      <c r="P439" s="154">
        <f>L439+Base_Données!GJ441+Base_Données!GE441+Base_Données!GB441+Base_Données!FV441+Base_Données!FS441+Base_Données!FO441+Base_Données!FE441+Base_Données!DS441-(Base_Données!BK441+Base_Données!BH441+Base_Données!AU441)</f>
        <v>0</v>
      </c>
      <c r="Q439" s="189">
        <f>P439+Base_Données!AV441-Base_Données!FE441-Base_Données!FO441</f>
        <v>0</v>
      </c>
      <c r="R439" s="329">
        <f>SIG!Q439+Base_Données!BD441+Base_Données!BH441+Base_Données!BL441+Base_Données!BM441+Base_Données!BN441-Base_Données!GB441-Base_Données!GJ441-Base_Données!GF441</f>
        <v>0</v>
      </c>
    </row>
    <row r="440" spans="1:18" customFormat="1" x14ac:dyDescent="0.25">
      <c r="A440" s="328">
        <f>Base_Données!A442</f>
        <v>0</v>
      </c>
      <c r="B440" s="181">
        <f>Base_Données!B442</f>
        <v>0</v>
      </c>
      <c r="C440" s="158">
        <f>Base_Données!C442</f>
        <v>0</v>
      </c>
      <c r="D440" s="156">
        <f>Base_Données!Q442</f>
        <v>0</v>
      </c>
      <c r="E440" s="156">
        <f>Base_Données!BR442</f>
        <v>0</v>
      </c>
      <c r="F440" s="155">
        <f>Base_Données!R442</f>
        <v>0</v>
      </c>
      <c r="G440" s="154">
        <f>Base_Données!BS442</f>
        <v>0</v>
      </c>
      <c r="H440" s="155">
        <f>SIG!F440-SIG!G440</f>
        <v>0</v>
      </c>
      <c r="I440" s="159">
        <f>Base_Données!BI442+Base_Données!BJ442-Base_Données!GC442-Base_Données!GD442</f>
        <v>0</v>
      </c>
      <c r="J440" s="154">
        <f t="shared" si="12"/>
        <v>0</v>
      </c>
      <c r="K440" s="154">
        <f>Base_Données!BK442-Base_Données!GE442</f>
        <v>0</v>
      </c>
      <c r="L440" s="159">
        <f t="shared" si="13"/>
        <v>0</v>
      </c>
      <c r="M440" s="158">
        <f>Base_Données!S442</f>
        <v>0</v>
      </c>
      <c r="N440" s="154">
        <f>Base_Données!T442-(Base_Données!BU442+Base_Données!BZ442+Base_Données!CC442)</f>
        <v>0</v>
      </c>
      <c r="O440" s="154">
        <f>Base_Données!AC442+Base_Données!AL442-(Base_Données!CI442)</f>
        <v>0</v>
      </c>
      <c r="P440" s="154">
        <f>L440+Base_Données!GJ442+Base_Données!GE442+Base_Données!GB442+Base_Données!FV442+Base_Données!FS442+Base_Données!FO442+Base_Données!FE442+Base_Données!DS442-(Base_Données!BK442+Base_Données!BH442+Base_Données!AU442)</f>
        <v>0</v>
      </c>
      <c r="Q440" s="189">
        <f>P440+Base_Données!AV442-Base_Données!FE442-Base_Données!FO442</f>
        <v>0</v>
      </c>
      <c r="R440" s="329">
        <f>SIG!Q440+Base_Données!BD442+Base_Données!BH442+Base_Données!BL442+Base_Données!BM442+Base_Données!BN442-Base_Données!GB442-Base_Données!GJ442-Base_Données!GF442</f>
        <v>0</v>
      </c>
    </row>
    <row r="441" spans="1:18" customFormat="1" x14ac:dyDescent="0.25">
      <c r="A441" s="328">
        <f>Base_Données!A443</f>
        <v>0</v>
      </c>
      <c r="B441" s="181">
        <f>Base_Données!B443</f>
        <v>0</v>
      </c>
      <c r="C441" s="158">
        <f>Base_Données!C443</f>
        <v>0</v>
      </c>
      <c r="D441" s="156">
        <f>Base_Données!Q443</f>
        <v>0</v>
      </c>
      <c r="E441" s="156">
        <f>Base_Données!BR443</f>
        <v>0</v>
      </c>
      <c r="F441" s="155">
        <f>Base_Données!R443</f>
        <v>0</v>
      </c>
      <c r="G441" s="154">
        <f>Base_Données!BS443</f>
        <v>0</v>
      </c>
      <c r="H441" s="155">
        <f>SIG!F441-SIG!G441</f>
        <v>0</v>
      </c>
      <c r="I441" s="159">
        <f>Base_Données!BI443+Base_Données!BJ443-Base_Données!GC443-Base_Données!GD443</f>
        <v>0</v>
      </c>
      <c r="J441" s="154">
        <f t="shared" si="12"/>
        <v>0</v>
      </c>
      <c r="K441" s="154">
        <f>Base_Données!BK443-Base_Données!GE443</f>
        <v>0</v>
      </c>
      <c r="L441" s="159">
        <f t="shared" si="13"/>
        <v>0</v>
      </c>
      <c r="M441" s="158">
        <f>Base_Données!S443</f>
        <v>0</v>
      </c>
      <c r="N441" s="154">
        <f>Base_Données!T443-(Base_Données!BU443+Base_Données!BZ443+Base_Données!CC443)</f>
        <v>0</v>
      </c>
      <c r="O441" s="154">
        <f>Base_Données!AC443+Base_Données!AL443-(Base_Données!CI443)</f>
        <v>0</v>
      </c>
      <c r="P441" s="154">
        <f>L441+Base_Données!GJ443+Base_Données!GE443+Base_Données!GB443+Base_Données!FV443+Base_Données!FS443+Base_Données!FO443+Base_Données!FE443+Base_Données!DS443-(Base_Données!BK443+Base_Données!BH443+Base_Données!AU443)</f>
        <v>0</v>
      </c>
      <c r="Q441" s="189">
        <f>P441+Base_Données!AV443-Base_Données!FE443-Base_Données!FO443</f>
        <v>0</v>
      </c>
      <c r="R441" s="329">
        <f>SIG!Q441+Base_Données!BD443+Base_Données!BH443+Base_Données!BL443+Base_Données!BM443+Base_Données!BN443-Base_Données!GB443-Base_Données!GJ443-Base_Données!GF443</f>
        <v>0</v>
      </c>
    </row>
    <row r="442" spans="1:18" customFormat="1" x14ac:dyDescent="0.25">
      <c r="A442" s="328">
        <f>Base_Données!A444</f>
        <v>0</v>
      </c>
      <c r="B442" s="181">
        <f>Base_Données!B444</f>
        <v>0</v>
      </c>
      <c r="C442" s="158">
        <f>Base_Données!C444</f>
        <v>0</v>
      </c>
      <c r="D442" s="156">
        <f>Base_Données!Q444</f>
        <v>0</v>
      </c>
      <c r="E442" s="156">
        <f>Base_Données!BR444</f>
        <v>0</v>
      </c>
      <c r="F442" s="155">
        <f>Base_Données!R444</f>
        <v>0</v>
      </c>
      <c r="G442" s="154">
        <f>Base_Données!BS444</f>
        <v>0</v>
      </c>
      <c r="H442" s="155">
        <f>SIG!F442-SIG!G442</f>
        <v>0</v>
      </c>
      <c r="I442" s="159">
        <f>Base_Données!BI444+Base_Données!BJ444-Base_Données!GC444-Base_Données!GD444</f>
        <v>0</v>
      </c>
      <c r="J442" s="154">
        <f t="shared" si="12"/>
        <v>0</v>
      </c>
      <c r="K442" s="154">
        <f>Base_Données!BK444-Base_Données!GE444</f>
        <v>0</v>
      </c>
      <c r="L442" s="159">
        <f t="shared" si="13"/>
        <v>0</v>
      </c>
      <c r="M442" s="158">
        <f>Base_Données!S444</f>
        <v>0</v>
      </c>
      <c r="N442" s="154">
        <f>Base_Données!T444-(Base_Données!BU444+Base_Données!BZ444+Base_Données!CC444)</f>
        <v>0</v>
      </c>
      <c r="O442" s="154">
        <f>Base_Données!AC444+Base_Données!AL444-(Base_Données!CI444)</f>
        <v>0</v>
      </c>
      <c r="P442" s="154">
        <f>L442+Base_Données!GJ444+Base_Données!GE444+Base_Données!GB444+Base_Données!FV444+Base_Données!FS444+Base_Données!FO444+Base_Données!FE444+Base_Données!DS444-(Base_Données!BK444+Base_Données!BH444+Base_Données!AU444)</f>
        <v>0</v>
      </c>
      <c r="Q442" s="189">
        <f>P442+Base_Données!AV444-Base_Données!FE444-Base_Données!FO444</f>
        <v>0</v>
      </c>
      <c r="R442" s="329">
        <f>SIG!Q442+Base_Données!BD444+Base_Données!BH444+Base_Données!BL444+Base_Données!BM444+Base_Données!BN444-Base_Données!GB444-Base_Données!GJ444-Base_Données!GF444</f>
        <v>0</v>
      </c>
    </row>
    <row r="443" spans="1:18" customFormat="1" x14ac:dyDescent="0.25">
      <c r="A443" s="328">
        <f>Base_Données!A445</f>
        <v>0</v>
      </c>
      <c r="B443" s="181">
        <f>Base_Données!B445</f>
        <v>0</v>
      </c>
      <c r="C443" s="158">
        <f>Base_Données!C445</f>
        <v>0</v>
      </c>
      <c r="D443" s="156">
        <f>Base_Données!Q445</f>
        <v>0</v>
      </c>
      <c r="E443" s="156">
        <f>Base_Données!BR445</f>
        <v>0</v>
      </c>
      <c r="F443" s="155">
        <f>Base_Données!R445</f>
        <v>0</v>
      </c>
      <c r="G443" s="154">
        <f>Base_Données!BS445</f>
        <v>0</v>
      </c>
      <c r="H443" s="155">
        <f>SIG!F443-SIG!G443</f>
        <v>0</v>
      </c>
      <c r="I443" s="159">
        <f>Base_Données!BI445+Base_Données!BJ445-Base_Données!GC445-Base_Données!GD445</f>
        <v>0</v>
      </c>
      <c r="J443" s="154">
        <f t="shared" si="12"/>
        <v>0</v>
      </c>
      <c r="K443" s="154">
        <f>Base_Données!BK445-Base_Données!GE445</f>
        <v>0</v>
      </c>
      <c r="L443" s="159">
        <f t="shared" si="13"/>
        <v>0</v>
      </c>
      <c r="M443" s="158">
        <f>Base_Données!S445</f>
        <v>0</v>
      </c>
      <c r="N443" s="154">
        <f>Base_Données!T445-(Base_Données!BU445+Base_Données!BZ445+Base_Données!CC445)</f>
        <v>0</v>
      </c>
      <c r="O443" s="154">
        <f>Base_Données!AC445+Base_Données!AL445-(Base_Données!CI445)</f>
        <v>0</v>
      </c>
      <c r="P443" s="154">
        <f>L443+Base_Données!GJ445+Base_Données!GE445+Base_Données!GB445+Base_Données!FV445+Base_Données!FS445+Base_Données!FO445+Base_Données!FE445+Base_Données!DS445-(Base_Données!BK445+Base_Données!BH445+Base_Données!AU445)</f>
        <v>0</v>
      </c>
      <c r="Q443" s="189">
        <f>P443+Base_Données!AV445-Base_Données!FE445-Base_Données!FO445</f>
        <v>0</v>
      </c>
      <c r="R443" s="329">
        <f>SIG!Q443+Base_Données!BD445+Base_Données!BH445+Base_Données!BL445+Base_Données!BM445+Base_Données!BN445-Base_Données!GB445-Base_Données!GJ445-Base_Données!GF445</f>
        <v>0</v>
      </c>
    </row>
    <row r="444" spans="1:18" customFormat="1" x14ac:dyDescent="0.25">
      <c r="A444" s="328">
        <f>Base_Données!A446</f>
        <v>0</v>
      </c>
      <c r="B444" s="181">
        <f>Base_Données!B446</f>
        <v>0</v>
      </c>
      <c r="C444" s="158">
        <f>Base_Données!C446</f>
        <v>0</v>
      </c>
      <c r="D444" s="156">
        <f>Base_Données!Q446</f>
        <v>0</v>
      </c>
      <c r="E444" s="156">
        <f>Base_Données!BR446</f>
        <v>0</v>
      </c>
      <c r="F444" s="155">
        <f>Base_Données!R446</f>
        <v>0</v>
      </c>
      <c r="G444" s="154">
        <f>Base_Données!BS446</f>
        <v>0</v>
      </c>
      <c r="H444" s="155">
        <f>SIG!F444-SIG!G444</f>
        <v>0</v>
      </c>
      <c r="I444" s="159">
        <f>Base_Données!BI446+Base_Données!BJ446-Base_Données!GC446-Base_Données!GD446</f>
        <v>0</v>
      </c>
      <c r="J444" s="154">
        <f t="shared" si="12"/>
        <v>0</v>
      </c>
      <c r="K444" s="154">
        <f>Base_Données!BK446-Base_Données!GE446</f>
        <v>0</v>
      </c>
      <c r="L444" s="159">
        <f t="shared" si="13"/>
        <v>0</v>
      </c>
      <c r="M444" s="158">
        <f>Base_Données!S446</f>
        <v>0</v>
      </c>
      <c r="N444" s="154">
        <f>Base_Données!T446-(Base_Données!BU446+Base_Données!BZ446+Base_Données!CC446)</f>
        <v>0</v>
      </c>
      <c r="O444" s="154">
        <f>Base_Données!AC446+Base_Données!AL446-(Base_Données!CI446)</f>
        <v>0</v>
      </c>
      <c r="P444" s="154">
        <f>L444+Base_Données!GJ446+Base_Données!GE446+Base_Données!GB446+Base_Données!FV446+Base_Données!FS446+Base_Données!FO446+Base_Données!FE446+Base_Données!DS446-(Base_Données!BK446+Base_Données!BH446+Base_Données!AU446)</f>
        <v>0</v>
      </c>
      <c r="Q444" s="189">
        <f>P444+Base_Données!AV446-Base_Données!FE446-Base_Données!FO446</f>
        <v>0</v>
      </c>
      <c r="R444" s="329">
        <f>SIG!Q444+Base_Données!BD446+Base_Données!BH446+Base_Données!BL446+Base_Données!BM446+Base_Données!BN446-Base_Données!GB446-Base_Données!GJ446-Base_Données!GF446</f>
        <v>0</v>
      </c>
    </row>
    <row r="445" spans="1:18" customFormat="1" x14ac:dyDescent="0.25">
      <c r="A445" s="328">
        <f>Base_Données!A447</f>
        <v>0</v>
      </c>
      <c r="B445" s="181">
        <f>Base_Données!B447</f>
        <v>0</v>
      </c>
      <c r="C445" s="158">
        <f>Base_Données!C447</f>
        <v>0</v>
      </c>
      <c r="D445" s="156">
        <f>Base_Données!Q447</f>
        <v>0</v>
      </c>
      <c r="E445" s="156">
        <f>Base_Données!BR447</f>
        <v>0</v>
      </c>
      <c r="F445" s="155">
        <f>Base_Données!R447</f>
        <v>0</v>
      </c>
      <c r="G445" s="154">
        <f>Base_Données!BS447</f>
        <v>0</v>
      </c>
      <c r="H445" s="155">
        <f>SIG!F445-SIG!G445</f>
        <v>0</v>
      </c>
      <c r="I445" s="159">
        <f>Base_Données!BI447+Base_Données!BJ447-Base_Données!GC447-Base_Données!GD447</f>
        <v>0</v>
      </c>
      <c r="J445" s="154">
        <f t="shared" si="12"/>
        <v>0</v>
      </c>
      <c r="K445" s="154">
        <f>Base_Données!BK447-Base_Données!GE447</f>
        <v>0</v>
      </c>
      <c r="L445" s="159">
        <f t="shared" si="13"/>
        <v>0</v>
      </c>
      <c r="M445" s="158">
        <f>Base_Données!S447</f>
        <v>0</v>
      </c>
      <c r="N445" s="154">
        <f>Base_Données!T447-(Base_Données!BU447+Base_Données!BZ447+Base_Données!CC447)</f>
        <v>0</v>
      </c>
      <c r="O445" s="154">
        <f>Base_Données!AC447+Base_Données!AL447-(Base_Données!CI447)</f>
        <v>0</v>
      </c>
      <c r="P445" s="154">
        <f>L445+Base_Données!GJ447+Base_Données!GE447+Base_Données!GB447+Base_Données!FV447+Base_Données!FS447+Base_Données!FO447+Base_Données!FE447+Base_Données!DS447-(Base_Données!BK447+Base_Données!BH447+Base_Données!AU447)</f>
        <v>0</v>
      </c>
      <c r="Q445" s="189">
        <f>P445+Base_Données!AV447-Base_Données!FE447-Base_Données!FO447</f>
        <v>0</v>
      </c>
      <c r="R445" s="329">
        <f>SIG!Q445+Base_Données!BD447+Base_Données!BH447+Base_Données!BL447+Base_Données!BM447+Base_Données!BN447-Base_Données!GB447-Base_Données!GJ447-Base_Données!GF447</f>
        <v>0</v>
      </c>
    </row>
    <row r="446" spans="1:18" customFormat="1" x14ac:dyDescent="0.25">
      <c r="A446" s="328">
        <f>Base_Données!A448</f>
        <v>0</v>
      </c>
      <c r="B446" s="181">
        <f>Base_Données!B448</f>
        <v>0</v>
      </c>
      <c r="C446" s="158">
        <f>Base_Données!C448</f>
        <v>0</v>
      </c>
      <c r="D446" s="156">
        <f>Base_Données!Q448</f>
        <v>0</v>
      </c>
      <c r="E446" s="156">
        <f>Base_Données!BR448</f>
        <v>0</v>
      </c>
      <c r="F446" s="155">
        <f>Base_Données!R448</f>
        <v>0</v>
      </c>
      <c r="G446" s="154">
        <f>Base_Données!BS448</f>
        <v>0</v>
      </c>
      <c r="H446" s="155">
        <f>SIG!F446-SIG!G446</f>
        <v>0</v>
      </c>
      <c r="I446" s="159">
        <f>Base_Données!BI448+Base_Données!BJ448-Base_Données!GC448-Base_Données!GD448</f>
        <v>0</v>
      </c>
      <c r="J446" s="154">
        <f t="shared" si="12"/>
        <v>0</v>
      </c>
      <c r="K446" s="154">
        <f>Base_Données!BK448-Base_Données!GE448</f>
        <v>0</v>
      </c>
      <c r="L446" s="159">
        <f t="shared" si="13"/>
        <v>0</v>
      </c>
      <c r="M446" s="158">
        <f>Base_Données!S448</f>
        <v>0</v>
      </c>
      <c r="N446" s="154">
        <f>Base_Données!T448-(Base_Données!BU448+Base_Données!BZ448+Base_Données!CC448)</f>
        <v>0</v>
      </c>
      <c r="O446" s="154">
        <f>Base_Données!AC448+Base_Données!AL448-(Base_Données!CI448)</f>
        <v>0</v>
      </c>
      <c r="P446" s="154">
        <f>L446+Base_Données!GJ448+Base_Données!GE448+Base_Données!GB448+Base_Données!FV448+Base_Données!FS448+Base_Données!FO448+Base_Données!FE448+Base_Données!DS448-(Base_Données!BK448+Base_Données!BH448+Base_Données!AU448)</f>
        <v>0</v>
      </c>
      <c r="Q446" s="189">
        <f>P446+Base_Données!AV448-Base_Données!FE448-Base_Données!FO448</f>
        <v>0</v>
      </c>
      <c r="R446" s="329">
        <f>SIG!Q446+Base_Données!BD448+Base_Données!BH448+Base_Données!BL448+Base_Données!BM448+Base_Données!BN448-Base_Données!GB448-Base_Données!GJ448-Base_Données!GF448</f>
        <v>0</v>
      </c>
    </row>
    <row r="447" spans="1:18" customFormat="1" x14ac:dyDescent="0.25">
      <c r="A447" s="328">
        <f>Base_Données!A449</f>
        <v>0</v>
      </c>
      <c r="B447" s="181">
        <f>Base_Données!B449</f>
        <v>0</v>
      </c>
      <c r="C447" s="158">
        <f>Base_Données!C449</f>
        <v>0</v>
      </c>
      <c r="D447" s="156">
        <f>Base_Données!Q449</f>
        <v>0</v>
      </c>
      <c r="E447" s="156">
        <f>Base_Données!BR449</f>
        <v>0</v>
      </c>
      <c r="F447" s="155">
        <f>Base_Données!R449</f>
        <v>0</v>
      </c>
      <c r="G447" s="154">
        <f>Base_Données!BS449</f>
        <v>0</v>
      </c>
      <c r="H447" s="155">
        <f>SIG!F447-SIG!G447</f>
        <v>0</v>
      </c>
      <c r="I447" s="159">
        <f>Base_Données!BI449+Base_Données!BJ449-Base_Données!GC449-Base_Données!GD449</f>
        <v>0</v>
      </c>
      <c r="J447" s="154">
        <f t="shared" si="12"/>
        <v>0</v>
      </c>
      <c r="K447" s="154">
        <f>Base_Données!BK449-Base_Données!GE449</f>
        <v>0</v>
      </c>
      <c r="L447" s="159">
        <f t="shared" si="13"/>
        <v>0</v>
      </c>
      <c r="M447" s="158">
        <f>Base_Données!S449</f>
        <v>0</v>
      </c>
      <c r="N447" s="154">
        <f>Base_Données!T449-(Base_Données!BU449+Base_Données!BZ449+Base_Données!CC449)</f>
        <v>0</v>
      </c>
      <c r="O447" s="154">
        <f>Base_Données!AC449+Base_Données!AL449-(Base_Données!CI449)</f>
        <v>0</v>
      </c>
      <c r="P447" s="154">
        <f>L447+Base_Données!GJ449+Base_Données!GE449+Base_Données!GB449+Base_Données!FV449+Base_Données!FS449+Base_Données!FO449+Base_Données!FE449+Base_Données!DS449-(Base_Données!BK449+Base_Données!BH449+Base_Données!AU449)</f>
        <v>0</v>
      </c>
      <c r="Q447" s="189">
        <f>P447+Base_Données!AV449-Base_Données!FE449-Base_Données!FO449</f>
        <v>0</v>
      </c>
      <c r="R447" s="329">
        <f>SIG!Q447+Base_Données!BD449+Base_Données!BH449+Base_Données!BL449+Base_Données!BM449+Base_Données!BN449-Base_Données!GB449-Base_Données!GJ449-Base_Données!GF449</f>
        <v>0</v>
      </c>
    </row>
    <row r="448" spans="1:18" customFormat="1" x14ac:dyDescent="0.25">
      <c r="A448" s="328">
        <f>Base_Données!A450</f>
        <v>0</v>
      </c>
      <c r="B448" s="181">
        <f>Base_Données!B450</f>
        <v>0</v>
      </c>
      <c r="C448" s="158">
        <f>Base_Données!C450</f>
        <v>0</v>
      </c>
      <c r="D448" s="156">
        <f>Base_Données!Q450</f>
        <v>0</v>
      </c>
      <c r="E448" s="156">
        <f>Base_Données!BR450</f>
        <v>0</v>
      </c>
      <c r="F448" s="155">
        <f>Base_Données!R450</f>
        <v>0</v>
      </c>
      <c r="G448" s="154">
        <f>Base_Données!BS450</f>
        <v>0</v>
      </c>
      <c r="H448" s="155">
        <f>SIG!F448-SIG!G448</f>
        <v>0</v>
      </c>
      <c r="I448" s="159">
        <f>Base_Données!BI450+Base_Données!BJ450-Base_Données!GC450-Base_Données!GD450</f>
        <v>0</v>
      </c>
      <c r="J448" s="154">
        <f t="shared" si="12"/>
        <v>0</v>
      </c>
      <c r="K448" s="154">
        <f>Base_Données!BK450-Base_Données!GE450</f>
        <v>0</v>
      </c>
      <c r="L448" s="159">
        <f t="shared" si="13"/>
        <v>0</v>
      </c>
      <c r="M448" s="158">
        <f>Base_Données!S450</f>
        <v>0</v>
      </c>
      <c r="N448" s="154">
        <f>Base_Données!T450-(Base_Données!BU450+Base_Données!BZ450+Base_Données!CC450)</f>
        <v>0</v>
      </c>
      <c r="O448" s="154">
        <f>Base_Données!AC450+Base_Données!AL450-(Base_Données!CI450)</f>
        <v>0</v>
      </c>
      <c r="P448" s="154">
        <f>L448+Base_Données!GJ450+Base_Données!GE450+Base_Données!GB450+Base_Données!FV450+Base_Données!FS450+Base_Données!FO450+Base_Données!FE450+Base_Données!DS450-(Base_Données!BK450+Base_Données!BH450+Base_Données!AU450)</f>
        <v>0</v>
      </c>
      <c r="Q448" s="189">
        <f>P448+Base_Données!AV450-Base_Données!FE450-Base_Données!FO450</f>
        <v>0</v>
      </c>
      <c r="R448" s="329">
        <f>SIG!Q448+Base_Données!BD450+Base_Données!BH450+Base_Données!BL450+Base_Données!BM450+Base_Données!BN450-Base_Données!GB450-Base_Données!GJ450-Base_Données!GF450</f>
        <v>0</v>
      </c>
    </row>
    <row r="449" spans="1:18" customFormat="1" x14ac:dyDescent="0.25">
      <c r="A449" s="328">
        <f>Base_Données!A451</f>
        <v>0</v>
      </c>
      <c r="B449" s="181">
        <f>Base_Données!B451</f>
        <v>0</v>
      </c>
      <c r="C449" s="158">
        <f>Base_Données!C451</f>
        <v>0</v>
      </c>
      <c r="D449" s="156">
        <f>Base_Données!Q451</f>
        <v>0</v>
      </c>
      <c r="E449" s="156">
        <f>Base_Données!BR451</f>
        <v>0</v>
      </c>
      <c r="F449" s="155">
        <f>Base_Données!R451</f>
        <v>0</v>
      </c>
      <c r="G449" s="154">
        <f>Base_Données!BS451</f>
        <v>0</v>
      </c>
      <c r="H449" s="155">
        <f>SIG!F449-SIG!G449</f>
        <v>0</v>
      </c>
      <c r="I449" s="159">
        <f>Base_Données!BI451+Base_Données!BJ451-Base_Données!GC451-Base_Données!GD451</f>
        <v>0</v>
      </c>
      <c r="J449" s="154">
        <f t="shared" si="12"/>
        <v>0</v>
      </c>
      <c r="K449" s="154">
        <f>Base_Données!BK451-Base_Données!GE451</f>
        <v>0</v>
      </c>
      <c r="L449" s="159">
        <f t="shared" si="13"/>
        <v>0</v>
      </c>
      <c r="M449" s="158">
        <f>Base_Données!S451</f>
        <v>0</v>
      </c>
      <c r="N449" s="154">
        <f>Base_Données!T451-(Base_Données!BU451+Base_Données!BZ451+Base_Données!CC451)</f>
        <v>0</v>
      </c>
      <c r="O449" s="154">
        <f>Base_Données!AC451+Base_Données!AL451-(Base_Données!CI451)</f>
        <v>0</v>
      </c>
      <c r="P449" s="154">
        <f>L449+Base_Données!GJ451+Base_Données!GE451+Base_Données!GB451+Base_Données!FV451+Base_Données!FS451+Base_Données!FO451+Base_Données!FE451+Base_Données!DS451-(Base_Données!BK451+Base_Données!BH451+Base_Données!AU451)</f>
        <v>0</v>
      </c>
      <c r="Q449" s="189">
        <f>P449+Base_Données!AV451-Base_Données!FE451-Base_Données!FO451</f>
        <v>0</v>
      </c>
      <c r="R449" s="329">
        <f>SIG!Q449+Base_Données!BD451+Base_Données!BH451+Base_Données!BL451+Base_Données!BM451+Base_Données!BN451-Base_Données!GB451-Base_Données!GJ451-Base_Données!GF451</f>
        <v>0</v>
      </c>
    </row>
    <row r="450" spans="1:18" customFormat="1" x14ac:dyDescent="0.25">
      <c r="A450" s="328">
        <f>Base_Données!A452</f>
        <v>0</v>
      </c>
      <c r="B450" s="181">
        <f>Base_Données!B452</f>
        <v>0</v>
      </c>
      <c r="C450" s="158">
        <f>Base_Données!C452</f>
        <v>0</v>
      </c>
      <c r="D450" s="156">
        <f>Base_Données!Q452</f>
        <v>0</v>
      </c>
      <c r="E450" s="156">
        <f>Base_Données!BR452</f>
        <v>0</v>
      </c>
      <c r="F450" s="155">
        <f>Base_Données!R452</f>
        <v>0</v>
      </c>
      <c r="G450" s="154">
        <f>Base_Données!BS452</f>
        <v>0</v>
      </c>
      <c r="H450" s="155">
        <f>SIG!F450-SIG!G450</f>
        <v>0</v>
      </c>
      <c r="I450" s="159">
        <f>Base_Données!BI452+Base_Données!BJ452-Base_Données!GC452-Base_Données!GD452</f>
        <v>0</v>
      </c>
      <c r="J450" s="154">
        <f t="shared" si="12"/>
        <v>0</v>
      </c>
      <c r="K450" s="154">
        <f>Base_Données!BK452-Base_Données!GE452</f>
        <v>0</v>
      </c>
      <c r="L450" s="159">
        <f t="shared" si="13"/>
        <v>0</v>
      </c>
      <c r="M450" s="158">
        <f>Base_Données!S452</f>
        <v>0</v>
      </c>
      <c r="N450" s="154">
        <f>Base_Données!T452-(Base_Données!BU452+Base_Données!BZ452+Base_Données!CC452)</f>
        <v>0</v>
      </c>
      <c r="O450" s="154">
        <f>Base_Données!AC452+Base_Données!AL452-(Base_Données!CI452)</f>
        <v>0</v>
      </c>
      <c r="P450" s="154">
        <f>L450+Base_Données!GJ452+Base_Données!GE452+Base_Données!GB452+Base_Données!FV452+Base_Données!FS452+Base_Données!FO452+Base_Données!FE452+Base_Données!DS452-(Base_Données!BK452+Base_Données!BH452+Base_Données!AU452)</f>
        <v>0</v>
      </c>
      <c r="Q450" s="189">
        <f>P450+Base_Données!AV452-Base_Données!FE452-Base_Données!FO452</f>
        <v>0</v>
      </c>
      <c r="R450" s="329">
        <f>SIG!Q450+Base_Données!BD452+Base_Données!BH452+Base_Données!BL452+Base_Données!BM452+Base_Données!BN452-Base_Données!GB452-Base_Données!GJ452-Base_Données!GF452</f>
        <v>0</v>
      </c>
    </row>
    <row r="451" spans="1:18" customFormat="1" x14ac:dyDescent="0.25">
      <c r="A451" s="328">
        <f>Base_Données!A453</f>
        <v>0</v>
      </c>
      <c r="B451" s="181">
        <f>Base_Données!B453</f>
        <v>0</v>
      </c>
      <c r="C451" s="158">
        <f>Base_Données!C453</f>
        <v>0</v>
      </c>
      <c r="D451" s="156">
        <f>Base_Données!Q453</f>
        <v>0</v>
      </c>
      <c r="E451" s="156">
        <f>Base_Données!BR453</f>
        <v>0</v>
      </c>
      <c r="F451" s="155">
        <f>Base_Données!R453</f>
        <v>0</v>
      </c>
      <c r="G451" s="154">
        <f>Base_Données!BS453</f>
        <v>0</v>
      </c>
      <c r="H451" s="155">
        <f>SIG!F451-SIG!G451</f>
        <v>0</v>
      </c>
      <c r="I451" s="159">
        <f>Base_Données!BI453+Base_Données!BJ453-Base_Données!GC453-Base_Données!GD453</f>
        <v>0</v>
      </c>
      <c r="J451" s="154">
        <f t="shared" si="12"/>
        <v>0</v>
      </c>
      <c r="K451" s="154">
        <f>Base_Données!BK453-Base_Données!GE453</f>
        <v>0</v>
      </c>
      <c r="L451" s="159">
        <f t="shared" si="13"/>
        <v>0</v>
      </c>
      <c r="M451" s="158">
        <f>Base_Données!S453</f>
        <v>0</v>
      </c>
      <c r="N451" s="154">
        <f>Base_Données!T453-(Base_Données!BU453+Base_Données!BZ453+Base_Données!CC453)</f>
        <v>0</v>
      </c>
      <c r="O451" s="154">
        <f>Base_Données!AC453+Base_Données!AL453-(Base_Données!CI453)</f>
        <v>0</v>
      </c>
      <c r="P451" s="154">
        <f>L451+Base_Données!GJ453+Base_Données!GE453+Base_Données!GB453+Base_Données!FV453+Base_Données!FS453+Base_Données!FO453+Base_Données!FE453+Base_Données!DS453-(Base_Données!BK453+Base_Données!BH453+Base_Données!AU453)</f>
        <v>0</v>
      </c>
      <c r="Q451" s="189">
        <f>P451+Base_Données!AV453-Base_Données!FE453-Base_Données!FO453</f>
        <v>0</v>
      </c>
      <c r="R451" s="329">
        <f>SIG!Q451+Base_Données!BD453+Base_Données!BH453+Base_Données!BL453+Base_Données!BM453+Base_Données!BN453-Base_Données!GB453-Base_Données!GJ453-Base_Données!GF453</f>
        <v>0</v>
      </c>
    </row>
    <row r="452" spans="1:18" customFormat="1" x14ac:dyDescent="0.25">
      <c r="A452" s="328">
        <f>Base_Données!A454</f>
        <v>0</v>
      </c>
      <c r="B452" s="181">
        <f>Base_Données!B454</f>
        <v>0</v>
      </c>
      <c r="C452" s="158">
        <f>Base_Données!C454</f>
        <v>0</v>
      </c>
      <c r="D452" s="156">
        <f>Base_Données!Q454</f>
        <v>0</v>
      </c>
      <c r="E452" s="156">
        <f>Base_Données!BR454</f>
        <v>0</v>
      </c>
      <c r="F452" s="155">
        <f>Base_Données!R454</f>
        <v>0</v>
      </c>
      <c r="G452" s="154">
        <f>Base_Données!BS454</f>
        <v>0</v>
      </c>
      <c r="H452" s="155">
        <f>SIG!F452-SIG!G452</f>
        <v>0</v>
      </c>
      <c r="I452" s="159">
        <f>Base_Données!BI454+Base_Données!BJ454-Base_Données!GC454-Base_Données!GD454</f>
        <v>0</v>
      </c>
      <c r="J452" s="154">
        <f t="shared" ref="J452:J497" si="14">H452+(I452)</f>
        <v>0</v>
      </c>
      <c r="K452" s="154">
        <f>Base_Données!BK454-Base_Données!GE454</f>
        <v>0</v>
      </c>
      <c r="L452" s="159">
        <f t="shared" ref="L452:L497" si="15">D452-E452</f>
        <v>0</v>
      </c>
      <c r="M452" s="158">
        <f>Base_Données!S454</f>
        <v>0</v>
      </c>
      <c r="N452" s="154">
        <f>Base_Données!T454-(Base_Données!BU454+Base_Données!BZ454+Base_Données!CC454)</f>
        <v>0</v>
      </c>
      <c r="O452" s="154">
        <f>Base_Données!AC454+Base_Données!AL454-(Base_Données!CI454)</f>
        <v>0</v>
      </c>
      <c r="P452" s="154">
        <f>L452+Base_Données!GJ454+Base_Données!GE454+Base_Données!GB454+Base_Données!FV454+Base_Données!FS454+Base_Données!FO454+Base_Données!FE454+Base_Données!DS454-(Base_Données!BK454+Base_Données!BH454+Base_Données!AU454)</f>
        <v>0</v>
      </c>
      <c r="Q452" s="189">
        <f>P452+Base_Données!AV454-Base_Données!FE454-Base_Données!FO454</f>
        <v>0</v>
      </c>
      <c r="R452" s="329">
        <f>SIG!Q452+Base_Données!BD454+Base_Données!BH454+Base_Données!BL454+Base_Données!BM454+Base_Données!BN454-Base_Données!GB454-Base_Données!GJ454-Base_Données!GF454</f>
        <v>0</v>
      </c>
    </row>
    <row r="453" spans="1:18" customFormat="1" x14ac:dyDescent="0.25">
      <c r="A453" s="328">
        <f>Base_Données!A455</f>
        <v>0</v>
      </c>
      <c r="B453" s="181">
        <f>Base_Données!B455</f>
        <v>0</v>
      </c>
      <c r="C453" s="158">
        <f>Base_Données!C455</f>
        <v>0</v>
      </c>
      <c r="D453" s="156">
        <f>Base_Données!Q455</f>
        <v>0</v>
      </c>
      <c r="E453" s="156">
        <f>Base_Données!BR455</f>
        <v>0</v>
      </c>
      <c r="F453" s="155">
        <f>Base_Données!R455</f>
        <v>0</v>
      </c>
      <c r="G453" s="154">
        <f>Base_Données!BS455</f>
        <v>0</v>
      </c>
      <c r="H453" s="155">
        <f>SIG!F453-SIG!G453</f>
        <v>0</v>
      </c>
      <c r="I453" s="159">
        <f>Base_Données!BI455+Base_Données!BJ455-Base_Données!GC455-Base_Données!GD455</f>
        <v>0</v>
      </c>
      <c r="J453" s="154">
        <f t="shared" si="14"/>
        <v>0</v>
      </c>
      <c r="K453" s="154">
        <f>Base_Données!BK455-Base_Données!GE455</f>
        <v>0</v>
      </c>
      <c r="L453" s="159">
        <f t="shared" si="15"/>
        <v>0</v>
      </c>
      <c r="M453" s="158">
        <f>Base_Données!S455</f>
        <v>0</v>
      </c>
      <c r="N453" s="154">
        <f>Base_Données!T455-(Base_Données!BU455+Base_Données!BZ455+Base_Données!CC455)</f>
        <v>0</v>
      </c>
      <c r="O453" s="154">
        <f>Base_Données!AC455+Base_Données!AL455-(Base_Données!CI455)</f>
        <v>0</v>
      </c>
      <c r="P453" s="154">
        <f>L453+Base_Données!GJ455+Base_Données!GE455+Base_Données!GB455+Base_Données!FV455+Base_Données!FS455+Base_Données!FO455+Base_Données!FE455+Base_Données!DS455-(Base_Données!BK455+Base_Données!BH455+Base_Données!AU455)</f>
        <v>0</v>
      </c>
      <c r="Q453" s="189">
        <f>P453+Base_Données!AV455-Base_Données!FE455-Base_Données!FO455</f>
        <v>0</v>
      </c>
      <c r="R453" s="329">
        <f>SIG!Q453+Base_Données!BD455+Base_Données!BH455+Base_Données!BL455+Base_Données!BM455+Base_Données!BN455-Base_Données!GB455-Base_Données!GJ455-Base_Données!GF455</f>
        <v>0</v>
      </c>
    </row>
    <row r="454" spans="1:18" customFormat="1" x14ac:dyDescent="0.25">
      <c r="A454" s="328">
        <f>Base_Données!A456</f>
        <v>0</v>
      </c>
      <c r="B454" s="181">
        <f>Base_Données!B456</f>
        <v>0</v>
      </c>
      <c r="C454" s="158">
        <f>Base_Données!C456</f>
        <v>0</v>
      </c>
      <c r="D454" s="156">
        <f>Base_Données!Q456</f>
        <v>0</v>
      </c>
      <c r="E454" s="156">
        <f>Base_Données!BR456</f>
        <v>0</v>
      </c>
      <c r="F454" s="155">
        <f>Base_Données!R456</f>
        <v>0</v>
      </c>
      <c r="G454" s="154">
        <f>Base_Données!BS456</f>
        <v>0</v>
      </c>
      <c r="H454" s="155">
        <f>SIG!F454-SIG!G454</f>
        <v>0</v>
      </c>
      <c r="I454" s="159">
        <f>Base_Données!BI456+Base_Données!BJ456-Base_Données!GC456-Base_Données!GD456</f>
        <v>0</v>
      </c>
      <c r="J454" s="154">
        <f t="shared" si="14"/>
        <v>0</v>
      </c>
      <c r="K454" s="154">
        <f>Base_Données!BK456-Base_Données!GE456</f>
        <v>0</v>
      </c>
      <c r="L454" s="159">
        <f t="shared" si="15"/>
        <v>0</v>
      </c>
      <c r="M454" s="158">
        <f>Base_Données!S456</f>
        <v>0</v>
      </c>
      <c r="N454" s="154">
        <f>Base_Données!T456-(Base_Données!BU456+Base_Données!BZ456+Base_Données!CC456)</f>
        <v>0</v>
      </c>
      <c r="O454" s="154">
        <f>Base_Données!AC456+Base_Données!AL456-(Base_Données!CI456)</f>
        <v>0</v>
      </c>
      <c r="P454" s="154">
        <f>L454+Base_Données!GJ456+Base_Données!GE456+Base_Données!GB456+Base_Données!FV456+Base_Données!FS456+Base_Données!FO456+Base_Données!FE456+Base_Données!DS456-(Base_Données!BK456+Base_Données!BH456+Base_Données!AU456)</f>
        <v>0</v>
      </c>
      <c r="Q454" s="189">
        <f>P454+Base_Données!AV456-Base_Données!FE456-Base_Données!FO456</f>
        <v>0</v>
      </c>
      <c r="R454" s="329">
        <f>SIG!Q454+Base_Données!BD456+Base_Données!BH456+Base_Données!BL456+Base_Données!BM456+Base_Données!BN456-Base_Données!GB456-Base_Données!GJ456-Base_Données!GF456</f>
        <v>0</v>
      </c>
    </row>
    <row r="455" spans="1:18" customFormat="1" x14ac:dyDescent="0.25">
      <c r="A455" s="328">
        <f>Base_Données!A457</f>
        <v>0</v>
      </c>
      <c r="B455" s="181">
        <f>Base_Données!B457</f>
        <v>0</v>
      </c>
      <c r="C455" s="158">
        <f>Base_Données!C457</f>
        <v>0</v>
      </c>
      <c r="D455" s="156">
        <f>Base_Données!Q457</f>
        <v>0</v>
      </c>
      <c r="E455" s="156">
        <f>Base_Données!BR457</f>
        <v>0</v>
      </c>
      <c r="F455" s="155">
        <f>Base_Données!R457</f>
        <v>0</v>
      </c>
      <c r="G455" s="154">
        <f>Base_Données!BS457</f>
        <v>0</v>
      </c>
      <c r="H455" s="155">
        <f>SIG!F455-SIG!G455</f>
        <v>0</v>
      </c>
      <c r="I455" s="159">
        <f>Base_Données!BI457+Base_Données!BJ457-Base_Données!GC457-Base_Données!GD457</f>
        <v>0</v>
      </c>
      <c r="J455" s="154">
        <f t="shared" si="14"/>
        <v>0</v>
      </c>
      <c r="K455" s="154">
        <f>Base_Données!BK457-Base_Données!GE457</f>
        <v>0</v>
      </c>
      <c r="L455" s="159">
        <f t="shared" si="15"/>
        <v>0</v>
      </c>
      <c r="M455" s="158">
        <f>Base_Données!S457</f>
        <v>0</v>
      </c>
      <c r="N455" s="154">
        <f>Base_Données!T457-(Base_Données!BU457+Base_Données!BZ457+Base_Données!CC457)</f>
        <v>0</v>
      </c>
      <c r="O455" s="154">
        <f>Base_Données!AC457+Base_Données!AL457-(Base_Données!CI457)</f>
        <v>0</v>
      </c>
      <c r="P455" s="154">
        <f>L455+Base_Données!GJ457+Base_Données!GE457+Base_Données!GB457+Base_Données!FV457+Base_Données!FS457+Base_Données!FO457+Base_Données!FE457+Base_Données!DS457-(Base_Données!BK457+Base_Données!BH457+Base_Données!AU457)</f>
        <v>0</v>
      </c>
      <c r="Q455" s="189">
        <f>P455+Base_Données!AV457-Base_Données!FE457-Base_Données!FO457</f>
        <v>0</v>
      </c>
      <c r="R455" s="329">
        <f>SIG!Q455+Base_Données!BD457+Base_Données!BH457+Base_Données!BL457+Base_Données!BM457+Base_Données!BN457-Base_Données!GB457-Base_Données!GJ457-Base_Données!GF457</f>
        <v>0</v>
      </c>
    </row>
    <row r="456" spans="1:18" customFormat="1" x14ac:dyDescent="0.25">
      <c r="A456" s="328">
        <f>Base_Données!A458</f>
        <v>0</v>
      </c>
      <c r="B456" s="181">
        <f>Base_Données!B458</f>
        <v>0</v>
      </c>
      <c r="C456" s="158">
        <f>Base_Données!C458</f>
        <v>0</v>
      </c>
      <c r="D456" s="156">
        <f>Base_Données!Q458</f>
        <v>0</v>
      </c>
      <c r="E456" s="156">
        <f>Base_Données!BR458</f>
        <v>0</v>
      </c>
      <c r="F456" s="155">
        <f>Base_Données!R458</f>
        <v>0</v>
      </c>
      <c r="G456" s="154">
        <f>Base_Données!BS458</f>
        <v>0</v>
      </c>
      <c r="H456" s="155">
        <f>SIG!F456-SIG!G456</f>
        <v>0</v>
      </c>
      <c r="I456" s="159">
        <f>Base_Données!BI458+Base_Données!BJ458-Base_Données!GC458-Base_Données!GD458</f>
        <v>0</v>
      </c>
      <c r="J456" s="154">
        <f t="shared" si="14"/>
        <v>0</v>
      </c>
      <c r="K456" s="154">
        <f>Base_Données!BK458-Base_Données!GE458</f>
        <v>0</v>
      </c>
      <c r="L456" s="159">
        <f t="shared" si="15"/>
        <v>0</v>
      </c>
      <c r="M456" s="158">
        <f>Base_Données!S458</f>
        <v>0</v>
      </c>
      <c r="N456" s="154">
        <f>Base_Données!T458-(Base_Données!BU458+Base_Données!BZ458+Base_Données!CC458)</f>
        <v>0</v>
      </c>
      <c r="O456" s="154">
        <f>Base_Données!AC458+Base_Données!AL458-(Base_Données!CI458)</f>
        <v>0</v>
      </c>
      <c r="P456" s="154">
        <f>L456+Base_Données!GJ458+Base_Données!GE458+Base_Données!GB458+Base_Données!FV458+Base_Données!FS458+Base_Données!FO458+Base_Données!FE458+Base_Données!DS458-(Base_Données!BK458+Base_Données!BH458+Base_Données!AU458)</f>
        <v>0</v>
      </c>
      <c r="Q456" s="189">
        <f>P456+Base_Données!AV458-Base_Données!FE458-Base_Données!FO458</f>
        <v>0</v>
      </c>
      <c r="R456" s="329">
        <f>SIG!Q456+Base_Données!BD458+Base_Données!BH458+Base_Données!BL458+Base_Données!BM458+Base_Données!BN458-Base_Données!GB458-Base_Données!GJ458-Base_Données!GF458</f>
        <v>0</v>
      </c>
    </row>
    <row r="457" spans="1:18" customFormat="1" x14ac:dyDescent="0.25">
      <c r="A457" s="328">
        <f>Base_Données!A459</f>
        <v>0</v>
      </c>
      <c r="B457" s="181">
        <f>Base_Données!B459</f>
        <v>0</v>
      </c>
      <c r="C457" s="158">
        <f>Base_Données!C459</f>
        <v>0</v>
      </c>
      <c r="D457" s="156">
        <f>Base_Données!Q459</f>
        <v>0</v>
      </c>
      <c r="E457" s="156">
        <f>Base_Données!BR459</f>
        <v>0</v>
      </c>
      <c r="F457" s="155">
        <f>Base_Données!R459</f>
        <v>0</v>
      </c>
      <c r="G457" s="154">
        <f>Base_Données!BS459</f>
        <v>0</v>
      </c>
      <c r="H457" s="155">
        <f>SIG!F457-SIG!G457</f>
        <v>0</v>
      </c>
      <c r="I457" s="159">
        <f>Base_Données!BI459+Base_Données!BJ459-Base_Données!GC459-Base_Données!GD459</f>
        <v>0</v>
      </c>
      <c r="J457" s="154">
        <f t="shared" si="14"/>
        <v>0</v>
      </c>
      <c r="K457" s="154">
        <f>Base_Données!BK459-Base_Données!GE459</f>
        <v>0</v>
      </c>
      <c r="L457" s="159">
        <f t="shared" si="15"/>
        <v>0</v>
      </c>
      <c r="M457" s="158">
        <f>Base_Données!S459</f>
        <v>0</v>
      </c>
      <c r="N457" s="154">
        <f>Base_Données!T459-(Base_Données!BU459+Base_Données!BZ459+Base_Données!CC459)</f>
        <v>0</v>
      </c>
      <c r="O457" s="154">
        <f>Base_Données!AC459+Base_Données!AL459-(Base_Données!CI459)</f>
        <v>0</v>
      </c>
      <c r="P457" s="154">
        <f>L457+Base_Données!GJ459+Base_Données!GE459+Base_Données!GB459+Base_Données!FV459+Base_Données!FS459+Base_Données!FO459+Base_Données!FE459+Base_Données!DS459-(Base_Données!BK459+Base_Données!BH459+Base_Données!AU459)</f>
        <v>0</v>
      </c>
      <c r="Q457" s="189">
        <f>P457+Base_Données!AV459-Base_Données!FE459-Base_Données!FO459</f>
        <v>0</v>
      </c>
      <c r="R457" s="329">
        <f>SIG!Q457+Base_Données!BD459+Base_Données!BH459+Base_Données!BL459+Base_Données!BM459+Base_Données!BN459-Base_Données!GB459-Base_Données!GJ459-Base_Données!GF459</f>
        <v>0</v>
      </c>
    </row>
    <row r="458" spans="1:18" customFormat="1" x14ac:dyDescent="0.25">
      <c r="A458" s="328">
        <f>Base_Données!A460</f>
        <v>0</v>
      </c>
      <c r="B458" s="181">
        <f>Base_Données!B460</f>
        <v>0</v>
      </c>
      <c r="C458" s="158">
        <f>Base_Données!C460</f>
        <v>0</v>
      </c>
      <c r="D458" s="156">
        <f>Base_Données!Q460</f>
        <v>0</v>
      </c>
      <c r="E458" s="156">
        <f>Base_Données!BR460</f>
        <v>0</v>
      </c>
      <c r="F458" s="155">
        <f>Base_Données!R460</f>
        <v>0</v>
      </c>
      <c r="G458" s="154">
        <f>Base_Données!BS460</f>
        <v>0</v>
      </c>
      <c r="H458" s="155">
        <f>SIG!F458-SIG!G458</f>
        <v>0</v>
      </c>
      <c r="I458" s="159">
        <f>Base_Données!BI460+Base_Données!BJ460-Base_Données!GC460-Base_Données!GD460</f>
        <v>0</v>
      </c>
      <c r="J458" s="154">
        <f t="shared" si="14"/>
        <v>0</v>
      </c>
      <c r="K458" s="154">
        <f>Base_Données!BK460-Base_Données!GE460</f>
        <v>0</v>
      </c>
      <c r="L458" s="159">
        <f t="shared" si="15"/>
        <v>0</v>
      </c>
      <c r="M458" s="158">
        <f>Base_Données!S460</f>
        <v>0</v>
      </c>
      <c r="N458" s="154">
        <f>Base_Données!T460-(Base_Données!BU460+Base_Données!BZ460+Base_Données!CC460)</f>
        <v>0</v>
      </c>
      <c r="O458" s="154">
        <f>Base_Données!AC460+Base_Données!AL460-(Base_Données!CI460)</f>
        <v>0</v>
      </c>
      <c r="P458" s="154">
        <f>L458+Base_Données!GJ460+Base_Données!GE460+Base_Données!GB460+Base_Données!FV460+Base_Données!FS460+Base_Données!FO460+Base_Données!FE460+Base_Données!DS460-(Base_Données!BK460+Base_Données!BH460+Base_Données!AU460)</f>
        <v>0</v>
      </c>
      <c r="Q458" s="189">
        <f>P458+Base_Données!AV460-Base_Données!FE460-Base_Données!FO460</f>
        <v>0</v>
      </c>
      <c r="R458" s="329">
        <f>SIG!Q458+Base_Données!BD460+Base_Données!BH460+Base_Données!BL460+Base_Données!BM460+Base_Données!BN460-Base_Données!GB460-Base_Données!GJ460-Base_Données!GF460</f>
        <v>0</v>
      </c>
    </row>
    <row r="459" spans="1:18" customFormat="1" x14ac:dyDescent="0.25">
      <c r="A459" s="328">
        <f>Base_Données!A461</f>
        <v>0</v>
      </c>
      <c r="B459" s="181">
        <f>Base_Données!B461</f>
        <v>0</v>
      </c>
      <c r="C459" s="158">
        <f>Base_Données!C461</f>
        <v>0</v>
      </c>
      <c r="D459" s="156">
        <f>Base_Données!Q461</f>
        <v>0</v>
      </c>
      <c r="E459" s="156">
        <f>Base_Données!BR461</f>
        <v>0</v>
      </c>
      <c r="F459" s="155">
        <f>Base_Données!R461</f>
        <v>0</v>
      </c>
      <c r="G459" s="154">
        <f>Base_Données!BS461</f>
        <v>0</v>
      </c>
      <c r="H459" s="155">
        <f>SIG!F459-SIG!G459</f>
        <v>0</v>
      </c>
      <c r="I459" s="159">
        <f>Base_Données!BI461+Base_Données!BJ461-Base_Données!GC461-Base_Données!GD461</f>
        <v>0</v>
      </c>
      <c r="J459" s="154">
        <f t="shared" si="14"/>
        <v>0</v>
      </c>
      <c r="K459" s="154">
        <f>Base_Données!BK461-Base_Données!GE461</f>
        <v>0</v>
      </c>
      <c r="L459" s="159">
        <f t="shared" si="15"/>
        <v>0</v>
      </c>
      <c r="M459" s="158">
        <f>Base_Données!S461</f>
        <v>0</v>
      </c>
      <c r="N459" s="154">
        <f>Base_Données!T461-(Base_Données!BU461+Base_Données!BZ461+Base_Données!CC461)</f>
        <v>0</v>
      </c>
      <c r="O459" s="154">
        <f>Base_Données!AC461+Base_Données!AL461-(Base_Données!CI461)</f>
        <v>0</v>
      </c>
      <c r="P459" s="154">
        <f>L459+Base_Données!GJ461+Base_Données!GE461+Base_Données!GB461+Base_Données!FV461+Base_Données!FS461+Base_Données!FO461+Base_Données!FE461+Base_Données!DS461-(Base_Données!BK461+Base_Données!BH461+Base_Données!AU461)</f>
        <v>0</v>
      </c>
      <c r="Q459" s="189">
        <f>P459+Base_Données!AV461-Base_Données!FE461-Base_Données!FO461</f>
        <v>0</v>
      </c>
      <c r="R459" s="329">
        <f>SIG!Q459+Base_Données!BD461+Base_Données!BH461+Base_Données!BL461+Base_Données!BM461+Base_Données!BN461-Base_Données!GB461-Base_Données!GJ461-Base_Données!GF461</f>
        <v>0</v>
      </c>
    </row>
    <row r="460" spans="1:18" customFormat="1" x14ac:dyDescent="0.25">
      <c r="A460" s="328">
        <f>Base_Données!A462</f>
        <v>0</v>
      </c>
      <c r="B460" s="181">
        <f>Base_Données!B462</f>
        <v>0</v>
      </c>
      <c r="C460" s="158">
        <f>Base_Données!C462</f>
        <v>0</v>
      </c>
      <c r="D460" s="156">
        <f>Base_Données!Q462</f>
        <v>0</v>
      </c>
      <c r="E460" s="156">
        <f>Base_Données!BR462</f>
        <v>0</v>
      </c>
      <c r="F460" s="155">
        <f>Base_Données!R462</f>
        <v>0</v>
      </c>
      <c r="G460" s="154">
        <f>Base_Données!BS462</f>
        <v>0</v>
      </c>
      <c r="H460" s="155">
        <f>SIG!F460-SIG!G460</f>
        <v>0</v>
      </c>
      <c r="I460" s="159">
        <f>Base_Données!BI462+Base_Données!BJ462-Base_Données!GC462-Base_Données!GD462</f>
        <v>0</v>
      </c>
      <c r="J460" s="154">
        <f t="shared" si="14"/>
        <v>0</v>
      </c>
      <c r="K460" s="154">
        <f>Base_Données!BK462-Base_Données!GE462</f>
        <v>0</v>
      </c>
      <c r="L460" s="159">
        <f t="shared" si="15"/>
        <v>0</v>
      </c>
      <c r="M460" s="158">
        <f>Base_Données!S462</f>
        <v>0</v>
      </c>
      <c r="N460" s="154">
        <f>Base_Données!T462-(Base_Données!BU462+Base_Données!BZ462+Base_Données!CC462)</f>
        <v>0</v>
      </c>
      <c r="O460" s="154">
        <f>Base_Données!AC462+Base_Données!AL462-(Base_Données!CI462)</f>
        <v>0</v>
      </c>
      <c r="P460" s="154">
        <f>L460+Base_Données!GJ462+Base_Données!GE462+Base_Données!GB462+Base_Données!FV462+Base_Données!FS462+Base_Données!FO462+Base_Données!FE462+Base_Données!DS462-(Base_Données!BK462+Base_Données!BH462+Base_Données!AU462)</f>
        <v>0</v>
      </c>
      <c r="Q460" s="189">
        <f>P460+Base_Données!AV462-Base_Données!FE462-Base_Données!FO462</f>
        <v>0</v>
      </c>
      <c r="R460" s="329">
        <f>SIG!Q460+Base_Données!BD462+Base_Données!BH462+Base_Données!BL462+Base_Données!BM462+Base_Données!BN462-Base_Données!GB462-Base_Données!GJ462-Base_Données!GF462</f>
        <v>0</v>
      </c>
    </row>
    <row r="461" spans="1:18" customFormat="1" x14ac:dyDescent="0.25">
      <c r="A461" s="328">
        <f>Base_Données!A463</f>
        <v>0</v>
      </c>
      <c r="B461" s="181">
        <f>Base_Données!B463</f>
        <v>0</v>
      </c>
      <c r="C461" s="158">
        <f>Base_Données!C463</f>
        <v>0</v>
      </c>
      <c r="D461" s="156">
        <f>Base_Données!Q463</f>
        <v>0</v>
      </c>
      <c r="E461" s="156">
        <f>Base_Données!BR463</f>
        <v>0</v>
      </c>
      <c r="F461" s="155">
        <f>Base_Données!R463</f>
        <v>0</v>
      </c>
      <c r="G461" s="154">
        <f>Base_Données!BS463</f>
        <v>0</v>
      </c>
      <c r="H461" s="155">
        <f>SIG!F461-SIG!G461</f>
        <v>0</v>
      </c>
      <c r="I461" s="159">
        <f>Base_Données!BI463+Base_Données!BJ463-Base_Données!GC463-Base_Données!GD463</f>
        <v>0</v>
      </c>
      <c r="J461" s="154">
        <f t="shared" si="14"/>
        <v>0</v>
      </c>
      <c r="K461" s="154">
        <f>Base_Données!BK463-Base_Données!GE463</f>
        <v>0</v>
      </c>
      <c r="L461" s="159">
        <f t="shared" si="15"/>
        <v>0</v>
      </c>
      <c r="M461" s="158">
        <f>Base_Données!S463</f>
        <v>0</v>
      </c>
      <c r="N461" s="154">
        <f>Base_Données!T463-(Base_Données!BU463+Base_Données!BZ463+Base_Données!CC463)</f>
        <v>0</v>
      </c>
      <c r="O461" s="154">
        <f>Base_Données!AC463+Base_Données!AL463-(Base_Données!CI463)</f>
        <v>0</v>
      </c>
      <c r="P461" s="154">
        <f>L461+Base_Données!GJ463+Base_Données!GE463+Base_Données!GB463+Base_Données!FV463+Base_Données!FS463+Base_Données!FO463+Base_Données!FE463+Base_Données!DS463-(Base_Données!BK463+Base_Données!BH463+Base_Données!AU463)</f>
        <v>0</v>
      </c>
      <c r="Q461" s="189">
        <f>P461+Base_Données!AV463-Base_Données!FE463-Base_Données!FO463</f>
        <v>0</v>
      </c>
      <c r="R461" s="329">
        <f>SIG!Q461+Base_Données!BD463+Base_Données!BH463+Base_Données!BL463+Base_Données!BM463+Base_Données!BN463-Base_Données!GB463-Base_Données!GJ463-Base_Données!GF463</f>
        <v>0</v>
      </c>
    </row>
    <row r="462" spans="1:18" customFormat="1" x14ac:dyDescent="0.25">
      <c r="A462" s="328">
        <f>Base_Données!A464</f>
        <v>0</v>
      </c>
      <c r="B462" s="181">
        <f>Base_Données!B464</f>
        <v>0</v>
      </c>
      <c r="C462" s="158">
        <f>Base_Données!C464</f>
        <v>0</v>
      </c>
      <c r="D462" s="156">
        <f>Base_Données!Q464</f>
        <v>0</v>
      </c>
      <c r="E462" s="156">
        <f>Base_Données!BR464</f>
        <v>0</v>
      </c>
      <c r="F462" s="155">
        <f>Base_Données!R464</f>
        <v>0</v>
      </c>
      <c r="G462" s="154">
        <f>Base_Données!BS464</f>
        <v>0</v>
      </c>
      <c r="H462" s="155">
        <f>SIG!F462-SIG!G462</f>
        <v>0</v>
      </c>
      <c r="I462" s="159">
        <f>Base_Données!BI464+Base_Données!BJ464-Base_Données!GC464-Base_Données!GD464</f>
        <v>0</v>
      </c>
      <c r="J462" s="154">
        <f t="shared" si="14"/>
        <v>0</v>
      </c>
      <c r="K462" s="154">
        <f>Base_Données!BK464-Base_Données!GE464</f>
        <v>0</v>
      </c>
      <c r="L462" s="159">
        <f t="shared" si="15"/>
        <v>0</v>
      </c>
      <c r="M462" s="158">
        <f>Base_Données!S464</f>
        <v>0</v>
      </c>
      <c r="N462" s="154">
        <f>Base_Données!T464-(Base_Données!BU464+Base_Données!BZ464+Base_Données!CC464)</f>
        <v>0</v>
      </c>
      <c r="O462" s="154">
        <f>Base_Données!AC464+Base_Données!AL464-(Base_Données!CI464)</f>
        <v>0</v>
      </c>
      <c r="P462" s="154">
        <f>L462+Base_Données!GJ464+Base_Données!GE464+Base_Données!GB464+Base_Données!FV464+Base_Données!FS464+Base_Données!FO464+Base_Données!FE464+Base_Données!DS464-(Base_Données!BK464+Base_Données!BH464+Base_Données!AU464)</f>
        <v>0</v>
      </c>
      <c r="Q462" s="189">
        <f>P462+Base_Données!AV464-Base_Données!FE464-Base_Données!FO464</f>
        <v>0</v>
      </c>
      <c r="R462" s="329">
        <f>SIG!Q462+Base_Données!BD464+Base_Données!BH464+Base_Données!BL464+Base_Données!BM464+Base_Données!BN464-Base_Données!GB464-Base_Données!GJ464-Base_Données!GF464</f>
        <v>0</v>
      </c>
    </row>
    <row r="463" spans="1:18" customFormat="1" x14ac:dyDescent="0.25">
      <c r="A463" s="328">
        <f>Base_Données!A465</f>
        <v>0</v>
      </c>
      <c r="B463" s="181">
        <f>Base_Données!B465</f>
        <v>0</v>
      </c>
      <c r="C463" s="158">
        <f>Base_Données!C465</f>
        <v>0</v>
      </c>
      <c r="D463" s="156">
        <f>Base_Données!Q465</f>
        <v>0</v>
      </c>
      <c r="E463" s="156">
        <f>Base_Données!BR465</f>
        <v>0</v>
      </c>
      <c r="F463" s="155">
        <f>Base_Données!R465</f>
        <v>0</v>
      </c>
      <c r="G463" s="154">
        <f>Base_Données!BS465</f>
        <v>0</v>
      </c>
      <c r="H463" s="155">
        <f>SIG!F463-SIG!G463</f>
        <v>0</v>
      </c>
      <c r="I463" s="159">
        <f>Base_Données!BI465+Base_Données!BJ465-Base_Données!GC465-Base_Données!GD465</f>
        <v>0</v>
      </c>
      <c r="J463" s="154">
        <f t="shared" si="14"/>
        <v>0</v>
      </c>
      <c r="K463" s="154">
        <f>Base_Données!BK465-Base_Données!GE465</f>
        <v>0</v>
      </c>
      <c r="L463" s="159">
        <f t="shared" si="15"/>
        <v>0</v>
      </c>
      <c r="M463" s="158">
        <f>Base_Données!S465</f>
        <v>0</v>
      </c>
      <c r="N463" s="154">
        <f>Base_Données!T465-(Base_Données!BU465+Base_Données!BZ465+Base_Données!CC465)</f>
        <v>0</v>
      </c>
      <c r="O463" s="154">
        <f>Base_Données!AC465+Base_Données!AL465-(Base_Données!CI465)</f>
        <v>0</v>
      </c>
      <c r="P463" s="154">
        <f>L463+Base_Données!GJ465+Base_Données!GE465+Base_Données!GB465+Base_Données!FV465+Base_Données!FS465+Base_Données!FO465+Base_Données!FE465+Base_Données!DS465-(Base_Données!BK465+Base_Données!BH465+Base_Données!AU465)</f>
        <v>0</v>
      </c>
      <c r="Q463" s="189">
        <f>P463+Base_Données!AV465-Base_Données!FE465-Base_Données!FO465</f>
        <v>0</v>
      </c>
      <c r="R463" s="329">
        <f>SIG!Q463+Base_Données!BD465+Base_Données!BH465+Base_Données!BL465+Base_Données!BM465+Base_Données!BN465-Base_Données!GB465-Base_Données!GJ465-Base_Données!GF465</f>
        <v>0</v>
      </c>
    </row>
    <row r="464" spans="1:18" customFormat="1" x14ac:dyDescent="0.25">
      <c r="A464" s="328">
        <f>Base_Données!A466</f>
        <v>0</v>
      </c>
      <c r="B464" s="181">
        <f>Base_Données!B466</f>
        <v>0</v>
      </c>
      <c r="C464" s="158">
        <f>Base_Données!C466</f>
        <v>0</v>
      </c>
      <c r="D464" s="156">
        <f>Base_Données!Q466</f>
        <v>0</v>
      </c>
      <c r="E464" s="156">
        <f>Base_Données!BR466</f>
        <v>0</v>
      </c>
      <c r="F464" s="155">
        <f>Base_Données!R466</f>
        <v>0</v>
      </c>
      <c r="G464" s="154">
        <f>Base_Données!BS466</f>
        <v>0</v>
      </c>
      <c r="H464" s="155">
        <f>SIG!F464-SIG!G464</f>
        <v>0</v>
      </c>
      <c r="I464" s="159">
        <f>Base_Données!BI466+Base_Données!BJ466-Base_Données!GC466-Base_Données!GD466</f>
        <v>0</v>
      </c>
      <c r="J464" s="154">
        <f t="shared" si="14"/>
        <v>0</v>
      </c>
      <c r="K464" s="154">
        <f>Base_Données!BK466-Base_Données!GE466</f>
        <v>0</v>
      </c>
      <c r="L464" s="159">
        <f t="shared" si="15"/>
        <v>0</v>
      </c>
      <c r="M464" s="158">
        <f>Base_Données!S466</f>
        <v>0</v>
      </c>
      <c r="N464" s="154">
        <f>Base_Données!T466-(Base_Données!BU466+Base_Données!BZ466+Base_Données!CC466)</f>
        <v>0</v>
      </c>
      <c r="O464" s="154">
        <f>Base_Données!AC466+Base_Données!AL466-(Base_Données!CI466)</f>
        <v>0</v>
      </c>
      <c r="P464" s="154">
        <f>L464+Base_Données!GJ466+Base_Données!GE466+Base_Données!GB466+Base_Données!FV466+Base_Données!FS466+Base_Données!FO466+Base_Données!FE466+Base_Données!DS466-(Base_Données!BK466+Base_Données!BH466+Base_Données!AU466)</f>
        <v>0</v>
      </c>
      <c r="Q464" s="189">
        <f>P464+Base_Données!AV466-Base_Données!FE466-Base_Données!FO466</f>
        <v>0</v>
      </c>
      <c r="R464" s="329">
        <f>SIG!Q464+Base_Données!BD466+Base_Données!BH466+Base_Données!BL466+Base_Données!BM466+Base_Données!BN466-Base_Données!GB466-Base_Données!GJ466-Base_Données!GF466</f>
        <v>0</v>
      </c>
    </row>
    <row r="465" spans="1:18" customFormat="1" x14ac:dyDescent="0.25">
      <c r="A465" s="328">
        <f>Base_Données!A467</f>
        <v>0</v>
      </c>
      <c r="B465" s="181">
        <f>Base_Données!B467</f>
        <v>0</v>
      </c>
      <c r="C465" s="158">
        <f>Base_Données!C467</f>
        <v>0</v>
      </c>
      <c r="D465" s="156">
        <f>Base_Données!Q467</f>
        <v>0</v>
      </c>
      <c r="E465" s="156">
        <f>Base_Données!BR467</f>
        <v>0</v>
      </c>
      <c r="F465" s="155">
        <f>Base_Données!R467</f>
        <v>0</v>
      </c>
      <c r="G465" s="154">
        <f>Base_Données!BS467</f>
        <v>0</v>
      </c>
      <c r="H465" s="155">
        <f>SIG!F465-SIG!G465</f>
        <v>0</v>
      </c>
      <c r="I465" s="159">
        <f>Base_Données!BI467+Base_Données!BJ467-Base_Données!GC467-Base_Données!GD467</f>
        <v>0</v>
      </c>
      <c r="J465" s="154">
        <f t="shared" si="14"/>
        <v>0</v>
      </c>
      <c r="K465" s="154">
        <f>Base_Données!BK467-Base_Données!GE467</f>
        <v>0</v>
      </c>
      <c r="L465" s="159">
        <f t="shared" si="15"/>
        <v>0</v>
      </c>
      <c r="M465" s="158">
        <f>Base_Données!S467</f>
        <v>0</v>
      </c>
      <c r="N465" s="154">
        <f>Base_Données!T467-(Base_Données!BU467+Base_Données!BZ467+Base_Données!CC467)</f>
        <v>0</v>
      </c>
      <c r="O465" s="154">
        <f>Base_Données!AC467+Base_Données!AL467-(Base_Données!CI467)</f>
        <v>0</v>
      </c>
      <c r="P465" s="154">
        <f>L465+Base_Données!GJ467+Base_Données!GE467+Base_Données!GB467+Base_Données!FV467+Base_Données!FS467+Base_Données!FO467+Base_Données!FE467+Base_Données!DS467-(Base_Données!BK467+Base_Données!BH467+Base_Données!AU467)</f>
        <v>0</v>
      </c>
      <c r="Q465" s="189">
        <f>P465+Base_Données!AV467-Base_Données!FE467-Base_Données!FO467</f>
        <v>0</v>
      </c>
      <c r="R465" s="329">
        <f>SIG!Q465+Base_Données!BD467+Base_Données!BH467+Base_Données!BL467+Base_Données!BM467+Base_Données!BN467-Base_Données!GB467-Base_Données!GJ467-Base_Données!GF467</f>
        <v>0</v>
      </c>
    </row>
    <row r="466" spans="1:18" customFormat="1" x14ac:dyDescent="0.25">
      <c r="A466" s="328">
        <f>Base_Données!A468</f>
        <v>0</v>
      </c>
      <c r="B466" s="181">
        <f>Base_Données!B468</f>
        <v>0</v>
      </c>
      <c r="C466" s="158">
        <f>Base_Données!C468</f>
        <v>0</v>
      </c>
      <c r="D466" s="156">
        <f>Base_Données!Q468</f>
        <v>0</v>
      </c>
      <c r="E466" s="156">
        <f>Base_Données!BR468</f>
        <v>0</v>
      </c>
      <c r="F466" s="155">
        <f>Base_Données!R468</f>
        <v>0</v>
      </c>
      <c r="G466" s="154">
        <f>Base_Données!BS468</f>
        <v>0</v>
      </c>
      <c r="H466" s="155">
        <f>SIG!F466-SIG!G466</f>
        <v>0</v>
      </c>
      <c r="I466" s="159">
        <f>Base_Données!BI468+Base_Données!BJ468-Base_Données!GC468-Base_Données!GD468</f>
        <v>0</v>
      </c>
      <c r="J466" s="154">
        <f t="shared" si="14"/>
        <v>0</v>
      </c>
      <c r="K466" s="154">
        <f>Base_Données!BK468-Base_Données!GE468</f>
        <v>0</v>
      </c>
      <c r="L466" s="159">
        <f t="shared" si="15"/>
        <v>0</v>
      </c>
      <c r="M466" s="158">
        <f>Base_Données!S468</f>
        <v>0</v>
      </c>
      <c r="N466" s="154">
        <f>Base_Données!T468-(Base_Données!BU468+Base_Données!BZ468+Base_Données!CC468)</f>
        <v>0</v>
      </c>
      <c r="O466" s="154">
        <f>Base_Données!AC468+Base_Données!AL468-(Base_Données!CI468)</f>
        <v>0</v>
      </c>
      <c r="P466" s="154">
        <f>L466+Base_Données!GJ468+Base_Données!GE468+Base_Données!GB468+Base_Données!FV468+Base_Données!FS468+Base_Données!FO468+Base_Données!FE468+Base_Données!DS468-(Base_Données!BK468+Base_Données!BH468+Base_Données!AU468)</f>
        <v>0</v>
      </c>
      <c r="Q466" s="189">
        <f>P466+Base_Données!AV468-Base_Données!FE468-Base_Données!FO468</f>
        <v>0</v>
      </c>
      <c r="R466" s="329">
        <f>SIG!Q466+Base_Données!BD468+Base_Données!BH468+Base_Données!BL468+Base_Données!BM468+Base_Données!BN468-Base_Données!GB468-Base_Données!GJ468-Base_Données!GF468</f>
        <v>0</v>
      </c>
    </row>
    <row r="467" spans="1:18" customFormat="1" x14ac:dyDescent="0.25">
      <c r="A467" s="328">
        <f>Base_Données!A469</f>
        <v>0</v>
      </c>
      <c r="B467" s="181">
        <f>Base_Données!B469</f>
        <v>0</v>
      </c>
      <c r="C467" s="158">
        <f>Base_Données!C469</f>
        <v>0</v>
      </c>
      <c r="D467" s="156">
        <f>Base_Données!Q469</f>
        <v>0</v>
      </c>
      <c r="E467" s="156">
        <f>Base_Données!BR469</f>
        <v>0</v>
      </c>
      <c r="F467" s="155">
        <f>Base_Données!R469</f>
        <v>0</v>
      </c>
      <c r="G467" s="154">
        <f>Base_Données!BS469</f>
        <v>0</v>
      </c>
      <c r="H467" s="155">
        <f>SIG!F467-SIG!G467</f>
        <v>0</v>
      </c>
      <c r="I467" s="159">
        <f>Base_Données!BI469+Base_Données!BJ469-Base_Données!GC469-Base_Données!GD469</f>
        <v>0</v>
      </c>
      <c r="J467" s="154">
        <f t="shared" si="14"/>
        <v>0</v>
      </c>
      <c r="K467" s="154">
        <f>Base_Données!BK469-Base_Données!GE469</f>
        <v>0</v>
      </c>
      <c r="L467" s="159">
        <f t="shared" si="15"/>
        <v>0</v>
      </c>
      <c r="M467" s="158">
        <f>Base_Données!S469</f>
        <v>0</v>
      </c>
      <c r="N467" s="154">
        <f>Base_Données!T469-(Base_Données!BU469+Base_Données!BZ469+Base_Données!CC469)</f>
        <v>0</v>
      </c>
      <c r="O467" s="154">
        <f>Base_Données!AC469+Base_Données!AL469-(Base_Données!CI469)</f>
        <v>0</v>
      </c>
      <c r="P467" s="154">
        <f>L467+Base_Données!GJ469+Base_Données!GE469+Base_Données!GB469+Base_Données!FV469+Base_Données!FS469+Base_Données!FO469+Base_Données!FE469+Base_Données!DS469-(Base_Données!BK469+Base_Données!BH469+Base_Données!AU469)</f>
        <v>0</v>
      </c>
      <c r="Q467" s="189">
        <f>P467+Base_Données!AV469-Base_Données!FE469-Base_Données!FO469</f>
        <v>0</v>
      </c>
      <c r="R467" s="329">
        <f>SIG!Q467+Base_Données!BD469+Base_Données!BH469+Base_Données!BL469+Base_Données!BM469+Base_Données!BN469-Base_Données!GB469-Base_Données!GJ469-Base_Données!GF469</f>
        <v>0</v>
      </c>
    </row>
    <row r="468" spans="1:18" customFormat="1" x14ac:dyDescent="0.25">
      <c r="A468" s="328">
        <f>Base_Données!A470</f>
        <v>0</v>
      </c>
      <c r="B468" s="181">
        <f>Base_Données!B470</f>
        <v>0</v>
      </c>
      <c r="C468" s="158">
        <f>Base_Données!C470</f>
        <v>0</v>
      </c>
      <c r="D468" s="156">
        <f>Base_Données!Q470</f>
        <v>0</v>
      </c>
      <c r="E468" s="156">
        <f>Base_Données!BR470</f>
        <v>0</v>
      </c>
      <c r="F468" s="155">
        <f>Base_Données!R470</f>
        <v>0</v>
      </c>
      <c r="G468" s="154">
        <f>Base_Données!BS470</f>
        <v>0</v>
      </c>
      <c r="H468" s="155">
        <f>SIG!F468-SIG!G468</f>
        <v>0</v>
      </c>
      <c r="I468" s="159">
        <f>Base_Données!BI470+Base_Données!BJ470-Base_Données!GC470-Base_Données!GD470</f>
        <v>0</v>
      </c>
      <c r="J468" s="154">
        <f t="shared" si="14"/>
        <v>0</v>
      </c>
      <c r="K468" s="154">
        <f>Base_Données!BK470-Base_Données!GE470</f>
        <v>0</v>
      </c>
      <c r="L468" s="159">
        <f t="shared" si="15"/>
        <v>0</v>
      </c>
      <c r="M468" s="158">
        <f>Base_Données!S470</f>
        <v>0</v>
      </c>
      <c r="N468" s="154">
        <f>Base_Données!T470-(Base_Données!BU470+Base_Données!BZ470+Base_Données!CC470)</f>
        <v>0</v>
      </c>
      <c r="O468" s="154">
        <f>Base_Données!AC470+Base_Données!AL470-(Base_Données!CI470)</f>
        <v>0</v>
      </c>
      <c r="P468" s="154">
        <f>L468+Base_Données!GJ470+Base_Données!GE470+Base_Données!GB470+Base_Données!FV470+Base_Données!FS470+Base_Données!FO470+Base_Données!FE470+Base_Données!DS470-(Base_Données!BK470+Base_Données!BH470+Base_Données!AU470)</f>
        <v>0</v>
      </c>
      <c r="Q468" s="189">
        <f>P468+Base_Données!AV470-Base_Données!FE470-Base_Données!FO470</f>
        <v>0</v>
      </c>
      <c r="R468" s="329">
        <f>SIG!Q468+Base_Données!BD470+Base_Données!BH470+Base_Données!BL470+Base_Données!BM470+Base_Données!BN470-Base_Données!GB470-Base_Données!GJ470-Base_Données!GF470</f>
        <v>0</v>
      </c>
    </row>
    <row r="469" spans="1:18" customFormat="1" x14ac:dyDescent="0.25">
      <c r="A469" s="328">
        <f>Base_Données!A471</f>
        <v>0</v>
      </c>
      <c r="B469" s="181">
        <f>Base_Données!B471</f>
        <v>0</v>
      </c>
      <c r="C469" s="158">
        <f>Base_Données!C471</f>
        <v>0</v>
      </c>
      <c r="D469" s="156">
        <f>Base_Données!Q471</f>
        <v>0</v>
      </c>
      <c r="E469" s="156">
        <f>Base_Données!BR471</f>
        <v>0</v>
      </c>
      <c r="F469" s="155">
        <f>Base_Données!R471</f>
        <v>0</v>
      </c>
      <c r="G469" s="154">
        <f>Base_Données!BS471</f>
        <v>0</v>
      </c>
      <c r="H469" s="155">
        <f>SIG!F469-SIG!G469</f>
        <v>0</v>
      </c>
      <c r="I469" s="159">
        <f>Base_Données!BI471+Base_Données!BJ471-Base_Données!GC471-Base_Données!GD471</f>
        <v>0</v>
      </c>
      <c r="J469" s="154">
        <f t="shared" si="14"/>
        <v>0</v>
      </c>
      <c r="K469" s="154">
        <f>Base_Données!BK471-Base_Données!GE471</f>
        <v>0</v>
      </c>
      <c r="L469" s="159">
        <f t="shared" si="15"/>
        <v>0</v>
      </c>
      <c r="M469" s="158">
        <f>Base_Données!S471</f>
        <v>0</v>
      </c>
      <c r="N469" s="154">
        <f>Base_Données!T471-(Base_Données!BU471+Base_Données!BZ471+Base_Données!CC471)</f>
        <v>0</v>
      </c>
      <c r="O469" s="154">
        <f>Base_Données!AC471+Base_Données!AL471-(Base_Données!CI471)</f>
        <v>0</v>
      </c>
      <c r="P469" s="154">
        <f>L469+Base_Données!GJ471+Base_Données!GE471+Base_Données!GB471+Base_Données!FV471+Base_Données!FS471+Base_Données!FO471+Base_Données!FE471+Base_Données!DS471-(Base_Données!BK471+Base_Données!BH471+Base_Données!AU471)</f>
        <v>0</v>
      </c>
      <c r="Q469" s="189">
        <f>P469+Base_Données!AV471-Base_Données!FE471-Base_Données!FO471</f>
        <v>0</v>
      </c>
      <c r="R469" s="329">
        <f>SIG!Q469+Base_Données!BD471+Base_Données!BH471+Base_Données!BL471+Base_Données!BM471+Base_Données!BN471-Base_Données!GB471-Base_Données!GJ471-Base_Données!GF471</f>
        <v>0</v>
      </c>
    </row>
    <row r="470" spans="1:18" customFormat="1" x14ac:dyDescent="0.25">
      <c r="A470" s="328">
        <f>Base_Données!A472</f>
        <v>0</v>
      </c>
      <c r="B470" s="181">
        <f>Base_Données!B472</f>
        <v>0</v>
      </c>
      <c r="C470" s="158">
        <f>Base_Données!C472</f>
        <v>0</v>
      </c>
      <c r="D470" s="156">
        <f>Base_Données!Q472</f>
        <v>0</v>
      </c>
      <c r="E470" s="156">
        <f>Base_Données!BR472</f>
        <v>0</v>
      </c>
      <c r="F470" s="155">
        <f>Base_Données!R472</f>
        <v>0</v>
      </c>
      <c r="G470" s="154">
        <f>Base_Données!BS472</f>
        <v>0</v>
      </c>
      <c r="H470" s="155">
        <f>SIG!F470-SIG!G470</f>
        <v>0</v>
      </c>
      <c r="I470" s="159">
        <f>Base_Données!BI472+Base_Données!BJ472-Base_Données!GC472-Base_Données!GD472</f>
        <v>0</v>
      </c>
      <c r="J470" s="154">
        <f t="shared" si="14"/>
        <v>0</v>
      </c>
      <c r="K470" s="154">
        <f>Base_Données!BK472-Base_Données!GE472</f>
        <v>0</v>
      </c>
      <c r="L470" s="159">
        <f t="shared" si="15"/>
        <v>0</v>
      </c>
      <c r="M470" s="158">
        <f>Base_Données!S472</f>
        <v>0</v>
      </c>
      <c r="N470" s="154">
        <f>Base_Données!T472-(Base_Données!BU472+Base_Données!BZ472+Base_Données!CC472)</f>
        <v>0</v>
      </c>
      <c r="O470" s="154">
        <f>Base_Données!AC472+Base_Données!AL472-(Base_Données!CI472)</f>
        <v>0</v>
      </c>
      <c r="P470" s="154">
        <f>L470+Base_Données!GJ472+Base_Données!GE472+Base_Données!GB472+Base_Données!FV472+Base_Données!FS472+Base_Données!FO472+Base_Données!FE472+Base_Données!DS472-(Base_Données!BK472+Base_Données!BH472+Base_Données!AU472)</f>
        <v>0</v>
      </c>
      <c r="Q470" s="189">
        <f>P470+Base_Données!AV472-Base_Données!FE472-Base_Données!FO472</f>
        <v>0</v>
      </c>
      <c r="R470" s="329">
        <f>SIG!Q470+Base_Données!BD472+Base_Données!BH472+Base_Données!BL472+Base_Données!BM472+Base_Données!BN472-Base_Données!GB472-Base_Données!GJ472-Base_Données!GF472</f>
        <v>0</v>
      </c>
    </row>
    <row r="471" spans="1:18" customFormat="1" x14ac:dyDescent="0.25">
      <c r="A471" s="328">
        <f>Base_Données!A473</f>
        <v>0</v>
      </c>
      <c r="B471" s="181">
        <f>Base_Données!B473</f>
        <v>0</v>
      </c>
      <c r="C471" s="158">
        <f>Base_Données!C473</f>
        <v>0</v>
      </c>
      <c r="D471" s="156">
        <f>Base_Données!Q473</f>
        <v>0</v>
      </c>
      <c r="E471" s="156">
        <f>Base_Données!BR473</f>
        <v>0</v>
      </c>
      <c r="F471" s="155">
        <f>Base_Données!R473</f>
        <v>0</v>
      </c>
      <c r="G471" s="154">
        <f>Base_Données!BS473</f>
        <v>0</v>
      </c>
      <c r="H471" s="155">
        <f>SIG!F471-SIG!G471</f>
        <v>0</v>
      </c>
      <c r="I471" s="159">
        <f>Base_Données!BI473+Base_Données!BJ473-Base_Données!GC473-Base_Données!GD473</f>
        <v>0</v>
      </c>
      <c r="J471" s="154">
        <f t="shared" si="14"/>
        <v>0</v>
      </c>
      <c r="K471" s="154">
        <f>Base_Données!BK473-Base_Données!GE473</f>
        <v>0</v>
      </c>
      <c r="L471" s="159">
        <f t="shared" si="15"/>
        <v>0</v>
      </c>
      <c r="M471" s="158">
        <f>Base_Données!S473</f>
        <v>0</v>
      </c>
      <c r="N471" s="154">
        <f>Base_Données!T473-(Base_Données!BU473+Base_Données!BZ473+Base_Données!CC473)</f>
        <v>0</v>
      </c>
      <c r="O471" s="154">
        <f>Base_Données!AC473+Base_Données!AL473-(Base_Données!CI473)</f>
        <v>0</v>
      </c>
      <c r="P471" s="154">
        <f>L471+Base_Données!GJ473+Base_Données!GE473+Base_Données!GB473+Base_Données!FV473+Base_Données!FS473+Base_Données!FO473+Base_Données!FE473+Base_Données!DS473-(Base_Données!BK473+Base_Données!BH473+Base_Données!AU473)</f>
        <v>0</v>
      </c>
      <c r="Q471" s="189">
        <f>P471+Base_Données!AV473-Base_Données!FE473-Base_Données!FO473</f>
        <v>0</v>
      </c>
      <c r="R471" s="329">
        <f>SIG!Q471+Base_Données!BD473+Base_Données!BH473+Base_Données!BL473+Base_Données!BM473+Base_Données!BN473-Base_Données!GB473-Base_Données!GJ473-Base_Données!GF473</f>
        <v>0</v>
      </c>
    </row>
    <row r="472" spans="1:18" customFormat="1" x14ac:dyDescent="0.25">
      <c r="A472" s="328">
        <f>Base_Données!A474</f>
        <v>0</v>
      </c>
      <c r="B472" s="181">
        <f>Base_Données!B474</f>
        <v>0</v>
      </c>
      <c r="C472" s="158">
        <f>Base_Données!C474</f>
        <v>0</v>
      </c>
      <c r="D472" s="156">
        <f>Base_Données!Q474</f>
        <v>0</v>
      </c>
      <c r="E472" s="156">
        <f>Base_Données!BR474</f>
        <v>0</v>
      </c>
      <c r="F472" s="155">
        <f>Base_Données!R474</f>
        <v>0</v>
      </c>
      <c r="G472" s="154">
        <f>Base_Données!BS474</f>
        <v>0</v>
      </c>
      <c r="H472" s="155">
        <f>SIG!F472-SIG!G472</f>
        <v>0</v>
      </c>
      <c r="I472" s="159">
        <f>Base_Données!BI474+Base_Données!BJ474-Base_Données!GC474-Base_Données!GD474</f>
        <v>0</v>
      </c>
      <c r="J472" s="154">
        <f t="shared" si="14"/>
        <v>0</v>
      </c>
      <c r="K472" s="154">
        <f>Base_Données!BK474-Base_Données!GE474</f>
        <v>0</v>
      </c>
      <c r="L472" s="159">
        <f t="shared" si="15"/>
        <v>0</v>
      </c>
      <c r="M472" s="158">
        <f>Base_Données!S474</f>
        <v>0</v>
      </c>
      <c r="N472" s="154">
        <f>Base_Données!T474-(Base_Données!BU474+Base_Données!BZ474+Base_Données!CC474)</f>
        <v>0</v>
      </c>
      <c r="O472" s="154">
        <f>Base_Données!AC474+Base_Données!AL474-(Base_Données!CI474)</f>
        <v>0</v>
      </c>
      <c r="P472" s="154">
        <f>L472+Base_Données!GJ474+Base_Données!GE474+Base_Données!GB474+Base_Données!FV474+Base_Données!FS474+Base_Données!FO474+Base_Données!FE474+Base_Données!DS474-(Base_Données!BK474+Base_Données!BH474+Base_Données!AU474)</f>
        <v>0</v>
      </c>
      <c r="Q472" s="189">
        <f>P472+Base_Données!AV474-Base_Données!FE474-Base_Données!FO474</f>
        <v>0</v>
      </c>
      <c r="R472" s="329">
        <f>SIG!Q472+Base_Données!BD474+Base_Données!BH474+Base_Données!BL474+Base_Données!BM474+Base_Données!BN474-Base_Données!GB474-Base_Données!GJ474-Base_Données!GF474</f>
        <v>0</v>
      </c>
    </row>
    <row r="473" spans="1:18" customFormat="1" x14ac:dyDescent="0.25">
      <c r="A473" s="328">
        <f>Base_Données!A475</f>
        <v>0</v>
      </c>
      <c r="B473" s="181">
        <f>Base_Données!B475</f>
        <v>0</v>
      </c>
      <c r="C473" s="158">
        <f>Base_Données!C475</f>
        <v>0</v>
      </c>
      <c r="D473" s="156">
        <f>Base_Données!Q475</f>
        <v>0</v>
      </c>
      <c r="E473" s="156">
        <f>Base_Données!BR475</f>
        <v>0</v>
      </c>
      <c r="F473" s="155">
        <f>Base_Données!R475</f>
        <v>0</v>
      </c>
      <c r="G473" s="154">
        <f>Base_Données!BS475</f>
        <v>0</v>
      </c>
      <c r="H473" s="155">
        <f>SIG!F473-SIG!G473</f>
        <v>0</v>
      </c>
      <c r="I473" s="159">
        <f>Base_Données!BI475+Base_Données!BJ475-Base_Données!GC475-Base_Données!GD475</f>
        <v>0</v>
      </c>
      <c r="J473" s="154">
        <f t="shared" si="14"/>
        <v>0</v>
      </c>
      <c r="K473" s="154">
        <f>Base_Données!BK475-Base_Données!GE475</f>
        <v>0</v>
      </c>
      <c r="L473" s="159">
        <f t="shared" si="15"/>
        <v>0</v>
      </c>
      <c r="M473" s="158">
        <f>Base_Données!S475</f>
        <v>0</v>
      </c>
      <c r="N473" s="154">
        <f>Base_Données!T475-(Base_Données!BU475+Base_Données!BZ475+Base_Données!CC475)</f>
        <v>0</v>
      </c>
      <c r="O473" s="154">
        <f>Base_Données!AC475+Base_Données!AL475-(Base_Données!CI475)</f>
        <v>0</v>
      </c>
      <c r="P473" s="154">
        <f>L473+Base_Données!GJ475+Base_Données!GE475+Base_Données!GB475+Base_Données!FV475+Base_Données!FS475+Base_Données!FO475+Base_Données!FE475+Base_Données!DS475-(Base_Données!BK475+Base_Données!BH475+Base_Données!AU475)</f>
        <v>0</v>
      </c>
      <c r="Q473" s="189">
        <f>P473+Base_Données!AV475-Base_Données!FE475-Base_Données!FO475</f>
        <v>0</v>
      </c>
      <c r="R473" s="329">
        <f>SIG!Q473+Base_Données!BD475+Base_Données!BH475+Base_Données!BL475+Base_Données!BM475+Base_Données!BN475-Base_Données!GB475-Base_Données!GJ475-Base_Données!GF475</f>
        <v>0</v>
      </c>
    </row>
    <row r="474" spans="1:18" customFormat="1" x14ac:dyDescent="0.25">
      <c r="A474" s="328">
        <f>Base_Données!A476</f>
        <v>0</v>
      </c>
      <c r="B474" s="181">
        <f>Base_Données!B476</f>
        <v>0</v>
      </c>
      <c r="C474" s="158">
        <f>Base_Données!C476</f>
        <v>0</v>
      </c>
      <c r="D474" s="156">
        <f>Base_Données!Q476</f>
        <v>0</v>
      </c>
      <c r="E474" s="156">
        <f>Base_Données!BR476</f>
        <v>0</v>
      </c>
      <c r="F474" s="155">
        <f>Base_Données!R476</f>
        <v>0</v>
      </c>
      <c r="G474" s="154">
        <f>Base_Données!BS476</f>
        <v>0</v>
      </c>
      <c r="H474" s="155">
        <f>SIG!F474-SIG!G474</f>
        <v>0</v>
      </c>
      <c r="I474" s="159">
        <f>Base_Données!BI476+Base_Données!BJ476-Base_Données!GC476-Base_Données!GD476</f>
        <v>0</v>
      </c>
      <c r="J474" s="154">
        <f t="shared" si="14"/>
        <v>0</v>
      </c>
      <c r="K474" s="154">
        <f>Base_Données!BK476-Base_Données!GE476</f>
        <v>0</v>
      </c>
      <c r="L474" s="159">
        <f t="shared" si="15"/>
        <v>0</v>
      </c>
      <c r="M474" s="158">
        <f>Base_Données!S476</f>
        <v>0</v>
      </c>
      <c r="N474" s="154">
        <f>Base_Données!T476-(Base_Données!BU476+Base_Données!BZ476+Base_Données!CC476)</f>
        <v>0</v>
      </c>
      <c r="O474" s="154">
        <f>Base_Données!AC476+Base_Données!AL476-(Base_Données!CI476)</f>
        <v>0</v>
      </c>
      <c r="P474" s="154">
        <f>L474+Base_Données!GJ476+Base_Données!GE476+Base_Données!GB476+Base_Données!FV476+Base_Données!FS476+Base_Données!FO476+Base_Données!FE476+Base_Données!DS476-(Base_Données!BK476+Base_Données!BH476+Base_Données!AU476)</f>
        <v>0</v>
      </c>
      <c r="Q474" s="189">
        <f>P474+Base_Données!AV476-Base_Données!FE476-Base_Données!FO476</f>
        <v>0</v>
      </c>
      <c r="R474" s="329">
        <f>SIG!Q474+Base_Données!BD476+Base_Données!BH476+Base_Données!BL476+Base_Données!BM476+Base_Données!BN476-Base_Données!GB476-Base_Données!GJ476-Base_Données!GF476</f>
        <v>0</v>
      </c>
    </row>
    <row r="475" spans="1:18" customFormat="1" x14ac:dyDescent="0.25">
      <c r="A475" s="328">
        <f>Base_Données!A477</f>
        <v>0</v>
      </c>
      <c r="B475" s="181">
        <f>Base_Données!B477</f>
        <v>0</v>
      </c>
      <c r="C475" s="158">
        <f>Base_Données!C477</f>
        <v>0</v>
      </c>
      <c r="D475" s="156">
        <f>Base_Données!Q477</f>
        <v>0</v>
      </c>
      <c r="E475" s="156">
        <f>Base_Données!BR477</f>
        <v>0</v>
      </c>
      <c r="F475" s="155">
        <f>Base_Données!R477</f>
        <v>0</v>
      </c>
      <c r="G475" s="154">
        <f>Base_Données!BS477</f>
        <v>0</v>
      </c>
      <c r="H475" s="155">
        <f>SIG!F475-SIG!G475</f>
        <v>0</v>
      </c>
      <c r="I475" s="159">
        <f>Base_Données!BI477+Base_Données!BJ477-Base_Données!GC477-Base_Données!GD477</f>
        <v>0</v>
      </c>
      <c r="J475" s="154">
        <f t="shared" si="14"/>
        <v>0</v>
      </c>
      <c r="K475" s="154">
        <f>Base_Données!BK477-Base_Données!GE477</f>
        <v>0</v>
      </c>
      <c r="L475" s="159">
        <f t="shared" si="15"/>
        <v>0</v>
      </c>
      <c r="M475" s="158">
        <f>Base_Données!S477</f>
        <v>0</v>
      </c>
      <c r="N475" s="154">
        <f>Base_Données!T477-(Base_Données!BU477+Base_Données!BZ477+Base_Données!CC477)</f>
        <v>0</v>
      </c>
      <c r="O475" s="154">
        <f>Base_Données!AC477+Base_Données!AL477-(Base_Données!CI477)</f>
        <v>0</v>
      </c>
      <c r="P475" s="154">
        <f>L475+Base_Données!GJ477+Base_Données!GE477+Base_Données!GB477+Base_Données!FV477+Base_Données!FS477+Base_Données!FO477+Base_Données!FE477+Base_Données!DS477-(Base_Données!BK477+Base_Données!BH477+Base_Données!AU477)</f>
        <v>0</v>
      </c>
      <c r="Q475" s="189">
        <f>P475+Base_Données!AV477-Base_Données!FE477-Base_Données!FO477</f>
        <v>0</v>
      </c>
      <c r="R475" s="329">
        <f>SIG!Q475+Base_Données!BD477+Base_Données!BH477+Base_Données!BL477+Base_Données!BM477+Base_Données!BN477-Base_Données!GB477-Base_Données!GJ477-Base_Données!GF477</f>
        <v>0</v>
      </c>
    </row>
    <row r="476" spans="1:18" customFormat="1" x14ac:dyDescent="0.25">
      <c r="A476" s="328">
        <f>Base_Données!A478</f>
        <v>0</v>
      </c>
      <c r="B476" s="181">
        <f>Base_Données!B478</f>
        <v>0</v>
      </c>
      <c r="C476" s="158">
        <f>Base_Données!C478</f>
        <v>0</v>
      </c>
      <c r="D476" s="156">
        <f>Base_Données!Q478</f>
        <v>0</v>
      </c>
      <c r="E476" s="156">
        <f>Base_Données!BR478</f>
        <v>0</v>
      </c>
      <c r="F476" s="155">
        <f>Base_Données!R478</f>
        <v>0</v>
      </c>
      <c r="G476" s="154">
        <f>Base_Données!BS478</f>
        <v>0</v>
      </c>
      <c r="H476" s="155">
        <f>SIG!F476-SIG!G476</f>
        <v>0</v>
      </c>
      <c r="I476" s="159">
        <f>Base_Données!BI478+Base_Données!BJ478-Base_Données!GC478-Base_Données!GD478</f>
        <v>0</v>
      </c>
      <c r="J476" s="154">
        <f t="shared" si="14"/>
        <v>0</v>
      </c>
      <c r="K476" s="154">
        <f>Base_Données!BK478-Base_Données!GE478</f>
        <v>0</v>
      </c>
      <c r="L476" s="159">
        <f t="shared" si="15"/>
        <v>0</v>
      </c>
      <c r="M476" s="158">
        <f>Base_Données!S478</f>
        <v>0</v>
      </c>
      <c r="N476" s="154">
        <f>Base_Données!T478-(Base_Données!BU478+Base_Données!BZ478+Base_Données!CC478)</f>
        <v>0</v>
      </c>
      <c r="O476" s="154">
        <f>Base_Données!AC478+Base_Données!AL478-(Base_Données!CI478)</f>
        <v>0</v>
      </c>
      <c r="P476" s="154">
        <f>L476+Base_Données!GJ478+Base_Données!GE478+Base_Données!GB478+Base_Données!FV478+Base_Données!FS478+Base_Données!FO478+Base_Données!FE478+Base_Données!DS478-(Base_Données!BK478+Base_Données!BH478+Base_Données!AU478)</f>
        <v>0</v>
      </c>
      <c r="Q476" s="189">
        <f>P476+Base_Données!AV478-Base_Données!FE478-Base_Données!FO478</f>
        <v>0</v>
      </c>
      <c r="R476" s="329">
        <f>SIG!Q476+Base_Données!BD478+Base_Données!BH478+Base_Données!BL478+Base_Données!BM478+Base_Données!BN478-Base_Données!GB478-Base_Données!GJ478-Base_Données!GF478</f>
        <v>0</v>
      </c>
    </row>
    <row r="477" spans="1:18" customFormat="1" x14ac:dyDescent="0.25">
      <c r="A477" s="328">
        <f>Base_Données!A479</f>
        <v>0</v>
      </c>
      <c r="B477" s="181">
        <f>Base_Données!B479</f>
        <v>0</v>
      </c>
      <c r="C477" s="158">
        <f>Base_Données!C479</f>
        <v>0</v>
      </c>
      <c r="D477" s="156">
        <f>Base_Données!Q479</f>
        <v>0</v>
      </c>
      <c r="E477" s="156">
        <f>Base_Données!BR479</f>
        <v>0</v>
      </c>
      <c r="F477" s="155">
        <f>Base_Données!R479</f>
        <v>0</v>
      </c>
      <c r="G477" s="154">
        <f>Base_Données!BS479</f>
        <v>0</v>
      </c>
      <c r="H477" s="155">
        <f>SIG!F477-SIG!G477</f>
        <v>0</v>
      </c>
      <c r="I477" s="159">
        <f>Base_Données!BI479+Base_Données!BJ479-Base_Données!GC479-Base_Données!GD479</f>
        <v>0</v>
      </c>
      <c r="J477" s="154">
        <f t="shared" si="14"/>
        <v>0</v>
      </c>
      <c r="K477" s="154">
        <f>Base_Données!BK479-Base_Données!GE479</f>
        <v>0</v>
      </c>
      <c r="L477" s="159">
        <f t="shared" si="15"/>
        <v>0</v>
      </c>
      <c r="M477" s="158">
        <f>Base_Données!S479</f>
        <v>0</v>
      </c>
      <c r="N477" s="154">
        <f>Base_Données!T479-(Base_Données!BU479+Base_Données!BZ479+Base_Données!CC479)</f>
        <v>0</v>
      </c>
      <c r="O477" s="154">
        <f>Base_Données!AC479+Base_Données!AL479-(Base_Données!CI479)</f>
        <v>0</v>
      </c>
      <c r="P477" s="154">
        <f>L477+Base_Données!GJ479+Base_Données!GE479+Base_Données!GB479+Base_Données!FV479+Base_Données!FS479+Base_Données!FO479+Base_Données!FE479+Base_Données!DS479-(Base_Données!BK479+Base_Données!BH479+Base_Données!AU479)</f>
        <v>0</v>
      </c>
      <c r="Q477" s="189">
        <f>P477+Base_Données!AV479-Base_Données!FE479-Base_Données!FO479</f>
        <v>0</v>
      </c>
      <c r="R477" s="329">
        <f>SIG!Q477+Base_Données!BD479+Base_Données!BH479+Base_Données!BL479+Base_Données!BM479+Base_Données!BN479-Base_Données!GB479-Base_Données!GJ479-Base_Données!GF479</f>
        <v>0</v>
      </c>
    </row>
    <row r="478" spans="1:18" customFormat="1" x14ac:dyDescent="0.25">
      <c r="A478" s="328">
        <f>Base_Données!A480</f>
        <v>0</v>
      </c>
      <c r="B478" s="181">
        <f>Base_Données!B480</f>
        <v>0</v>
      </c>
      <c r="C478" s="158">
        <f>Base_Données!C480</f>
        <v>0</v>
      </c>
      <c r="D478" s="156">
        <f>Base_Données!Q480</f>
        <v>0</v>
      </c>
      <c r="E478" s="156">
        <f>Base_Données!BR480</f>
        <v>0</v>
      </c>
      <c r="F478" s="155">
        <f>Base_Données!R480</f>
        <v>0</v>
      </c>
      <c r="G478" s="154">
        <f>Base_Données!BS480</f>
        <v>0</v>
      </c>
      <c r="H478" s="155">
        <f>SIG!F478-SIG!G478</f>
        <v>0</v>
      </c>
      <c r="I478" s="159">
        <f>Base_Données!BI480+Base_Données!BJ480-Base_Données!GC480-Base_Données!GD480</f>
        <v>0</v>
      </c>
      <c r="J478" s="154">
        <f t="shared" si="14"/>
        <v>0</v>
      </c>
      <c r="K478" s="154">
        <f>Base_Données!BK480-Base_Données!GE480</f>
        <v>0</v>
      </c>
      <c r="L478" s="159">
        <f t="shared" si="15"/>
        <v>0</v>
      </c>
      <c r="M478" s="158">
        <f>Base_Données!S480</f>
        <v>0</v>
      </c>
      <c r="N478" s="154">
        <f>Base_Données!T480-(Base_Données!BU480+Base_Données!BZ480+Base_Données!CC480)</f>
        <v>0</v>
      </c>
      <c r="O478" s="154">
        <f>Base_Données!AC480+Base_Données!AL480-(Base_Données!CI480)</f>
        <v>0</v>
      </c>
      <c r="P478" s="154">
        <f>L478+Base_Données!GJ480+Base_Données!GE480+Base_Données!GB480+Base_Données!FV480+Base_Données!FS480+Base_Données!FO480+Base_Données!FE480+Base_Données!DS480-(Base_Données!BK480+Base_Données!BH480+Base_Données!AU480)</f>
        <v>0</v>
      </c>
      <c r="Q478" s="189">
        <f>P478+Base_Données!AV480-Base_Données!FE480-Base_Données!FO480</f>
        <v>0</v>
      </c>
      <c r="R478" s="329">
        <f>SIG!Q478+Base_Données!BD480+Base_Données!BH480+Base_Données!BL480+Base_Données!BM480+Base_Données!BN480-Base_Données!GB480-Base_Données!GJ480-Base_Données!GF480</f>
        <v>0</v>
      </c>
    </row>
    <row r="479" spans="1:18" customFormat="1" x14ac:dyDescent="0.25">
      <c r="A479" s="328">
        <f>Base_Données!A481</f>
        <v>0</v>
      </c>
      <c r="B479" s="181">
        <f>Base_Données!B481</f>
        <v>0</v>
      </c>
      <c r="C479" s="158">
        <f>Base_Données!C481</f>
        <v>0</v>
      </c>
      <c r="D479" s="156">
        <f>Base_Données!Q481</f>
        <v>0</v>
      </c>
      <c r="E479" s="156">
        <f>Base_Données!BR481</f>
        <v>0</v>
      </c>
      <c r="F479" s="155">
        <f>Base_Données!R481</f>
        <v>0</v>
      </c>
      <c r="G479" s="154">
        <f>Base_Données!BS481</f>
        <v>0</v>
      </c>
      <c r="H479" s="155">
        <f>SIG!F479-SIG!G479</f>
        <v>0</v>
      </c>
      <c r="I479" s="159">
        <f>Base_Données!BI481+Base_Données!BJ481-Base_Données!GC481-Base_Données!GD481</f>
        <v>0</v>
      </c>
      <c r="J479" s="154">
        <f t="shared" si="14"/>
        <v>0</v>
      </c>
      <c r="K479" s="154">
        <f>Base_Données!BK481-Base_Données!GE481</f>
        <v>0</v>
      </c>
      <c r="L479" s="159">
        <f t="shared" si="15"/>
        <v>0</v>
      </c>
      <c r="M479" s="158">
        <f>Base_Données!S481</f>
        <v>0</v>
      </c>
      <c r="N479" s="154">
        <f>Base_Données!T481-(Base_Données!BU481+Base_Données!BZ481+Base_Données!CC481)</f>
        <v>0</v>
      </c>
      <c r="O479" s="154">
        <f>Base_Données!AC481+Base_Données!AL481-(Base_Données!CI481)</f>
        <v>0</v>
      </c>
      <c r="P479" s="154">
        <f>L479+Base_Données!GJ481+Base_Données!GE481+Base_Données!GB481+Base_Données!FV481+Base_Données!FS481+Base_Données!FO481+Base_Données!FE481+Base_Données!DS481-(Base_Données!BK481+Base_Données!BH481+Base_Données!AU481)</f>
        <v>0</v>
      </c>
      <c r="Q479" s="189">
        <f>P479+Base_Données!AV481-Base_Données!FE481-Base_Données!FO481</f>
        <v>0</v>
      </c>
      <c r="R479" s="329">
        <f>SIG!Q479+Base_Données!BD481+Base_Données!BH481+Base_Données!BL481+Base_Données!BM481+Base_Données!BN481-Base_Données!GB481-Base_Données!GJ481-Base_Données!GF481</f>
        <v>0</v>
      </c>
    </row>
    <row r="480" spans="1:18" customFormat="1" x14ac:dyDescent="0.25">
      <c r="A480" s="328">
        <f>Base_Données!A482</f>
        <v>0</v>
      </c>
      <c r="B480" s="181">
        <f>Base_Données!B482</f>
        <v>0</v>
      </c>
      <c r="C480" s="158">
        <f>Base_Données!C482</f>
        <v>0</v>
      </c>
      <c r="D480" s="156">
        <f>Base_Données!Q482</f>
        <v>0</v>
      </c>
      <c r="E480" s="156">
        <f>Base_Données!BR482</f>
        <v>0</v>
      </c>
      <c r="F480" s="155">
        <f>Base_Données!R482</f>
        <v>0</v>
      </c>
      <c r="G480" s="154">
        <f>Base_Données!BS482</f>
        <v>0</v>
      </c>
      <c r="H480" s="155">
        <f>SIG!F480-SIG!G480</f>
        <v>0</v>
      </c>
      <c r="I480" s="159">
        <f>Base_Données!BI482+Base_Données!BJ482-Base_Données!GC482-Base_Données!GD482</f>
        <v>0</v>
      </c>
      <c r="J480" s="154">
        <f t="shared" si="14"/>
        <v>0</v>
      </c>
      <c r="K480" s="154">
        <f>Base_Données!BK482-Base_Données!GE482</f>
        <v>0</v>
      </c>
      <c r="L480" s="159">
        <f t="shared" si="15"/>
        <v>0</v>
      </c>
      <c r="M480" s="158">
        <f>Base_Données!S482</f>
        <v>0</v>
      </c>
      <c r="N480" s="154">
        <f>Base_Données!T482-(Base_Données!BU482+Base_Données!BZ482+Base_Données!CC482)</f>
        <v>0</v>
      </c>
      <c r="O480" s="154">
        <f>Base_Données!AC482+Base_Données!AL482-(Base_Données!CI482)</f>
        <v>0</v>
      </c>
      <c r="P480" s="154">
        <f>L480+Base_Données!GJ482+Base_Données!GE482+Base_Données!GB482+Base_Données!FV482+Base_Données!FS482+Base_Données!FO482+Base_Données!FE482+Base_Données!DS482-(Base_Données!BK482+Base_Données!BH482+Base_Données!AU482)</f>
        <v>0</v>
      </c>
      <c r="Q480" s="189">
        <f>P480+Base_Données!AV482-Base_Données!FE482-Base_Données!FO482</f>
        <v>0</v>
      </c>
      <c r="R480" s="329">
        <f>SIG!Q480+Base_Données!BD482+Base_Données!BH482+Base_Données!BL482+Base_Données!BM482+Base_Données!BN482-Base_Données!GB482-Base_Données!GJ482-Base_Données!GF482</f>
        <v>0</v>
      </c>
    </row>
    <row r="481" spans="1:18" customFormat="1" x14ac:dyDescent="0.25">
      <c r="A481" s="328">
        <f>Base_Données!A483</f>
        <v>0</v>
      </c>
      <c r="B481" s="181">
        <f>Base_Données!B483</f>
        <v>0</v>
      </c>
      <c r="C481" s="158">
        <f>Base_Données!C483</f>
        <v>0</v>
      </c>
      <c r="D481" s="156">
        <f>Base_Données!Q483</f>
        <v>0</v>
      </c>
      <c r="E481" s="156">
        <f>Base_Données!BR483</f>
        <v>0</v>
      </c>
      <c r="F481" s="155">
        <f>Base_Données!R483</f>
        <v>0</v>
      </c>
      <c r="G481" s="154">
        <f>Base_Données!BS483</f>
        <v>0</v>
      </c>
      <c r="H481" s="155">
        <f>SIG!F481-SIG!G481</f>
        <v>0</v>
      </c>
      <c r="I481" s="159">
        <f>Base_Données!BI483+Base_Données!BJ483-Base_Données!GC483-Base_Données!GD483</f>
        <v>0</v>
      </c>
      <c r="J481" s="154">
        <f t="shared" si="14"/>
        <v>0</v>
      </c>
      <c r="K481" s="154">
        <f>Base_Données!BK483-Base_Données!GE483</f>
        <v>0</v>
      </c>
      <c r="L481" s="159">
        <f t="shared" si="15"/>
        <v>0</v>
      </c>
      <c r="M481" s="158">
        <f>Base_Données!S483</f>
        <v>0</v>
      </c>
      <c r="N481" s="154">
        <f>Base_Données!T483-(Base_Données!BU483+Base_Données!BZ483+Base_Données!CC483)</f>
        <v>0</v>
      </c>
      <c r="O481" s="154">
        <f>Base_Données!AC483+Base_Données!AL483-(Base_Données!CI483)</f>
        <v>0</v>
      </c>
      <c r="P481" s="154">
        <f>L481+Base_Données!GJ483+Base_Données!GE483+Base_Données!GB483+Base_Données!FV483+Base_Données!FS483+Base_Données!FO483+Base_Données!FE483+Base_Données!DS483-(Base_Données!BK483+Base_Données!BH483+Base_Données!AU483)</f>
        <v>0</v>
      </c>
      <c r="Q481" s="189">
        <f>P481+Base_Données!AV483-Base_Données!FE483-Base_Données!FO483</f>
        <v>0</v>
      </c>
      <c r="R481" s="329">
        <f>SIG!Q481+Base_Données!BD483+Base_Données!BH483+Base_Données!BL483+Base_Données!BM483+Base_Données!BN483-Base_Données!GB483-Base_Données!GJ483-Base_Données!GF483</f>
        <v>0</v>
      </c>
    </row>
    <row r="482" spans="1:18" customFormat="1" x14ac:dyDescent="0.25">
      <c r="A482" s="328">
        <f>Base_Données!A484</f>
        <v>0</v>
      </c>
      <c r="B482" s="181">
        <f>Base_Données!B484</f>
        <v>0</v>
      </c>
      <c r="C482" s="158">
        <f>Base_Données!C484</f>
        <v>0</v>
      </c>
      <c r="D482" s="156">
        <f>Base_Données!Q484</f>
        <v>0</v>
      </c>
      <c r="E482" s="156">
        <f>Base_Données!BR484</f>
        <v>0</v>
      </c>
      <c r="F482" s="155">
        <f>Base_Données!R484</f>
        <v>0</v>
      </c>
      <c r="G482" s="154">
        <f>Base_Données!BS484</f>
        <v>0</v>
      </c>
      <c r="H482" s="155">
        <f>SIG!F482-SIG!G482</f>
        <v>0</v>
      </c>
      <c r="I482" s="159">
        <f>Base_Données!BI484+Base_Données!BJ484-Base_Données!GC484-Base_Données!GD484</f>
        <v>0</v>
      </c>
      <c r="J482" s="154">
        <f t="shared" si="14"/>
        <v>0</v>
      </c>
      <c r="K482" s="154">
        <f>Base_Données!BK484-Base_Données!GE484</f>
        <v>0</v>
      </c>
      <c r="L482" s="159">
        <f t="shared" si="15"/>
        <v>0</v>
      </c>
      <c r="M482" s="158">
        <f>Base_Données!S484</f>
        <v>0</v>
      </c>
      <c r="N482" s="154">
        <f>Base_Données!T484-(Base_Données!BU484+Base_Données!BZ484+Base_Données!CC484)</f>
        <v>0</v>
      </c>
      <c r="O482" s="154">
        <f>Base_Données!AC484+Base_Données!AL484-(Base_Données!CI484)</f>
        <v>0</v>
      </c>
      <c r="P482" s="154">
        <f>L482+Base_Données!GJ484+Base_Données!GE484+Base_Données!GB484+Base_Données!FV484+Base_Données!FS484+Base_Données!FO484+Base_Données!FE484+Base_Données!DS484-(Base_Données!BK484+Base_Données!BH484+Base_Données!AU484)</f>
        <v>0</v>
      </c>
      <c r="Q482" s="189">
        <f>P482+Base_Données!AV484-Base_Données!FE484-Base_Données!FO484</f>
        <v>0</v>
      </c>
      <c r="R482" s="329">
        <f>SIG!Q482+Base_Données!BD484+Base_Données!BH484+Base_Données!BL484+Base_Données!BM484+Base_Données!BN484-Base_Données!GB484-Base_Données!GJ484-Base_Données!GF484</f>
        <v>0</v>
      </c>
    </row>
    <row r="483" spans="1:18" customFormat="1" x14ac:dyDescent="0.25">
      <c r="A483" s="328">
        <f>Base_Données!A485</f>
        <v>0</v>
      </c>
      <c r="B483" s="181">
        <f>Base_Données!B485</f>
        <v>0</v>
      </c>
      <c r="C483" s="158">
        <f>Base_Données!C485</f>
        <v>0</v>
      </c>
      <c r="D483" s="156">
        <f>Base_Données!Q485</f>
        <v>0</v>
      </c>
      <c r="E483" s="156">
        <f>Base_Données!BR485</f>
        <v>0</v>
      </c>
      <c r="F483" s="155">
        <f>Base_Données!R485</f>
        <v>0</v>
      </c>
      <c r="G483" s="154">
        <f>Base_Données!BS485</f>
        <v>0</v>
      </c>
      <c r="H483" s="155">
        <f>SIG!F483-SIG!G483</f>
        <v>0</v>
      </c>
      <c r="I483" s="159">
        <f>Base_Données!BI485+Base_Données!BJ485-Base_Données!GC485-Base_Données!GD485</f>
        <v>0</v>
      </c>
      <c r="J483" s="154">
        <f t="shared" si="14"/>
        <v>0</v>
      </c>
      <c r="K483" s="154">
        <f>Base_Données!BK485-Base_Données!GE485</f>
        <v>0</v>
      </c>
      <c r="L483" s="159">
        <f t="shared" si="15"/>
        <v>0</v>
      </c>
      <c r="M483" s="158">
        <f>Base_Données!S485</f>
        <v>0</v>
      </c>
      <c r="N483" s="154">
        <f>Base_Données!T485-(Base_Données!BU485+Base_Données!BZ485+Base_Données!CC485)</f>
        <v>0</v>
      </c>
      <c r="O483" s="154">
        <f>Base_Données!AC485+Base_Données!AL485-(Base_Données!CI485)</f>
        <v>0</v>
      </c>
      <c r="P483" s="154">
        <f>L483+Base_Données!GJ485+Base_Données!GE485+Base_Données!GB485+Base_Données!FV485+Base_Données!FS485+Base_Données!FO485+Base_Données!FE485+Base_Données!DS485-(Base_Données!BK485+Base_Données!BH485+Base_Données!AU485)</f>
        <v>0</v>
      </c>
      <c r="Q483" s="189">
        <f>P483+Base_Données!AV485-Base_Données!FE485-Base_Données!FO485</f>
        <v>0</v>
      </c>
      <c r="R483" s="329">
        <f>SIG!Q483+Base_Données!BD485+Base_Données!BH485+Base_Données!BL485+Base_Données!BM485+Base_Données!BN485-Base_Données!GB485-Base_Données!GJ485-Base_Données!GF485</f>
        <v>0</v>
      </c>
    </row>
    <row r="484" spans="1:18" customFormat="1" x14ac:dyDescent="0.25">
      <c r="A484" s="328">
        <f>Base_Données!A486</f>
        <v>0</v>
      </c>
      <c r="B484" s="181">
        <f>Base_Données!B486</f>
        <v>0</v>
      </c>
      <c r="C484" s="158">
        <f>Base_Données!C486</f>
        <v>0</v>
      </c>
      <c r="D484" s="156">
        <f>Base_Données!Q486</f>
        <v>0</v>
      </c>
      <c r="E484" s="156">
        <f>Base_Données!BR486</f>
        <v>0</v>
      </c>
      <c r="F484" s="155">
        <f>Base_Données!R486</f>
        <v>0</v>
      </c>
      <c r="G484" s="154">
        <f>Base_Données!BS486</f>
        <v>0</v>
      </c>
      <c r="H484" s="155">
        <f>SIG!F484-SIG!G484</f>
        <v>0</v>
      </c>
      <c r="I484" s="159">
        <f>Base_Données!BI486+Base_Données!BJ486-Base_Données!GC486-Base_Données!GD486</f>
        <v>0</v>
      </c>
      <c r="J484" s="154">
        <f t="shared" si="14"/>
        <v>0</v>
      </c>
      <c r="K484" s="154">
        <f>Base_Données!BK486-Base_Données!GE486</f>
        <v>0</v>
      </c>
      <c r="L484" s="159">
        <f t="shared" si="15"/>
        <v>0</v>
      </c>
      <c r="M484" s="158">
        <f>Base_Données!S486</f>
        <v>0</v>
      </c>
      <c r="N484" s="154">
        <f>Base_Données!T486-(Base_Données!BU486+Base_Données!BZ486+Base_Données!CC486)</f>
        <v>0</v>
      </c>
      <c r="O484" s="154">
        <f>Base_Données!AC486+Base_Données!AL486-(Base_Données!CI486)</f>
        <v>0</v>
      </c>
      <c r="P484" s="154">
        <f>L484+Base_Données!GJ486+Base_Données!GE486+Base_Données!GB486+Base_Données!FV486+Base_Données!FS486+Base_Données!FO486+Base_Données!FE486+Base_Données!DS486-(Base_Données!BK486+Base_Données!BH486+Base_Données!AU486)</f>
        <v>0</v>
      </c>
      <c r="Q484" s="189">
        <f>P484+Base_Données!AV486-Base_Données!FE486-Base_Données!FO486</f>
        <v>0</v>
      </c>
      <c r="R484" s="329">
        <f>SIG!Q484+Base_Données!BD486+Base_Données!BH486+Base_Données!BL486+Base_Données!BM486+Base_Données!BN486-Base_Données!GB486-Base_Données!GJ486-Base_Données!GF486</f>
        <v>0</v>
      </c>
    </row>
    <row r="485" spans="1:18" customFormat="1" x14ac:dyDescent="0.25">
      <c r="A485" s="328">
        <f>Base_Données!A487</f>
        <v>0</v>
      </c>
      <c r="B485" s="181">
        <f>Base_Données!B487</f>
        <v>0</v>
      </c>
      <c r="C485" s="158">
        <f>Base_Données!C487</f>
        <v>0</v>
      </c>
      <c r="D485" s="156">
        <f>Base_Données!Q487</f>
        <v>0</v>
      </c>
      <c r="E485" s="156">
        <f>Base_Données!BR487</f>
        <v>0</v>
      </c>
      <c r="F485" s="155">
        <f>Base_Données!R487</f>
        <v>0</v>
      </c>
      <c r="G485" s="154">
        <f>Base_Données!BS487</f>
        <v>0</v>
      </c>
      <c r="H485" s="155">
        <f>SIG!F485-SIG!G485</f>
        <v>0</v>
      </c>
      <c r="I485" s="159">
        <f>Base_Données!BI487+Base_Données!BJ487-Base_Données!GC487-Base_Données!GD487</f>
        <v>0</v>
      </c>
      <c r="J485" s="154">
        <f t="shared" si="14"/>
        <v>0</v>
      </c>
      <c r="K485" s="154">
        <f>Base_Données!BK487-Base_Données!GE487</f>
        <v>0</v>
      </c>
      <c r="L485" s="159">
        <f t="shared" si="15"/>
        <v>0</v>
      </c>
      <c r="M485" s="158">
        <f>Base_Données!S487</f>
        <v>0</v>
      </c>
      <c r="N485" s="154">
        <f>Base_Données!T487-(Base_Données!BU487+Base_Données!BZ487+Base_Données!CC487)</f>
        <v>0</v>
      </c>
      <c r="O485" s="154">
        <f>Base_Données!AC487+Base_Données!AL487-(Base_Données!CI487)</f>
        <v>0</v>
      </c>
      <c r="P485" s="154">
        <f>L485+Base_Données!GJ487+Base_Données!GE487+Base_Données!GB487+Base_Données!FV487+Base_Données!FS487+Base_Données!FO487+Base_Données!FE487+Base_Données!DS487-(Base_Données!BK487+Base_Données!BH487+Base_Données!AU487)</f>
        <v>0</v>
      </c>
      <c r="Q485" s="189">
        <f>P485+Base_Données!AV487-Base_Données!FE487-Base_Données!FO487</f>
        <v>0</v>
      </c>
      <c r="R485" s="329">
        <f>SIG!Q485+Base_Données!BD487+Base_Données!BH487+Base_Données!BL487+Base_Données!BM487+Base_Données!BN487-Base_Données!GB487-Base_Données!GJ487-Base_Données!GF487</f>
        <v>0</v>
      </c>
    </row>
    <row r="486" spans="1:18" customFormat="1" x14ac:dyDescent="0.25">
      <c r="A486" s="328">
        <f>Base_Données!A488</f>
        <v>0</v>
      </c>
      <c r="B486" s="181">
        <f>Base_Données!B488</f>
        <v>0</v>
      </c>
      <c r="C486" s="158">
        <f>Base_Données!C488</f>
        <v>0</v>
      </c>
      <c r="D486" s="156">
        <f>Base_Données!Q488</f>
        <v>0</v>
      </c>
      <c r="E486" s="156">
        <f>Base_Données!BR488</f>
        <v>0</v>
      </c>
      <c r="F486" s="155">
        <f>Base_Données!R488</f>
        <v>0</v>
      </c>
      <c r="G486" s="154">
        <f>Base_Données!BS488</f>
        <v>0</v>
      </c>
      <c r="H486" s="155">
        <f>SIG!F486-SIG!G486</f>
        <v>0</v>
      </c>
      <c r="I486" s="159">
        <f>Base_Données!BI488+Base_Données!BJ488-Base_Données!GC488-Base_Données!GD488</f>
        <v>0</v>
      </c>
      <c r="J486" s="154">
        <f t="shared" si="14"/>
        <v>0</v>
      </c>
      <c r="K486" s="154">
        <f>Base_Données!BK488-Base_Données!GE488</f>
        <v>0</v>
      </c>
      <c r="L486" s="159">
        <f t="shared" si="15"/>
        <v>0</v>
      </c>
      <c r="M486" s="158">
        <f>Base_Données!S488</f>
        <v>0</v>
      </c>
      <c r="N486" s="154">
        <f>Base_Données!T488-(Base_Données!BU488+Base_Données!BZ488+Base_Données!CC488)</f>
        <v>0</v>
      </c>
      <c r="O486" s="154">
        <f>Base_Données!AC488+Base_Données!AL488-(Base_Données!CI488)</f>
        <v>0</v>
      </c>
      <c r="P486" s="154">
        <f>L486+Base_Données!GJ488+Base_Données!GE488+Base_Données!GB488+Base_Données!FV488+Base_Données!FS488+Base_Données!FO488+Base_Données!FE488+Base_Données!DS488-(Base_Données!BK488+Base_Données!BH488+Base_Données!AU488)</f>
        <v>0</v>
      </c>
      <c r="Q486" s="189">
        <f>P486+Base_Données!AV488-Base_Données!FE488-Base_Données!FO488</f>
        <v>0</v>
      </c>
      <c r="R486" s="329">
        <f>SIG!Q486+Base_Données!BD488+Base_Données!BH488+Base_Données!BL488+Base_Données!BM488+Base_Données!BN488-Base_Données!GB488-Base_Données!GJ488-Base_Données!GF488</f>
        <v>0</v>
      </c>
    </row>
    <row r="487" spans="1:18" customFormat="1" x14ac:dyDescent="0.25">
      <c r="A487" s="328">
        <f>Base_Données!A489</f>
        <v>0</v>
      </c>
      <c r="B487" s="181">
        <f>Base_Données!B489</f>
        <v>0</v>
      </c>
      <c r="C487" s="158">
        <f>Base_Données!C489</f>
        <v>0</v>
      </c>
      <c r="D487" s="156">
        <f>Base_Données!Q489</f>
        <v>0</v>
      </c>
      <c r="E487" s="156">
        <f>Base_Données!BR489</f>
        <v>0</v>
      </c>
      <c r="F487" s="155">
        <f>Base_Données!R489</f>
        <v>0</v>
      </c>
      <c r="G487" s="154">
        <f>Base_Données!BS489</f>
        <v>0</v>
      </c>
      <c r="H487" s="155">
        <f>SIG!F487-SIG!G487</f>
        <v>0</v>
      </c>
      <c r="I487" s="159">
        <f>Base_Données!BI489+Base_Données!BJ489-Base_Données!GC489-Base_Données!GD489</f>
        <v>0</v>
      </c>
      <c r="J487" s="154">
        <f t="shared" si="14"/>
        <v>0</v>
      </c>
      <c r="K487" s="154">
        <f>Base_Données!BK489-Base_Données!GE489</f>
        <v>0</v>
      </c>
      <c r="L487" s="159">
        <f t="shared" si="15"/>
        <v>0</v>
      </c>
      <c r="M487" s="158">
        <f>Base_Données!S489</f>
        <v>0</v>
      </c>
      <c r="N487" s="154">
        <f>Base_Données!T489-(Base_Données!BU489+Base_Données!BZ489+Base_Données!CC489)</f>
        <v>0</v>
      </c>
      <c r="O487" s="154">
        <f>Base_Données!AC489+Base_Données!AL489-(Base_Données!CI489)</f>
        <v>0</v>
      </c>
      <c r="P487" s="154">
        <f>L487+Base_Données!GJ489+Base_Données!GE489+Base_Données!GB489+Base_Données!FV489+Base_Données!FS489+Base_Données!FO489+Base_Données!FE489+Base_Données!DS489-(Base_Données!BK489+Base_Données!BH489+Base_Données!AU489)</f>
        <v>0</v>
      </c>
      <c r="Q487" s="189">
        <f>P487+Base_Données!AV489-Base_Données!FE489-Base_Données!FO489</f>
        <v>0</v>
      </c>
      <c r="R487" s="329">
        <f>SIG!Q487+Base_Données!BD489+Base_Données!BH489+Base_Données!BL489+Base_Données!BM489+Base_Données!BN489-Base_Données!GB489-Base_Données!GJ489-Base_Données!GF489</f>
        <v>0</v>
      </c>
    </row>
    <row r="488" spans="1:18" customFormat="1" x14ac:dyDescent="0.25">
      <c r="A488" s="328">
        <f>Base_Données!A490</f>
        <v>0</v>
      </c>
      <c r="B488" s="181">
        <f>Base_Données!B490</f>
        <v>0</v>
      </c>
      <c r="C488" s="158">
        <f>Base_Données!C490</f>
        <v>0</v>
      </c>
      <c r="D488" s="156">
        <f>Base_Données!Q490</f>
        <v>0</v>
      </c>
      <c r="E488" s="156">
        <f>Base_Données!BR490</f>
        <v>0</v>
      </c>
      <c r="F488" s="155">
        <f>Base_Données!R490</f>
        <v>0</v>
      </c>
      <c r="G488" s="154">
        <f>Base_Données!BS490</f>
        <v>0</v>
      </c>
      <c r="H488" s="155">
        <f>SIG!F488-SIG!G488</f>
        <v>0</v>
      </c>
      <c r="I488" s="159">
        <f>Base_Données!BI490+Base_Données!BJ490-Base_Données!GC490-Base_Données!GD490</f>
        <v>0</v>
      </c>
      <c r="J488" s="154">
        <f t="shared" si="14"/>
        <v>0</v>
      </c>
      <c r="K488" s="154">
        <f>Base_Données!BK490-Base_Données!GE490</f>
        <v>0</v>
      </c>
      <c r="L488" s="159">
        <f t="shared" si="15"/>
        <v>0</v>
      </c>
      <c r="M488" s="158">
        <f>Base_Données!S490</f>
        <v>0</v>
      </c>
      <c r="N488" s="154">
        <f>Base_Données!T490-(Base_Données!BU490+Base_Données!BZ490+Base_Données!CC490)</f>
        <v>0</v>
      </c>
      <c r="O488" s="154">
        <f>Base_Données!AC490+Base_Données!AL490-(Base_Données!CI490)</f>
        <v>0</v>
      </c>
      <c r="P488" s="154">
        <f>L488+Base_Données!GJ490+Base_Données!GE490+Base_Données!GB490+Base_Données!FV490+Base_Données!FS490+Base_Données!FO490+Base_Données!FE490+Base_Données!DS490-(Base_Données!BK490+Base_Données!BH490+Base_Données!AU490)</f>
        <v>0</v>
      </c>
      <c r="Q488" s="189">
        <f>P488+Base_Données!AV490-Base_Données!FE490-Base_Données!FO490</f>
        <v>0</v>
      </c>
      <c r="R488" s="329">
        <f>SIG!Q488+Base_Données!BD490+Base_Données!BH490+Base_Données!BL490+Base_Données!BM490+Base_Données!BN490-Base_Données!GB490-Base_Données!GJ490-Base_Données!GF490</f>
        <v>0</v>
      </c>
    </row>
    <row r="489" spans="1:18" customFormat="1" x14ac:dyDescent="0.25">
      <c r="A489" s="328">
        <f>Base_Données!A491</f>
        <v>0</v>
      </c>
      <c r="B489" s="181">
        <f>Base_Données!B491</f>
        <v>0</v>
      </c>
      <c r="C489" s="158">
        <f>Base_Données!C491</f>
        <v>0</v>
      </c>
      <c r="D489" s="156">
        <f>Base_Données!Q491</f>
        <v>0</v>
      </c>
      <c r="E489" s="156">
        <f>Base_Données!BR491</f>
        <v>0</v>
      </c>
      <c r="F489" s="155">
        <f>Base_Données!R491</f>
        <v>0</v>
      </c>
      <c r="G489" s="154">
        <f>Base_Données!BS491</f>
        <v>0</v>
      </c>
      <c r="H489" s="155">
        <f>SIG!F489-SIG!G489</f>
        <v>0</v>
      </c>
      <c r="I489" s="159">
        <f>Base_Données!BI491+Base_Données!BJ491-Base_Données!GC491-Base_Données!GD491</f>
        <v>0</v>
      </c>
      <c r="J489" s="154">
        <f t="shared" si="14"/>
        <v>0</v>
      </c>
      <c r="K489" s="154">
        <f>Base_Données!BK491-Base_Données!GE491</f>
        <v>0</v>
      </c>
      <c r="L489" s="159">
        <f t="shared" si="15"/>
        <v>0</v>
      </c>
      <c r="M489" s="158">
        <f>Base_Données!S491</f>
        <v>0</v>
      </c>
      <c r="N489" s="154">
        <f>Base_Données!T491-(Base_Données!BU491+Base_Données!BZ491+Base_Données!CC491)</f>
        <v>0</v>
      </c>
      <c r="O489" s="154">
        <f>Base_Données!AC491+Base_Données!AL491-(Base_Données!CI491)</f>
        <v>0</v>
      </c>
      <c r="P489" s="154">
        <f>L489+Base_Données!GJ491+Base_Données!GE491+Base_Données!GB491+Base_Données!FV491+Base_Données!FS491+Base_Données!FO491+Base_Données!FE491+Base_Données!DS491-(Base_Données!BK491+Base_Données!BH491+Base_Données!AU491)</f>
        <v>0</v>
      </c>
      <c r="Q489" s="189">
        <f>P489+Base_Données!AV491-Base_Données!FE491-Base_Données!FO491</f>
        <v>0</v>
      </c>
      <c r="R489" s="329">
        <f>SIG!Q489+Base_Données!BD491+Base_Données!BH491+Base_Données!BL491+Base_Données!BM491+Base_Données!BN491-Base_Données!GB491-Base_Données!GJ491-Base_Données!GF491</f>
        <v>0</v>
      </c>
    </row>
    <row r="490" spans="1:18" customFormat="1" x14ac:dyDescent="0.25">
      <c r="A490" s="328">
        <f>Base_Données!A492</f>
        <v>0</v>
      </c>
      <c r="B490" s="181">
        <f>Base_Données!B492</f>
        <v>0</v>
      </c>
      <c r="C490" s="158">
        <f>Base_Données!C492</f>
        <v>0</v>
      </c>
      <c r="D490" s="156">
        <f>Base_Données!Q492</f>
        <v>0</v>
      </c>
      <c r="E490" s="156">
        <f>Base_Données!BR492</f>
        <v>0</v>
      </c>
      <c r="F490" s="155">
        <f>Base_Données!R492</f>
        <v>0</v>
      </c>
      <c r="G490" s="154">
        <f>Base_Données!BS492</f>
        <v>0</v>
      </c>
      <c r="H490" s="155">
        <f>SIG!F490-SIG!G490</f>
        <v>0</v>
      </c>
      <c r="I490" s="159">
        <f>Base_Données!BI492+Base_Données!BJ492-Base_Données!GC492-Base_Données!GD492</f>
        <v>0</v>
      </c>
      <c r="J490" s="154">
        <f t="shared" si="14"/>
        <v>0</v>
      </c>
      <c r="K490" s="154">
        <f>Base_Données!BK492-Base_Données!GE492</f>
        <v>0</v>
      </c>
      <c r="L490" s="159">
        <f t="shared" si="15"/>
        <v>0</v>
      </c>
      <c r="M490" s="158">
        <f>Base_Données!S492</f>
        <v>0</v>
      </c>
      <c r="N490" s="154">
        <f>Base_Données!T492-(Base_Données!BU492+Base_Données!BZ492+Base_Données!CC492)</f>
        <v>0</v>
      </c>
      <c r="O490" s="154">
        <f>Base_Données!AC492+Base_Données!AL492-(Base_Données!CI492)</f>
        <v>0</v>
      </c>
      <c r="P490" s="154">
        <f>L490+Base_Données!GJ492+Base_Données!GE492+Base_Données!GB492+Base_Données!FV492+Base_Données!FS492+Base_Données!FO492+Base_Données!FE492+Base_Données!DS492-(Base_Données!BK492+Base_Données!BH492+Base_Données!AU492)</f>
        <v>0</v>
      </c>
      <c r="Q490" s="189">
        <f>P490+Base_Données!AV492-Base_Données!FE492-Base_Données!FO492</f>
        <v>0</v>
      </c>
      <c r="R490" s="329">
        <f>SIG!Q490+Base_Données!BD492+Base_Données!BH492+Base_Données!BL492+Base_Données!BM492+Base_Données!BN492-Base_Données!GB492-Base_Données!GJ492-Base_Données!GF492</f>
        <v>0</v>
      </c>
    </row>
    <row r="491" spans="1:18" customFormat="1" x14ac:dyDescent="0.25">
      <c r="A491" s="328">
        <f>Base_Données!A493</f>
        <v>0</v>
      </c>
      <c r="B491" s="181">
        <f>Base_Données!B493</f>
        <v>0</v>
      </c>
      <c r="C491" s="158">
        <f>Base_Données!C493</f>
        <v>0</v>
      </c>
      <c r="D491" s="156">
        <f>Base_Données!Q493</f>
        <v>0</v>
      </c>
      <c r="E491" s="156">
        <f>Base_Données!BR493</f>
        <v>0</v>
      </c>
      <c r="F491" s="155">
        <f>Base_Données!R493</f>
        <v>0</v>
      </c>
      <c r="G491" s="154">
        <f>Base_Données!BS493</f>
        <v>0</v>
      </c>
      <c r="H491" s="155">
        <f>SIG!F491-SIG!G491</f>
        <v>0</v>
      </c>
      <c r="I491" s="159">
        <f>Base_Données!BI493+Base_Données!BJ493-Base_Données!GC493-Base_Données!GD493</f>
        <v>0</v>
      </c>
      <c r="J491" s="154">
        <f t="shared" si="14"/>
        <v>0</v>
      </c>
      <c r="K491" s="154">
        <f>Base_Données!BK493-Base_Données!GE493</f>
        <v>0</v>
      </c>
      <c r="L491" s="159">
        <f t="shared" si="15"/>
        <v>0</v>
      </c>
      <c r="M491" s="158">
        <f>Base_Données!S493</f>
        <v>0</v>
      </c>
      <c r="N491" s="154">
        <f>Base_Données!T493-(Base_Données!BU493+Base_Données!BZ493+Base_Données!CC493)</f>
        <v>0</v>
      </c>
      <c r="O491" s="154">
        <f>Base_Données!AC493+Base_Données!AL493-(Base_Données!CI493)</f>
        <v>0</v>
      </c>
      <c r="P491" s="154">
        <f>L491+Base_Données!GJ493+Base_Données!GE493+Base_Données!GB493+Base_Données!FV493+Base_Données!FS493+Base_Données!FO493+Base_Données!FE493+Base_Données!DS493-(Base_Données!BK493+Base_Données!BH493+Base_Données!AU493)</f>
        <v>0</v>
      </c>
      <c r="Q491" s="189">
        <f>P491+Base_Données!AV493-Base_Données!FE493-Base_Données!FO493</f>
        <v>0</v>
      </c>
      <c r="R491" s="329">
        <f>SIG!Q491+Base_Données!BD493+Base_Données!BH493+Base_Données!BL493+Base_Données!BM493+Base_Données!BN493-Base_Données!GB493-Base_Données!GJ493-Base_Données!GF493</f>
        <v>0</v>
      </c>
    </row>
    <row r="492" spans="1:18" customFormat="1" x14ac:dyDescent="0.25">
      <c r="A492" s="328">
        <f>Base_Données!A494</f>
        <v>0</v>
      </c>
      <c r="B492" s="181">
        <f>Base_Données!B494</f>
        <v>0</v>
      </c>
      <c r="C492" s="158">
        <f>Base_Données!C494</f>
        <v>0</v>
      </c>
      <c r="D492" s="156">
        <f>Base_Données!Q494</f>
        <v>0</v>
      </c>
      <c r="E492" s="156">
        <f>Base_Données!BR494</f>
        <v>0</v>
      </c>
      <c r="F492" s="155">
        <f>Base_Données!R494</f>
        <v>0</v>
      </c>
      <c r="G492" s="154">
        <f>Base_Données!BS494</f>
        <v>0</v>
      </c>
      <c r="H492" s="155">
        <f>SIG!F492-SIG!G492</f>
        <v>0</v>
      </c>
      <c r="I492" s="159">
        <f>Base_Données!BI494+Base_Données!BJ494-Base_Données!GC494-Base_Données!GD494</f>
        <v>0</v>
      </c>
      <c r="J492" s="154">
        <f t="shared" si="14"/>
        <v>0</v>
      </c>
      <c r="K492" s="154">
        <f>Base_Données!BK494-Base_Données!GE494</f>
        <v>0</v>
      </c>
      <c r="L492" s="159">
        <f t="shared" si="15"/>
        <v>0</v>
      </c>
      <c r="M492" s="158">
        <f>Base_Données!S494</f>
        <v>0</v>
      </c>
      <c r="N492" s="154">
        <f>Base_Données!T494-(Base_Données!BU494+Base_Données!BZ494+Base_Données!CC494)</f>
        <v>0</v>
      </c>
      <c r="O492" s="154">
        <f>Base_Données!AC494+Base_Données!AL494-(Base_Données!CI494)</f>
        <v>0</v>
      </c>
      <c r="P492" s="154">
        <f>L492+Base_Données!GJ494+Base_Données!GE494+Base_Données!GB494+Base_Données!FV494+Base_Données!FS494+Base_Données!FO494+Base_Données!FE494+Base_Données!DS494-(Base_Données!BK494+Base_Données!BH494+Base_Données!AU494)</f>
        <v>0</v>
      </c>
      <c r="Q492" s="189">
        <f>P492+Base_Données!AV494-Base_Données!FE494-Base_Données!FO494</f>
        <v>0</v>
      </c>
      <c r="R492" s="329">
        <f>SIG!Q492+Base_Données!BD494+Base_Données!BH494+Base_Données!BL494+Base_Données!BM494+Base_Données!BN494-Base_Données!GB494-Base_Données!GJ494-Base_Données!GF494</f>
        <v>0</v>
      </c>
    </row>
    <row r="493" spans="1:18" customFormat="1" x14ac:dyDescent="0.25">
      <c r="A493" s="328">
        <f>Base_Données!A495</f>
        <v>0</v>
      </c>
      <c r="B493" s="181">
        <f>Base_Données!B495</f>
        <v>0</v>
      </c>
      <c r="C493" s="158">
        <f>Base_Données!C495</f>
        <v>0</v>
      </c>
      <c r="D493" s="156">
        <f>Base_Données!Q495</f>
        <v>0</v>
      </c>
      <c r="E493" s="156">
        <f>Base_Données!BR495</f>
        <v>0</v>
      </c>
      <c r="F493" s="155">
        <f>Base_Données!R495</f>
        <v>0</v>
      </c>
      <c r="G493" s="154">
        <f>Base_Données!BS495</f>
        <v>0</v>
      </c>
      <c r="H493" s="155">
        <f>SIG!F493-SIG!G493</f>
        <v>0</v>
      </c>
      <c r="I493" s="159">
        <f>Base_Données!BI495+Base_Données!BJ495-Base_Données!GC495-Base_Données!GD495</f>
        <v>0</v>
      </c>
      <c r="J493" s="154">
        <f t="shared" si="14"/>
        <v>0</v>
      </c>
      <c r="K493" s="154">
        <f>Base_Données!BK495-Base_Données!GE495</f>
        <v>0</v>
      </c>
      <c r="L493" s="159">
        <f t="shared" si="15"/>
        <v>0</v>
      </c>
      <c r="M493" s="158">
        <f>Base_Données!S495</f>
        <v>0</v>
      </c>
      <c r="N493" s="154">
        <f>Base_Données!T495-(Base_Données!BU495+Base_Données!BZ495+Base_Données!CC495)</f>
        <v>0</v>
      </c>
      <c r="O493" s="154">
        <f>Base_Données!AC495+Base_Données!AL495-(Base_Données!CI495)</f>
        <v>0</v>
      </c>
      <c r="P493" s="154">
        <f>L493+Base_Données!GJ495+Base_Données!GE495+Base_Données!GB495+Base_Données!FV495+Base_Données!FS495+Base_Données!FO495+Base_Données!FE495+Base_Données!DS495-(Base_Données!BK495+Base_Données!BH495+Base_Données!AU495)</f>
        <v>0</v>
      </c>
      <c r="Q493" s="189">
        <f>P493+Base_Données!AV495-Base_Données!FE495-Base_Données!FO495</f>
        <v>0</v>
      </c>
      <c r="R493" s="329">
        <f>SIG!Q493+Base_Données!BD495+Base_Données!BH495+Base_Données!BL495+Base_Données!BM495+Base_Données!BN495-Base_Données!GB495-Base_Données!GJ495-Base_Données!GF495</f>
        <v>0</v>
      </c>
    </row>
    <row r="494" spans="1:18" customFormat="1" x14ac:dyDescent="0.25">
      <c r="A494" s="328">
        <f>Base_Données!A496</f>
        <v>0</v>
      </c>
      <c r="B494" s="181">
        <f>Base_Données!B496</f>
        <v>0</v>
      </c>
      <c r="C494" s="158">
        <f>Base_Données!C496</f>
        <v>0</v>
      </c>
      <c r="D494" s="156">
        <f>Base_Données!Q496</f>
        <v>0</v>
      </c>
      <c r="E494" s="156">
        <f>Base_Données!BR496</f>
        <v>0</v>
      </c>
      <c r="F494" s="155">
        <f>Base_Données!R496</f>
        <v>0</v>
      </c>
      <c r="G494" s="154">
        <f>Base_Données!BS496</f>
        <v>0</v>
      </c>
      <c r="H494" s="155">
        <f>SIG!F494-SIG!G494</f>
        <v>0</v>
      </c>
      <c r="I494" s="159">
        <f>Base_Données!BI496+Base_Données!BJ496-Base_Données!GC496-Base_Données!GD496</f>
        <v>0</v>
      </c>
      <c r="J494" s="154">
        <f t="shared" si="14"/>
        <v>0</v>
      </c>
      <c r="K494" s="154">
        <f>Base_Données!BK496-Base_Données!GE496</f>
        <v>0</v>
      </c>
      <c r="L494" s="159">
        <f t="shared" si="15"/>
        <v>0</v>
      </c>
      <c r="M494" s="158">
        <f>Base_Données!S496</f>
        <v>0</v>
      </c>
      <c r="N494" s="154">
        <f>Base_Données!T496-(Base_Données!BU496+Base_Données!BZ496+Base_Données!CC496)</f>
        <v>0</v>
      </c>
      <c r="O494" s="154">
        <f>Base_Données!AC496+Base_Données!AL496-(Base_Données!CI496)</f>
        <v>0</v>
      </c>
      <c r="P494" s="154">
        <f>L494+Base_Données!GJ496+Base_Données!GE496+Base_Données!GB496+Base_Données!FV496+Base_Données!FS496+Base_Données!FO496+Base_Données!FE496-(Base_Données!BK496+Base_Données!BH496+Base_Données!AU496)</f>
        <v>0</v>
      </c>
      <c r="Q494" s="189">
        <f>P494+Base_Données!AV496-Base_Données!FE496-Base_Données!FO496</f>
        <v>0</v>
      </c>
      <c r="R494" s="329">
        <f>SIG!Q494+Base_Données!BD496+Base_Données!BH496+Base_Données!BL496+Base_Données!BM496+Base_Données!BN496-Base_Données!GB496-Base_Données!GJ496-Base_Données!GF496</f>
        <v>0</v>
      </c>
    </row>
    <row r="495" spans="1:18" customFormat="1" x14ac:dyDescent="0.25">
      <c r="A495" s="328">
        <f>Base_Données!A497</f>
        <v>0</v>
      </c>
      <c r="B495" s="181">
        <f>Base_Données!B497</f>
        <v>0</v>
      </c>
      <c r="C495" s="158">
        <f>Base_Données!C497</f>
        <v>0</v>
      </c>
      <c r="D495" s="156">
        <f>Base_Données!Q497</f>
        <v>0</v>
      </c>
      <c r="E495" s="156">
        <f>Base_Données!BR497</f>
        <v>0</v>
      </c>
      <c r="F495" s="155">
        <f>Base_Données!R497</f>
        <v>0</v>
      </c>
      <c r="G495" s="154">
        <f>Base_Données!BS497</f>
        <v>0</v>
      </c>
      <c r="H495" s="155">
        <f>SIG!F495-SIG!G495</f>
        <v>0</v>
      </c>
      <c r="I495" s="159">
        <f>Base_Données!BI497+Base_Données!BJ497-Base_Données!GC497-Base_Données!GD497</f>
        <v>0</v>
      </c>
      <c r="J495" s="154">
        <f t="shared" si="14"/>
        <v>0</v>
      </c>
      <c r="K495" s="154">
        <f>Base_Données!BK497-Base_Données!GE497</f>
        <v>0</v>
      </c>
      <c r="L495" s="159">
        <f t="shared" si="15"/>
        <v>0</v>
      </c>
      <c r="M495" s="158">
        <f>Base_Données!S497</f>
        <v>0</v>
      </c>
      <c r="N495" s="154">
        <f>Base_Données!T497-(Base_Données!BU497+Base_Données!BZ497+Base_Données!CC497)</f>
        <v>0</v>
      </c>
      <c r="O495" s="154">
        <f>Base_Données!AC497+Base_Données!AL497-(Base_Données!CI497)</f>
        <v>0</v>
      </c>
      <c r="P495" s="154">
        <f>L495+Base_Données!GJ497+Base_Données!GE497+Base_Données!GB497+Base_Données!FV497+Base_Données!FS497+Base_Données!FO497+Base_Données!FE497-(Base_Données!BK497+Base_Données!BH497+Base_Données!AU497)</f>
        <v>0</v>
      </c>
      <c r="Q495" s="189">
        <f>P495+Base_Données!AV497-Base_Données!FE497-Base_Données!FO497</f>
        <v>0</v>
      </c>
      <c r="R495" s="329">
        <f>SIG!Q495+Base_Données!BD497+Base_Données!BH497+Base_Données!BL497+Base_Données!BM497+Base_Données!BN497-Base_Données!GB497-Base_Données!GJ497-Base_Données!GF497</f>
        <v>0</v>
      </c>
    </row>
    <row r="496" spans="1:18" customFormat="1" x14ac:dyDescent="0.25">
      <c r="A496" s="328">
        <f>Base_Données!A498</f>
        <v>0</v>
      </c>
      <c r="B496" s="181">
        <f>Base_Données!B498</f>
        <v>0</v>
      </c>
      <c r="C496" s="158">
        <f>Base_Données!C498</f>
        <v>0</v>
      </c>
      <c r="D496" s="156">
        <f>Base_Données!Q498</f>
        <v>0</v>
      </c>
      <c r="E496" s="156">
        <f>Base_Données!BR498</f>
        <v>0</v>
      </c>
      <c r="F496" s="155">
        <f>Base_Données!R498</f>
        <v>0</v>
      </c>
      <c r="G496" s="154">
        <f>Base_Données!BS498</f>
        <v>0</v>
      </c>
      <c r="H496" s="155">
        <f>SIG!F496-SIG!G496</f>
        <v>0</v>
      </c>
      <c r="I496" s="159">
        <f>Base_Données!BI498+Base_Données!BJ498-Base_Données!GC498-Base_Données!GD498</f>
        <v>0</v>
      </c>
      <c r="J496" s="154">
        <f t="shared" si="14"/>
        <v>0</v>
      </c>
      <c r="K496" s="154">
        <f>Base_Données!BK498-Base_Données!GE498</f>
        <v>0</v>
      </c>
      <c r="L496" s="159">
        <f t="shared" si="15"/>
        <v>0</v>
      </c>
      <c r="M496" s="158">
        <f>Base_Données!S498</f>
        <v>0</v>
      </c>
      <c r="N496" s="154">
        <f>Base_Données!T498-(Base_Données!BU498+Base_Données!BZ498+Base_Données!CC498)</f>
        <v>0</v>
      </c>
      <c r="O496" s="154">
        <f>Base_Données!AC498+Base_Données!AL498-(Base_Données!CI498)</f>
        <v>0</v>
      </c>
      <c r="P496" s="154">
        <f>L496+Base_Données!GJ498+Base_Données!GE498+Base_Données!GB498+Base_Données!FV498+Base_Données!FS498+Base_Données!FO498+Base_Données!FE498-(Base_Données!BK498+Base_Données!BH498+Base_Données!AU498)</f>
        <v>0</v>
      </c>
      <c r="Q496" s="189">
        <f>P496+Base_Données!AV498-Base_Données!FE498-Base_Données!FO498</f>
        <v>0</v>
      </c>
      <c r="R496" s="329">
        <f>SIG!Q496+Base_Données!BD498+Base_Données!BH498+Base_Données!BL498+Base_Données!BM498+Base_Données!BN498-Base_Données!GB498-Base_Données!GJ498-Base_Données!GF498</f>
        <v>0</v>
      </c>
    </row>
    <row r="497" spans="1:18" customFormat="1" x14ac:dyDescent="0.25">
      <c r="A497" s="328">
        <f>Base_Données!A499</f>
        <v>0</v>
      </c>
      <c r="B497" s="181">
        <f>Base_Données!B499</f>
        <v>0</v>
      </c>
      <c r="C497" s="158">
        <f>Base_Données!C499</f>
        <v>0</v>
      </c>
      <c r="D497" s="156">
        <f>Base_Données!Q499</f>
        <v>0</v>
      </c>
      <c r="E497" s="156">
        <f>Base_Données!BR499</f>
        <v>0</v>
      </c>
      <c r="F497" s="155">
        <f>Base_Données!R499</f>
        <v>0</v>
      </c>
      <c r="G497" s="154">
        <f>Base_Données!BS499</f>
        <v>0</v>
      </c>
      <c r="H497" s="155">
        <f>SIG!F497-SIG!G497</f>
        <v>0</v>
      </c>
      <c r="I497" s="159">
        <f>Base_Données!BI499+Base_Données!BJ499-Base_Données!GC499-Base_Données!GD499</f>
        <v>0</v>
      </c>
      <c r="J497" s="154">
        <f t="shared" si="14"/>
        <v>0</v>
      </c>
      <c r="K497" s="154">
        <f>Base_Données!BK499-Base_Données!GE499</f>
        <v>0</v>
      </c>
      <c r="L497" s="159">
        <f t="shared" si="15"/>
        <v>0</v>
      </c>
      <c r="M497" s="158">
        <f>Base_Données!S499</f>
        <v>0</v>
      </c>
      <c r="N497" s="154">
        <f>Base_Données!T499-(Base_Données!BU499+Base_Données!BZ499+Base_Données!CC499)</f>
        <v>0</v>
      </c>
      <c r="O497" s="154">
        <f>Base_Données!AC499+Base_Données!AL499-(Base_Données!CI499)</f>
        <v>0</v>
      </c>
      <c r="P497" s="154">
        <f>L497+Base_Données!GJ499+Base_Données!GE499+Base_Données!GB499+Base_Données!FV499+Base_Données!FS499+Base_Données!FO499+Base_Données!FE499-(Base_Données!BK499+Base_Données!BH499+Base_Données!AU499)</f>
        <v>0</v>
      </c>
      <c r="Q497" s="189">
        <f>P497+Base_Données!AV499-Base_Données!FE499-Base_Données!FO499</f>
        <v>0</v>
      </c>
      <c r="R497" s="329">
        <f>SIG!Q497+Base_Données!BD499+Base_Données!BH499+Base_Données!BL499+Base_Données!BM499+Base_Données!BN499-Base_Données!GB499-Base_Données!GJ499-Base_Données!GF499</f>
        <v>0</v>
      </c>
    </row>
  </sheetData>
  <conditionalFormatting sqref="P4:R4 L4:M497 P5:XFD497 A4:H497">
    <cfRule type="expression" dxfId="40" priority="1">
      <formula>IF($C4=2015,TRUE(),FALSE())</formula>
    </cfRule>
    <cfRule type="expression" dxfId="39" priority="2">
      <formula>IF($C4=2016,TRUE(),FALSE())</formula>
    </cfRule>
  </conditionalFormatting>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FF00"/>
  </sheetPr>
  <dimension ref="B1:I61"/>
  <sheetViews>
    <sheetView zoomScale="70" zoomScaleNormal="70" workbookViewId="0">
      <pane ySplit="2" topLeftCell="A3" activePane="bottomLeft" state="frozen"/>
      <selection activeCell="B1" sqref="B1"/>
      <selection pane="bottomLeft" activeCell="B6" sqref="B6"/>
    </sheetView>
  </sheetViews>
  <sheetFormatPr baseColWidth="10" defaultRowHeight="15.75" x14ac:dyDescent="0.25"/>
  <cols>
    <col min="2" max="2" width="26.42578125" customWidth="1"/>
    <col min="3" max="3" width="36.140625" customWidth="1"/>
    <col min="4" max="4" width="162.140625" style="170" customWidth="1"/>
    <col min="9" max="9" width="121.42578125" customWidth="1"/>
  </cols>
  <sheetData>
    <row r="1" spans="2:9" ht="47.45" customHeight="1" x14ac:dyDescent="0.25"/>
    <row r="2" spans="2:9" ht="21.6" customHeight="1" x14ac:dyDescent="0.3">
      <c r="B2" s="180" t="s">
        <v>233</v>
      </c>
      <c r="C2" s="179" t="s">
        <v>234</v>
      </c>
      <c r="D2" s="184" t="s">
        <v>236</v>
      </c>
    </row>
    <row r="3" spans="2:9" x14ac:dyDescent="0.25">
      <c r="B3" s="162" t="s">
        <v>237</v>
      </c>
      <c r="C3" s="161" t="s">
        <v>237</v>
      </c>
      <c r="D3" s="171" t="s">
        <v>237</v>
      </c>
    </row>
    <row r="4" spans="2:9" ht="165.95" customHeight="1" x14ac:dyDescent="0.25">
      <c r="B4" s="163" t="s">
        <v>249</v>
      </c>
      <c r="C4" s="166" t="s">
        <v>254</v>
      </c>
      <c r="D4" s="172"/>
      <c r="I4" s="167"/>
    </row>
    <row r="5" spans="2:9" ht="129.6" customHeight="1" x14ac:dyDescent="0.25">
      <c r="B5" s="164" t="s">
        <v>247</v>
      </c>
      <c r="C5" s="166" t="s">
        <v>248</v>
      </c>
      <c r="D5" s="173"/>
      <c r="I5" s="168"/>
    </row>
    <row r="6" spans="2:9" ht="354" customHeight="1" x14ac:dyDescent="0.25">
      <c r="B6" s="164" t="s">
        <v>246</v>
      </c>
      <c r="C6" s="166" t="s">
        <v>253</v>
      </c>
      <c r="D6" s="190" t="s">
        <v>396</v>
      </c>
      <c r="I6" s="168"/>
    </row>
    <row r="7" spans="2:9" ht="389.1" customHeight="1" x14ac:dyDescent="0.25">
      <c r="B7" s="164" t="s">
        <v>450</v>
      </c>
      <c r="C7" s="166" t="s">
        <v>451</v>
      </c>
      <c r="D7" s="190" t="s">
        <v>452</v>
      </c>
      <c r="I7" s="168"/>
    </row>
    <row r="8" spans="2:9" ht="354.6" customHeight="1" x14ac:dyDescent="0.25">
      <c r="B8" s="164" t="s">
        <v>250</v>
      </c>
      <c r="C8" s="166" t="s">
        <v>238</v>
      </c>
      <c r="D8" s="190" t="s">
        <v>397</v>
      </c>
      <c r="I8" s="167"/>
    </row>
    <row r="9" spans="2:9" ht="361.5" customHeight="1" x14ac:dyDescent="0.25">
      <c r="B9" s="164" t="s">
        <v>243</v>
      </c>
      <c r="C9" s="166" t="s">
        <v>239</v>
      </c>
      <c r="D9" s="191" t="s">
        <v>517</v>
      </c>
      <c r="I9" s="168"/>
    </row>
    <row r="10" spans="2:9" ht="354.6" customHeight="1" x14ac:dyDescent="0.25">
      <c r="B10" s="164" t="s">
        <v>395</v>
      </c>
      <c r="C10" s="166" t="s">
        <v>401</v>
      </c>
      <c r="D10" s="191" t="s">
        <v>566</v>
      </c>
      <c r="I10" s="168"/>
    </row>
    <row r="11" spans="2:9" ht="354" customHeight="1" x14ac:dyDescent="0.25">
      <c r="B11" s="165" t="s">
        <v>235</v>
      </c>
      <c r="C11" s="166" t="s">
        <v>240</v>
      </c>
      <c r="D11" s="173" t="s">
        <v>400</v>
      </c>
      <c r="I11" s="168"/>
    </row>
    <row r="12" spans="2:9" ht="348" customHeight="1" x14ac:dyDescent="0.25">
      <c r="B12" s="164" t="s">
        <v>244</v>
      </c>
      <c r="C12" s="166" t="s">
        <v>245</v>
      </c>
      <c r="D12" s="190" t="s">
        <v>398</v>
      </c>
      <c r="I12" s="169"/>
    </row>
    <row r="13" spans="2:9" ht="337.5" customHeight="1" x14ac:dyDescent="0.25">
      <c r="B13" s="164" t="s">
        <v>251</v>
      </c>
      <c r="C13" s="166" t="s">
        <v>252</v>
      </c>
      <c r="D13" s="174" t="s">
        <v>255</v>
      </c>
      <c r="I13" s="169"/>
    </row>
    <row r="14" spans="2:9" ht="354" customHeight="1" x14ac:dyDescent="0.25">
      <c r="B14" s="165" t="s">
        <v>232</v>
      </c>
      <c r="C14" s="166" t="s">
        <v>241</v>
      </c>
      <c r="D14" s="192" t="s">
        <v>399</v>
      </c>
      <c r="I14" s="167"/>
    </row>
    <row r="15" spans="2:9" ht="409.5" customHeight="1" x14ac:dyDescent="0.25">
      <c r="B15" s="165" t="s">
        <v>231</v>
      </c>
      <c r="C15" s="166" t="s">
        <v>242</v>
      </c>
      <c r="D15" s="174" t="s">
        <v>256</v>
      </c>
      <c r="I15" s="168"/>
    </row>
    <row r="16" spans="2:9" x14ac:dyDescent="0.25">
      <c r="D16" s="175"/>
      <c r="I16" s="168"/>
    </row>
    <row r="17" spans="4:9" x14ac:dyDescent="0.25">
      <c r="D17" s="176"/>
      <c r="I17" s="168"/>
    </row>
    <row r="18" spans="4:9" x14ac:dyDescent="0.25">
      <c r="D18" s="177"/>
      <c r="I18" s="168"/>
    </row>
    <row r="19" spans="4:9" x14ac:dyDescent="0.25">
      <c r="D19" s="178"/>
      <c r="I19" s="168"/>
    </row>
    <row r="20" spans="4:9" x14ac:dyDescent="0.25">
      <c r="D20" s="178"/>
      <c r="I20" s="168"/>
    </row>
    <row r="21" spans="4:9" x14ac:dyDescent="0.25">
      <c r="D21" s="176"/>
      <c r="I21" s="168"/>
    </row>
    <row r="22" spans="4:9" x14ac:dyDescent="0.25">
      <c r="D22" s="175"/>
      <c r="I22" s="168"/>
    </row>
    <row r="23" spans="4:9" x14ac:dyDescent="0.25">
      <c r="I23" s="168"/>
    </row>
    <row r="24" spans="4:9" x14ac:dyDescent="0.25">
      <c r="I24" s="169"/>
    </row>
    <row r="25" spans="4:9" x14ac:dyDescent="0.25">
      <c r="I25" s="168"/>
    </row>
    <row r="26" spans="4:9" x14ac:dyDescent="0.25">
      <c r="I26" s="168"/>
    </row>
    <row r="34" spans="4:4" x14ac:dyDescent="0.25">
      <c r="D34" s="170" t="s">
        <v>424</v>
      </c>
    </row>
    <row r="35" spans="4:4" x14ac:dyDescent="0.25">
      <c r="D35" s="170" t="s">
        <v>443</v>
      </c>
    </row>
    <row r="36" spans="4:4" x14ac:dyDescent="0.25">
      <c r="D36" s="170" t="s">
        <v>425</v>
      </c>
    </row>
    <row r="37" spans="4:4" x14ac:dyDescent="0.25">
      <c r="D37" s="170" t="s">
        <v>426</v>
      </c>
    </row>
    <row r="38" spans="4:4" x14ac:dyDescent="0.25">
      <c r="D38" s="170" t="s">
        <v>444</v>
      </c>
    </row>
    <row r="39" spans="4:4" x14ac:dyDescent="0.25">
      <c r="D39" s="170" t="s">
        <v>427</v>
      </c>
    </row>
    <row r="40" spans="4:4" x14ac:dyDescent="0.25">
      <c r="D40" s="170" t="s">
        <v>445</v>
      </c>
    </row>
    <row r="41" spans="4:4" x14ac:dyDescent="0.25">
      <c r="D41" s="170" t="s">
        <v>428</v>
      </c>
    </row>
    <row r="42" spans="4:4" x14ac:dyDescent="0.25">
      <c r="D42" s="170" t="s">
        <v>429</v>
      </c>
    </row>
    <row r="43" spans="4:4" x14ac:dyDescent="0.25">
      <c r="D43" s="170" t="s">
        <v>446</v>
      </c>
    </row>
    <row r="44" spans="4:4" x14ac:dyDescent="0.25">
      <c r="D44" s="170" t="s">
        <v>430</v>
      </c>
    </row>
    <row r="45" spans="4:4" x14ac:dyDescent="0.25">
      <c r="D45" s="170" t="s">
        <v>447</v>
      </c>
    </row>
    <row r="46" spans="4:4" x14ac:dyDescent="0.25">
      <c r="D46" s="170" t="s">
        <v>431</v>
      </c>
    </row>
    <row r="47" spans="4:4" x14ac:dyDescent="0.25">
      <c r="D47" s="170" t="s">
        <v>448</v>
      </c>
    </row>
    <row r="48" spans="4:4" x14ac:dyDescent="0.25">
      <c r="D48" s="170" t="s">
        <v>432</v>
      </c>
    </row>
    <row r="49" spans="4:4" x14ac:dyDescent="0.25">
      <c r="D49" s="170" t="s">
        <v>433</v>
      </c>
    </row>
    <row r="50" spans="4:4" x14ac:dyDescent="0.25">
      <c r="D50" s="170" t="s">
        <v>434</v>
      </c>
    </row>
    <row r="51" spans="4:4" x14ac:dyDescent="0.25">
      <c r="D51" s="170" t="s">
        <v>445</v>
      </c>
    </row>
    <row r="52" spans="4:4" x14ac:dyDescent="0.25">
      <c r="D52" s="170" t="s">
        <v>435</v>
      </c>
    </row>
    <row r="53" spans="4:4" x14ac:dyDescent="0.25">
      <c r="D53" s="170" t="s">
        <v>436</v>
      </c>
    </row>
    <row r="54" spans="4:4" x14ac:dyDescent="0.25">
      <c r="D54" s="170" t="s">
        <v>437</v>
      </c>
    </row>
    <row r="55" spans="4:4" x14ac:dyDescent="0.25">
      <c r="D55" s="170" t="s">
        <v>438</v>
      </c>
    </row>
    <row r="56" spans="4:4" x14ac:dyDescent="0.25">
      <c r="D56" s="170" t="s">
        <v>439</v>
      </c>
    </row>
    <row r="57" spans="4:4" x14ac:dyDescent="0.25">
      <c r="D57" s="170" t="s">
        <v>440</v>
      </c>
    </row>
    <row r="58" spans="4:4" x14ac:dyDescent="0.25">
      <c r="D58" s="170" t="s">
        <v>445</v>
      </c>
    </row>
    <row r="59" spans="4:4" x14ac:dyDescent="0.25">
      <c r="D59" s="170" t="s">
        <v>441</v>
      </c>
    </row>
    <row r="60" spans="4:4" x14ac:dyDescent="0.25">
      <c r="D60" s="170" t="s">
        <v>442</v>
      </c>
    </row>
    <row r="61" spans="4:4" x14ac:dyDescent="0.25">
      <c r="D61" s="170" t="s">
        <v>449</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Charge_explt_SIG_inf">
                <anchor moveWithCells="1" sizeWithCells="1">
                  <from>
                    <xdr:col>1</xdr:col>
                    <xdr:colOff>38100</xdr:colOff>
                    <xdr:row>0</xdr:row>
                    <xdr:rowOff>0</xdr:rowOff>
                  </from>
                  <to>
                    <xdr:col>2</xdr:col>
                    <xdr:colOff>0</xdr:colOff>
                    <xdr:row>0</xdr:row>
                    <xdr:rowOff>180975</xdr:rowOff>
                  </to>
                </anchor>
              </controlPr>
            </control>
          </mc:Choice>
        </mc:AlternateContent>
        <mc:AlternateContent xmlns:mc="http://schemas.openxmlformats.org/markup-compatibility/2006">
          <mc:Choice Requires="x14">
            <control shapeId="4098" r:id="rId5" name="Button 2">
              <controlPr defaultSize="0" print="0" autoFill="0" autoPict="0" macro="[0]!Produit_explt_SIG_inf">
                <anchor moveWithCells="1" sizeWithCells="1">
                  <from>
                    <xdr:col>1</xdr:col>
                    <xdr:colOff>38100</xdr:colOff>
                    <xdr:row>0</xdr:row>
                    <xdr:rowOff>200025</xdr:rowOff>
                  </from>
                  <to>
                    <xdr:col>1</xdr:col>
                    <xdr:colOff>1857375</xdr:colOff>
                    <xdr:row>0</xdr:row>
                    <xdr:rowOff>381000</xdr:rowOff>
                  </to>
                </anchor>
              </controlPr>
            </control>
          </mc:Choice>
        </mc:AlternateContent>
        <mc:AlternateContent xmlns:mc="http://schemas.openxmlformats.org/markup-compatibility/2006">
          <mc:Choice Requires="x14">
            <control shapeId="4099" r:id="rId6" name="Button 3">
              <controlPr defaultSize="0" print="0" autoFill="0" autoPict="0" macro="[0]!chiffre_affaire_SIG_inf">
                <anchor moveWithCells="1" sizeWithCells="1">
                  <from>
                    <xdr:col>1</xdr:col>
                    <xdr:colOff>19050</xdr:colOff>
                    <xdr:row>0</xdr:row>
                    <xdr:rowOff>400050</xdr:rowOff>
                  </from>
                  <to>
                    <xdr:col>1</xdr:col>
                    <xdr:colOff>1857375</xdr:colOff>
                    <xdr:row>0</xdr:row>
                    <xdr:rowOff>590550</xdr:rowOff>
                  </to>
                </anchor>
              </controlPr>
            </control>
          </mc:Choice>
        </mc:AlternateContent>
        <mc:AlternateContent xmlns:mc="http://schemas.openxmlformats.org/markup-compatibility/2006">
          <mc:Choice Requires="x14">
            <control shapeId="4100" r:id="rId7" name="Button 4">
              <controlPr defaultSize="0" print="0" autoFill="0" autoPict="0" macro="[0]!Valeur_ajoutée_SIG_inf">
                <anchor moveWithCells="1" sizeWithCells="1">
                  <from>
                    <xdr:col>2</xdr:col>
                    <xdr:colOff>19050</xdr:colOff>
                    <xdr:row>0</xdr:row>
                    <xdr:rowOff>219075</xdr:rowOff>
                  </from>
                  <to>
                    <xdr:col>2</xdr:col>
                    <xdr:colOff>1647825</xdr:colOff>
                    <xdr:row>0</xdr:row>
                    <xdr:rowOff>390525</xdr:rowOff>
                  </to>
                </anchor>
              </controlPr>
            </control>
          </mc:Choice>
        </mc:AlternateContent>
        <mc:AlternateContent xmlns:mc="http://schemas.openxmlformats.org/markup-compatibility/2006">
          <mc:Choice Requires="x14">
            <control shapeId="4102" r:id="rId8" name="Button 6">
              <controlPr defaultSize="0" print="0" autoFill="0" autoPict="0" macro="[0]!EBE_SIG_inf">
                <anchor moveWithCells="1" sizeWithCells="1">
                  <from>
                    <xdr:col>2</xdr:col>
                    <xdr:colOff>9525</xdr:colOff>
                    <xdr:row>0</xdr:row>
                    <xdr:rowOff>390525</xdr:rowOff>
                  </from>
                  <to>
                    <xdr:col>2</xdr:col>
                    <xdr:colOff>1628775</xdr:colOff>
                    <xdr:row>0</xdr:row>
                    <xdr:rowOff>581025</xdr:rowOff>
                  </to>
                </anchor>
              </controlPr>
            </control>
          </mc:Choice>
        </mc:AlternateContent>
        <mc:AlternateContent xmlns:mc="http://schemas.openxmlformats.org/markup-compatibility/2006">
          <mc:Choice Requires="x14">
            <control shapeId="4103" r:id="rId9" name="Button 7">
              <controlPr defaultSize="0" print="0" autoFill="0" autoPict="0" macro="[0]!CAF_SIG_ing">
                <anchor moveWithCells="1" sizeWithCells="1">
                  <from>
                    <xdr:col>2</xdr:col>
                    <xdr:colOff>1647825</xdr:colOff>
                    <xdr:row>0</xdr:row>
                    <xdr:rowOff>419100</xdr:rowOff>
                  </from>
                  <to>
                    <xdr:col>3</xdr:col>
                    <xdr:colOff>581025</xdr:colOff>
                    <xdr:row>0</xdr:row>
                    <xdr:rowOff>600075</xdr:rowOff>
                  </to>
                </anchor>
              </controlPr>
            </control>
          </mc:Choice>
        </mc:AlternateContent>
        <mc:AlternateContent xmlns:mc="http://schemas.openxmlformats.org/markup-compatibility/2006">
          <mc:Choice Requires="x14">
            <control shapeId="4104" r:id="rId10" name="Button 8">
              <controlPr defaultSize="0" print="0" autoFill="0" autoPict="0" macro="[0]!r_explt_SIG_inf">
                <anchor moveWithCells="1" sizeWithCells="1">
                  <from>
                    <xdr:col>2</xdr:col>
                    <xdr:colOff>1647825</xdr:colOff>
                    <xdr:row>0</xdr:row>
                    <xdr:rowOff>9525</xdr:rowOff>
                  </from>
                  <to>
                    <xdr:col>3</xdr:col>
                    <xdr:colOff>590550</xdr:colOff>
                    <xdr:row>0</xdr:row>
                    <xdr:rowOff>209550</xdr:rowOff>
                  </to>
                </anchor>
              </controlPr>
            </control>
          </mc:Choice>
        </mc:AlternateContent>
        <mc:AlternateContent xmlns:mc="http://schemas.openxmlformats.org/markup-compatibility/2006">
          <mc:Choice Requires="x14">
            <control shapeId="4105" r:id="rId11" name="Button 9">
              <controlPr defaultSize="0" print="0" autoFill="0" autoPict="0" macro="[0]!r_financier_SIG_inf">
                <anchor moveWithCells="1" sizeWithCells="1">
                  <from>
                    <xdr:col>2</xdr:col>
                    <xdr:colOff>1647825</xdr:colOff>
                    <xdr:row>0</xdr:row>
                    <xdr:rowOff>209550</xdr:rowOff>
                  </from>
                  <to>
                    <xdr:col>3</xdr:col>
                    <xdr:colOff>590550</xdr:colOff>
                    <xdr:row>0</xdr:row>
                    <xdr:rowOff>409575</xdr:rowOff>
                  </to>
                </anchor>
              </controlPr>
            </control>
          </mc:Choice>
        </mc:AlternateContent>
        <mc:AlternateContent xmlns:mc="http://schemas.openxmlformats.org/markup-compatibility/2006">
          <mc:Choice Requires="x14">
            <control shapeId="4106" r:id="rId12" name="Button 10">
              <controlPr defaultSize="0" print="0" autoFill="0" autoPict="0" macro="[0]!r_exceptionnel_SIG_inf">
                <anchor moveWithCells="1" sizeWithCells="1">
                  <from>
                    <xdr:col>3</xdr:col>
                    <xdr:colOff>600075</xdr:colOff>
                    <xdr:row>0</xdr:row>
                    <xdr:rowOff>0</xdr:rowOff>
                  </from>
                  <to>
                    <xdr:col>3</xdr:col>
                    <xdr:colOff>2009775</xdr:colOff>
                    <xdr:row>0</xdr:row>
                    <xdr:rowOff>190500</xdr:rowOff>
                  </to>
                </anchor>
              </controlPr>
            </control>
          </mc:Choice>
        </mc:AlternateContent>
        <mc:AlternateContent xmlns:mc="http://schemas.openxmlformats.org/markup-compatibility/2006">
          <mc:Choice Requires="x14">
            <control shapeId="4107" r:id="rId13" name="Button 11">
              <controlPr defaultSize="0" print="0" autoFill="0" autoPict="0" macro="[0]!rcai_SIG_inf">
                <anchor moveWithCells="1" sizeWithCells="1">
                  <from>
                    <xdr:col>3</xdr:col>
                    <xdr:colOff>600075</xdr:colOff>
                    <xdr:row>0</xdr:row>
                    <xdr:rowOff>190500</xdr:rowOff>
                  </from>
                  <to>
                    <xdr:col>3</xdr:col>
                    <xdr:colOff>2009775</xdr:colOff>
                    <xdr:row>0</xdr:row>
                    <xdr:rowOff>390525</xdr:rowOff>
                  </to>
                </anchor>
              </controlPr>
            </control>
          </mc:Choice>
        </mc:AlternateContent>
        <mc:AlternateContent xmlns:mc="http://schemas.openxmlformats.org/markup-compatibility/2006">
          <mc:Choice Requires="x14">
            <control shapeId="4108" r:id="rId14" name="Button 12">
              <controlPr defaultSize="0" print="0" autoFill="0" autoPict="0" macro="[0]!r_net_SIG_inf">
                <anchor moveWithCells="1" sizeWithCells="1">
                  <from>
                    <xdr:col>3</xdr:col>
                    <xdr:colOff>590550</xdr:colOff>
                    <xdr:row>0</xdr:row>
                    <xdr:rowOff>400050</xdr:rowOff>
                  </from>
                  <to>
                    <xdr:col>3</xdr:col>
                    <xdr:colOff>2009775</xdr:colOff>
                    <xdr:row>1</xdr:row>
                    <xdr:rowOff>0</xdr:rowOff>
                  </to>
                </anchor>
              </controlPr>
            </control>
          </mc:Choice>
        </mc:AlternateContent>
        <mc:AlternateContent xmlns:mc="http://schemas.openxmlformats.org/markup-compatibility/2006">
          <mc:Choice Requires="x14">
            <control shapeId="4109" r:id="rId15" name="Button 13">
              <controlPr defaultSize="0" print="0" autoFill="0" autoPict="0" macro="[0]!Taux_marge_SIG_inf">
                <anchor moveWithCells="1" sizeWithCells="1">
                  <from>
                    <xdr:col>2</xdr:col>
                    <xdr:colOff>9525</xdr:colOff>
                    <xdr:row>0</xdr:row>
                    <xdr:rowOff>19050</xdr:rowOff>
                  </from>
                  <to>
                    <xdr:col>2</xdr:col>
                    <xdr:colOff>1609725</xdr:colOff>
                    <xdr:row>0</xdr:row>
                    <xdr:rowOff>200025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00CC00"/>
  </sheetPr>
  <dimension ref="A1:AI152"/>
  <sheetViews>
    <sheetView zoomScale="70" zoomScaleNormal="70" workbookViewId="0">
      <pane ySplit="2" topLeftCell="A18" activePane="bottomLeft" state="frozen"/>
      <selection pane="bottomLeft" activeCell="A70" sqref="A70"/>
    </sheetView>
  </sheetViews>
  <sheetFormatPr baseColWidth="10" defaultRowHeight="15" x14ac:dyDescent="0.25"/>
  <cols>
    <col min="1" max="1" width="73.5703125" bestFit="1" customWidth="1"/>
    <col min="2" max="2" width="14.85546875" bestFit="1" customWidth="1"/>
    <col min="3" max="3" width="15.140625" bestFit="1" customWidth="1"/>
    <col min="4" max="4" width="14.85546875" bestFit="1" customWidth="1"/>
    <col min="5" max="5" width="15.140625" bestFit="1" customWidth="1"/>
    <col min="6" max="6" width="15.140625" hidden="1" customWidth="1"/>
    <col min="7" max="9" width="11" hidden="1" customWidth="1"/>
    <col min="10" max="16" width="10.85546875" style="123"/>
    <col min="17" max="17" width="13.7109375" style="123" customWidth="1"/>
    <col min="18" max="18" width="13.85546875" style="123" bestFit="1" customWidth="1"/>
    <col min="19" max="35" width="10.85546875" style="123"/>
  </cols>
  <sheetData>
    <row r="1" spans="1:35" s="213" customFormat="1" ht="36" customHeight="1" x14ac:dyDescent="0.25">
      <c r="A1" s="423" t="s">
        <v>544</v>
      </c>
      <c r="B1" s="256"/>
      <c r="C1" s="257"/>
      <c r="D1" s="425"/>
      <c r="E1" s="426"/>
      <c r="F1" s="251"/>
      <c r="G1" s="251"/>
      <c r="H1" s="251"/>
      <c r="I1" s="251"/>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row>
    <row r="2" spans="1:35" s="213" customFormat="1" ht="17.45" customHeight="1" x14ac:dyDescent="0.3">
      <c r="A2" s="424"/>
      <c r="B2" s="258">
        <v>2012</v>
      </c>
      <c r="C2" s="258">
        <v>2013</v>
      </c>
      <c r="D2" s="258">
        <v>2014</v>
      </c>
      <c r="E2" s="258">
        <v>2015</v>
      </c>
      <c r="F2" s="251"/>
      <c r="G2" s="251"/>
      <c r="H2" s="251"/>
      <c r="I2" s="251"/>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5" ht="29.1" customHeight="1" x14ac:dyDescent="0.3">
      <c r="A3" s="252" t="s">
        <v>557</v>
      </c>
      <c r="B3" s="218" t="s">
        <v>496</v>
      </c>
      <c r="C3" s="218" t="s">
        <v>495</v>
      </c>
      <c r="D3" s="218" t="s">
        <v>494</v>
      </c>
      <c r="E3" s="218" t="s">
        <v>493</v>
      </c>
      <c r="F3" s="219" t="s">
        <v>527</v>
      </c>
      <c r="G3" s="219" t="s">
        <v>528</v>
      </c>
      <c r="H3" s="219" t="s">
        <v>529</v>
      </c>
      <c r="I3" s="219" t="s">
        <v>530</v>
      </c>
    </row>
    <row r="4" spans="1:35" ht="23.1" customHeight="1" x14ac:dyDescent="0.25">
      <c r="A4" s="229" t="s">
        <v>478</v>
      </c>
      <c r="B4" s="225">
        <v>1371874</v>
      </c>
      <c r="C4" s="225">
        <v>1418134</v>
      </c>
      <c r="D4" s="225">
        <v>1568377</v>
      </c>
      <c r="E4" s="225">
        <v>1549661</v>
      </c>
      <c r="F4" s="223">
        <f>((C4-B4)/B4)*100</f>
        <v>3.3720297928235397</v>
      </c>
      <c r="G4" s="223">
        <f>((D4-C4)/C4)*100</f>
        <v>10.594414914246467</v>
      </c>
      <c r="H4" s="223">
        <f>((E4-D4)/D4)*100</f>
        <v>-1.1933355309342077</v>
      </c>
      <c r="I4" s="223">
        <f>((E4-B4)/B4)*100</f>
        <v>12.959426302998672</v>
      </c>
    </row>
    <row r="5" spans="1:35" x14ac:dyDescent="0.25">
      <c r="A5" s="280" t="s">
        <v>479</v>
      </c>
      <c r="B5" s="254">
        <v>89362</v>
      </c>
      <c r="C5" s="255">
        <v>107166</v>
      </c>
      <c r="D5" s="255">
        <v>152224</v>
      </c>
      <c r="E5" s="255">
        <v>138364</v>
      </c>
      <c r="F5" s="223">
        <f t="shared" ref="F5:F46" si="0">((C5-B5)/B5)*100</f>
        <v>19.923457397999151</v>
      </c>
      <c r="G5" s="223">
        <f t="shared" ref="G5:G46" si="1">((D5-C5)/C5)*100</f>
        <v>42.045051602187264</v>
      </c>
      <c r="H5" s="223">
        <f t="shared" ref="H5:H46" si="2">((E5-D5)/D5)*100</f>
        <v>-9.1050031532478446</v>
      </c>
      <c r="I5" s="223">
        <f t="shared" ref="I5:I46" si="3">((E5-B5)/B5)*100</f>
        <v>54.835388643942615</v>
      </c>
    </row>
    <row r="6" spans="1:35" x14ac:dyDescent="0.25">
      <c r="A6" s="224" t="s">
        <v>480</v>
      </c>
      <c r="B6" s="254">
        <v>1282512</v>
      </c>
      <c r="C6" s="255">
        <v>1310969</v>
      </c>
      <c r="D6" s="255">
        <v>1416153</v>
      </c>
      <c r="E6" s="255">
        <v>1411297</v>
      </c>
      <c r="F6" s="223">
        <f t="shared" si="0"/>
        <v>2.2188486345546865</v>
      </c>
      <c r="G6" s="223">
        <f t="shared" si="1"/>
        <v>8.0233781271715809</v>
      </c>
      <c r="H6" s="223">
        <f t="shared" si="2"/>
        <v>-0.34290080238505305</v>
      </c>
      <c r="I6" s="223">
        <f t="shared" si="3"/>
        <v>10.041621442918274</v>
      </c>
    </row>
    <row r="7" spans="1:35" x14ac:dyDescent="0.25">
      <c r="A7" s="224" t="s">
        <v>481</v>
      </c>
      <c r="B7" s="228">
        <v>4802</v>
      </c>
      <c r="C7" s="227">
        <v>4354</v>
      </c>
      <c r="D7" s="227">
        <v>11873</v>
      </c>
      <c r="E7" s="227">
        <v>900</v>
      </c>
      <c r="F7" s="223">
        <f t="shared" si="0"/>
        <v>-9.3294460641399422</v>
      </c>
      <c r="G7" s="223">
        <f t="shared" si="1"/>
        <v>172.69177767570051</v>
      </c>
      <c r="H7" s="223">
        <f t="shared" si="2"/>
        <v>-92.419775962267323</v>
      </c>
      <c r="I7" s="223">
        <f t="shared" si="3"/>
        <v>-81.257809246147445</v>
      </c>
    </row>
    <row r="8" spans="1:35" x14ac:dyDescent="0.25">
      <c r="A8" s="224" t="s">
        <v>482</v>
      </c>
      <c r="B8" s="254">
        <v>136</v>
      </c>
      <c r="C8" s="255">
        <v>-1577</v>
      </c>
      <c r="D8" s="255">
        <v>413</v>
      </c>
      <c r="E8" s="255">
        <v>69</v>
      </c>
      <c r="F8" s="223">
        <f t="shared" si="0"/>
        <v>-1259.5588235294117</v>
      </c>
      <c r="G8" s="223">
        <f t="shared" si="1"/>
        <v>-126.18896639188333</v>
      </c>
      <c r="H8" s="223">
        <f t="shared" si="2"/>
        <v>-83.292978208232455</v>
      </c>
      <c r="I8" s="223">
        <f t="shared" si="3"/>
        <v>-49.264705882352942</v>
      </c>
    </row>
    <row r="9" spans="1:35" x14ac:dyDescent="0.25">
      <c r="A9" s="229" t="s">
        <v>483</v>
      </c>
      <c r="B9" s="225">
        <v>1287450</v>
      </c>
      <c r="C9" s="226">
        <v>1313746</v>
      </c>
      <c r="D9" s="226">
        <v>1428439</v>
      </c>
      <c r="E9" s="226">
        <v>1412265</v>
      </c>
      <c r="F9" s="223">
        <f t="shared" si="0"/>
        <v>2.0424870868771605</v>
      </c>
      <c r="G9" s="223">
        <f t="shared" si="1"/>
        <v>8.730226390793959</v>
      </c>
      <c r="H9" s="223">
        <f t="shared" si="2"/>
        <v>-1.132284962816053</v>
      </c>
      <c r="I9" s="223">
        <f t="shared" si="3"/>
        <v>9.6947454270068736</v>
      </c>
    </row>
    <row r="10" spans="1:35" x14ac:dyDescent="0.25">
      <c r="A10" s="229" t="s">
        <v>484</v>
      </c>
      <c r="B10" s="225">
        <v>45872</v>
      </c>
      <c r="C10" s="226">
        <v>44828</v>
      </c>
      <c r="D10" s="226">
        <v>47953</v>
      </c>
      <c r="E10" s="226">
        <v>35926</v>
      </c>
      <c r="F10" s="223">
        <f t="shared" si="0"/>
        <v>-2.2758981513777465</v>
      </c>
      <c r="G10" s="223">
        <f t="shared" si="1"/>
        <v>6.9710894976354059</v>
      </c>
      <c r="H10" s="223">
        <f t="shared" si="2"/>
        <v>-25.080808291452044</v>
      </c>
      <c r="I10" s="223">
        <f t="shared" si="3"/>
        <v>-21.682071852110219</v>
      </c>
    </row>
    <row r="11" spans="1:35" x14ac:dyDescent="0.25">
      <c r="A11" s="229" t="s">
        <v>477</v>
      </c>
      <c r="B11" s="225">
        <v>30859</v>
      </c>
      <c r="C11" s="226">
        <v>32231</v>
      </c>
      <c r="D11" s="226">
        <v>41629</v>
      </c>
      <c r="E11" s="226">
        <v>27553</v>
      </c>
      <c r="F11" s="223">
        <f t="shared" si="0"/>
        <v>4.4460287112349723</v>
      </c>
      <c r="G11" s="223">
        <f t="shared" si="1"/>
        <v>29.158263783314204</v>
      </c>
      <c r="H11" s="223">
        <f t="shared" si="2"/>
        <v>-33.812966922097573</v>
      </c>
      <c r="I11" s="223">
        <f t="shared" si="3"/>
        <v>-10.713244110308176</v>
      </c>
    </row>
    <row r="12" spans="1:35" x14ac:dyDescent="0.25">
      <c r="A12" s="229" t="s">
        <v>485</v>
      </c>
      <c r="B12" s="225">
        <v>12433</v>
      </c>
      <c r="C12" s="226">
        <v>15728</v>
      </c>
      <c r="D12" s="226">
        <v>16746</v>
      </c>
      <c r="E12" s="226">
        <v>15397</v>
      </c>
      <c r="F12" s="223">
        <f t="shared" si="0"/>
        <v>26.502050993324218</v>
      </c>
      <c r="G12" s="223">
        <f t="shared" si="1"/>
        <v>6.4725330620549348</v>
      </c>
      <c r="H12" s="223">
        <f t="shared" si="2"/>
        <v>-8.0556550818105812</v>
      </c>
      <c r="I12" s="223">
        <f t="shared" si="3"/>
        <v>23.839781227378751</v>
      </c>
    </row>
    <row r="13" spans="1:35" x14ac:dyDescent="0.25">
      <c r="A13" s="229" t="s">
        <v>486</v>
      </c>
      <c r="B13" s="225">
        <v>1465977</v>
      </c>
      <c r="C13" s="226">
        <v>1513698</v>
      </c>
      <c r="D13" s="226">
        <v>1686992</v>
      </c>
      <c r="E13" s="226">
        <v>1629505</v>
      </c>
      <c r="F13" s="223">
        <f t="shared" si="0"/>
        <v>3.2552352458462859</v>
      </c>
      <c r="G13" s="223">
        <f t="shared" si="1"/>
        <v>11.448386666296711</v>
      </c>
      <c r="H13" s="223">
        <f t="shared" si="2"/>
        <v>-3.407662869770574</v>
      </c>
      <c r="I13" s="223">
        <f t="shared" si="3"/>
        <v>11.154881693232568</v>
      </c>
    </row>
    <row r="14" spans="1:35" x14ac:dyDescent="0.25">
      <c r="A14" s="227" t="s">
        <v>487</v>
      </c>
      <c r="B14" s="227">
        <v>12152</v>
      </c>
      <c r="C14" s="227">
        <v>20213</v>
      </c>
      <c r="D14" s="227">
        <v>63209</v>
      </c>
      <c r="E14" s="227">
        <v>51213</v>
      </c>
      <c r="F14" s="230">
        <f t="shared" si="0"/>
        <v>66.334759710335746</v>
      </c>
      <c r="G14" s="230">
        <f t="shared" si="1"/>
        <v>212.7145896205412</v>
      </c>
      <c r="H14" s="230">
        <f t="shared" si="2"/>
        <v>-18.978310050783907</v>
      </c>
      <c r="I14" s="230">
        <f t="shared" si="3"/>
        <v>321.43680052666224</v>
      </c>
    </row>
    <row r="15" spans="1:35" x14ac:dyDescent="0.25">
      <c r="A15" s="227" t="s">
        <v>488</v>
      </c>
      <c r="B15" s="227">
        <v>-143</v>
      </c>
      <c r="C15" s="227">
        <v>2874</v>
      </c>
      <c r="D15" s="227">
        <v>-626</v>
      </c>
      <c r="E15" s="227">
        <v>5525</v>
      </c>
      <c r="F15" s="230">
        <f t="shared" si="0"/>
        <v>-2109.7902097902097</v>
      </c>
      <c r="G15" s="230">
        <f t="shared" si="1"/>
        <v>-121.78148921363953</v>
      </c>
      <c r="H15" s="230">
        <f t="shared" si="2"/>
        <v>-982.58785942492</v>
      </c>
      <c r="I15" s="230">
        <f t="shared" si="3"/>
        <v>-3963.6363636363635</v>
      </c>
    </row>
    <row r="16" spans="1:35" x14ac:dyDescent="0.25">
      <c r="A16" s="227" t="s">
        <v>489</v>
      </c>
      <c r="B16" s="227">
        <v>178494</v>
      </c>
      <c r="C16" s="227">
        <v>171852</v>
      </c>
      <c r="D16" s="227">
        <v>179708</v>
      </c>
      <c r="E16" s="227">
        <v>198078</v>
      </c>
      <c r="F16" s="230">
        <f t="shared" si="0"/>
        <v>-3.7211334834784364</v>
      </c>
      <c r="G16" s="230">
        <f t="shared" si="1"/>
        <v>4.5713753695039916</v>
      </c>
      <c r="H16" s="230">
        <f t="shared" si="2"/>
        <v>10.222138135197097</v>
      </c>
      <c r="I16" s="230">
        <f t="shared" si="3"/>
        <v>10.971797371340212</v>
      </c>
    </row>
    <row r="17" spans="1:9" x14ac:dyDescent="0.25">
      <c r="A17" s="227" t="s">
        <v>490</v>
      </c>
      <c r="B17" s="227">
        <v>-152</v>
      </c>
      <c r="C17" s="227">
        <v>-95</v>
      </c>
      <c r="D17" s="227">
        <v>-8</v>
      </c>
      <c r="E17" s="227">
        <v>-94</v>
      </c>
      <c r="F17" s="230">
        <f t="shared" si="0"/>
        <v>-37.5</v>
      </c>
      <c r="G17" s="230">
        <f t="shared" si="1"/>
        <v>-91.578947368421055</v>
      </c>
      <c r="H17" s="230">
        <f t="shared" si="2"/>
        <v>1075</v>
      </c>
      <c r="I17" s="230">
        <f t="shared" si="3"/>
        <v>-38.15789473684211</v>
      </c>
    </row>
    <row r="18" spans="1:9" ht="22.5" customHeight="1" x14ac:dyDescent="0.25">
      <c r="A18" s="220" t="s">
        <v>491</v>
      </c>
      <c r="B18" s="221">
        <f>SUM(B14:B16)</f>
        <v>190503</v>
      </c>
      <c r="C18" s="222">
        <f>SUM(C14:C16)</f>
        <v>194939</v>
      </c>
      <c r="D18" s="222">
        <f>SUM(D14:D16)</f>
        <v>242291</v>
      </c>
      <c r="E18" s="222">
        <f>SUM(E14:E16)</f>
        <v>254816</v>
      </c>
      <c r="F18" s="223">
        <f t="shared" si="0"/>
        <v>2.3285722534553259</v>
      </c>
      <c r="G18" s="223">
        <f t="shared" si="1"/>
        <v>24.29067554465756</v>
      </c>
      <c r="H18" s="223">
        <f t="shared" si="2"/>
        <v>5.16940373352704</v>
      </c>
      <c r="I18" s="223">
        <f t="shared" si="3"/>
        <v>33.759573340052391</v>
      </c>
    </row>
    <row r="19" spans="1:9" x14ac:dyDescent="0.25">
      <c r="A19" s="227" t="s">
        <v>492</v>
      </c>
      <c r="B19" s="228">
        <v>3001</v>
      </c>
      <c r="C19" s="228">
        <v>4328</v>
      </c>
      <c r="D19" s="228">
        <v>5052</v>
      </c>
      <c r="E19" s="228">
        <v>3892</v>
      </c>
      <c r="F19" s="230">
        <f t="shared" si="0"/>
        <v>44.218593802065982</v>
      </c>
      <c r="G19" s="230">
        <f t="shared" si="1"/>
        <v>16.728280961182996</v>
      </c>
      <c r="H19" s="230">
        <f t="shared" si="2"/>
        <v>-22.961203483768806</v>
      </c>
      <c r="I19" s="230">
        <f t="shared" si="3"/>
        <v>29.690103298900368</v>
      </c>
    </row>
    <row r="20" spans="1:9" x14ac:dyDescent="0.25">
      <c r="A20" s="227" t="s">
        <v>455</v>
      </c>
      <c r="B20" s="228">
        <v>25106</v>
      </c>
      <c r="C20" s="228">
        <v>22923</v>
      </c>
      <c r="D20" s="228">
        <v>20145</v>
      </c>
      <c r="E20" s="228">
        <v>18768</v>
      </c>
      <c r="F20" s="230">
        <f t="shared" si="0"/>
        <v>-8.6951326376165063</v>
      </c>
      <c r="G20" s="230">
        <f t="shared" si="1"/>
        <v>-12.118832613532259</v>
      </c>
      <c r="H20" s="230">
        <f t="shared" si="2"/>
        <v>-6.8354430379746836</v>
      </c>
      <c r="I20" s="230">
        <f t="shared" si="3"/>
        <v>-25.244961363817414</v>
      </c>
    </row>
    <row r="21" spans="1:9" ht="22.5" customHeight="1" x14ac:dyDescent="0.25">
      <c r="A21" s="229" t="s">
        <v>456</v>
      </c>
      <c r="B21" s="225">
        <v>757694</v>
      </c>
      <c r="C21" s="226">
        <v>763582</v>
      </c>
      <c r="D21" s="226">
        <v>806890</v>
      </c>
      <c r="E21" s="226">
        <v>791145</v>
      </c>
      <c r="F21" s="223">
        <f t="shared" si="0"/>
        <v>0.77709471105749817</v>
      </c>
      <c r="G21" s="223">
        <f t="shared" si="1"/>
        <v>5.6716894845609245</v>
      </c>
      <c r="H21" s="223">
        <f t="shared" si="2"/>
        <v>-1.9513192628487153</v>
      </c>
      <c r="I21" s="223">
        <f t="shared" si="3"/>
        <v>4.4148429313152802</v>
      </c>
    </row>
    <row r="22" spans="1:9" x14ac:dyDescent="0.25">
      <c r="A22" s="229" t="s">
        <v>457</v>
      </c>
      <c r="B22" s="225">
        <v>48052</v>
      </c>
      <c r="C22" s="225">
        <v>48486</v>
      </c>
      <c r="D22" s="225">
        <v>49321</v>
      </c>
      <c r="E22" s="225">
        <v>49989</v>
      </c>
      <c r="F22" s="223">
        <f t="shared" si="0"/>
        <v>0.90318821276949968</v>
      </c>
      <c r="G22" s="223">
        <f t="shared" si="1"/>
        <v>1.7221465990182732</v>
      </c>
      <c r="H22" s="223">
        <f t="shared" si="2"/>
        <v>1.3543926522171084</v>
      </c>
      <c r="I22" s="223">
        <f t="shared" si="3"/>
        <v>4.0310496961624906</v>
      </c>
    </row>
    <row r="23" spans="1:9" x14ac:dyDescent="0.25">
      <c r="A23" s="227" t="s">
        <v>458</v>
      </c>
      <c r="B23" s="228">
        <v>227089</v>
      </c>
      <c r="C23" s="227">
        <v>215487</v>
      </c>
      <c r="D23" s="227">
        <v>216485</v>
      </c>
      <c r="E23" s="227">
        <v>216227</v>
      </c>
      <c r="F23" s="230">
        <f t="shared" si="0"/>
        <v>-5.109010123784067</v>
      </c>
      <c r="G23" s="230">
        <f t="shared" si="1"/>
        <v>0.46313698738206943</v>
      </c>
      <c r="H23" s="230">
        <f t="shared" si="2"/>
        <v>-0.11917684828048132</v>
      </c>
      <c r="I23" s="230">
        <f t="shared" si="3"/>
        <v>-4.7831466957888757</v>
      </c>
    </row>
    <row r="24" spans="1:9" x14ac:dyDescent="0.25">
      <c r="A24" s="227" t="s">
        <v>459</v>
      </c>
      <c r="B24" s="228">
        <v>90044</v>
      </c>
      <c r="C24" s="228">
        <v>77169</v>
      </c>
      <c r="D24" s="228">
        <v>74995</v>
      </c>
      <c r="E24" s="228">
        <v>74013</v>
      </c>
      <c r="F24" s="230">
        <f t="shared" si="0"/>
        <v>-14.298565145928658</v>
      </c>
      <c r="G24" s="230">
        <f t="shared" si="1"/>
        <v>-2.8171934325959906</v>
      </c>
      <c r="H24" s="230">
        <f t="shared" si="2"/>
        <v>-1.3094206280418694</v>
      </c>
      <c r="I24" s="230">
        <f t="shared" si="3"/>
        <v>-17.803518279952023</v>
      </c>
    </row>
    <row r="25" spans="1:9" ht="21.95" customHeight="1" x14ac:dyDescent="0.25">
      <c r="A25" s="229" t="s">
        <v>460</v>
      </c>
      <c r="B25" s="225">
        <v>317133</v>
      </c>
      <c r="C25" s="225">
        <v>292656</v>
      </c>
      <c r="D25" s="225">
        <v>291480</v>
      </c>
      <c r="E25" s="225">
        <v>290240</v>
      </c>
      <c r="F25" s="223">
        <f t="shared" si="0"/>
        <v>-7.7182128633727807</v>
      </c>
      <c r="G25" s="223">
        <f t="shared" si="1"/>
        <v>-0.40183696900114813</v>
      </c>
      <c r="H25" s="223">
        <f t="shared" si="2"/>
        <v>-0.42541512282146288</v>
      </c>
      <c r="I25" s="223">
        <f t="shared" si="3"/>
        <v>-8.4800383435341011</v>
      </c>
    </row>
    <row r="26" spans="1:9" x14ac:dyDescent="0.25">
      <c r="A26" s="229" t="s">
        <v>461</v>
      </c>
      <c r="B26" s="225">
        <v>54213</v>
      </c>
      <c r="C26" s="225">
        <v>66597</v>
      </c>
      <c r="D26" s="225">
        <v>84332</v>
      </c>
      <c r="E26" s="225">
        <v>70016</v>
      </c>
      <c r="F26" s="223">
        <f t="shared" si="0"/>
        <v>22.843229483703169</v>
      </c>
      <c r="G26" s="223">
        <f t="shared" si="1"/>
        <v>26.630328693484689</v>
      </c>
      <c r="H26" s="223">
        <f t="shared" si="2"/>
        <v>-16.97576246264763</v>
      </c>
      <c r="I26" s="223">
        <f t="shared" si="3"/>
        <v>29.149834910445833</v>
      </c>
    </row>
    <row r="27" spans="1:9" x14ac:dyDescent="0.25">
      <c r="A27" s="229" t="s">
        <v>462</v>
      </c>
      <c r="B27" s="225">
        <v>75096</v>
      </c>
      <c r="C27" s="225">
        <v>114435</v>
      </c>
      <c r="D27" s="225">
        <v>123000</v>
      </c>
      <c r="E27" s="225">
        <v>114151</v>
      </c>
      <c r="F27" s="223">
        <f t="shared" si="0"/>
        <v>52.384947267497608</v>
      </c>
      <c r="G27" s="223">
        <f t="shared" si="1"/>
        <v>7.4845982435443696</v>
      </c>
      <c r="H27" s="223">
        <f t="shared" si="2"/>
        <v>-7.1943089430894309</v>
      </c>
      <c r="I27" s="223">
        <f t="shared" si="3"/>
        <v>52.006764674549913</v>
      </c>
    </row>
    <row r="28" spans="1:9" x14ac:dyDescent="0.25">
      <c r="A28" s="229" t="s">
        <v>463</v>
      </c>
      <c r="B28" s="225">
        <v>19330</v>
      </c>
      <c r="C28" s="225">
        <v>24194</v>
      </c>
      <c r="D28" s="225">
        <v>24655</v>
      </c>
      <c r="E28" s="225">
        <v>17597</v>
      </c>
      <c r="F28" s="223">
        <f t="shared" si="0"/>
        <v>25.162959130884637</v>
      </c>
      <c r="G28" s="223">
        <f t="shared" si="1"/>
        <v>1.9054310986194927</v>
      </c>
      <c r="H28" s="223">
        <f t="shared" si="2"/>
        <v>-28.627053336037317</v>
      </c>
      <c r="I28" s="223">
        <f t="shared" si="3"/>
        <v>-8.9653388515261252</v>
      </c>
    </row>
    <row r="29" spans="1:9" x14ac:dyDescent="0.25">
      <c r="A29" s="229" t="s">
        <v>89</v>
      </c>
      <c r="B29" s="225">
        <v>1461869</v>
      </c>
      <c r="C29" s="225">
        <v>1504794</v>
      </c>
      <c r="D29" s="225">
        <v>1621963</v>
      </c>
      <c r="E29" s="225">
        <v>1587860</v>
      </c>
      <c r="F29" s="223">
        <f t="shared" si="0"/>
        <v>2.9363096146097907</v>
      </c>
      <c r="G29" s="223">
        <f t="shared" si="1"/>
        <v>7.7863813917386695</v>
      </c>
      <c r="H29" s="223">
        <f t="shared" si="2"/>
        <v>-2.1025757061042696</v>
      </c>
      <c r="I29" s="223">
        <f t="shared" si="3"/>
        <v>8.6184877030705209</v>
      </c>
    </row>
    <row r="30" spans="1:9" x14ac:dyDescent="0.25">
      <c r="A30" s="229" t="s">
        <v>224</v>
      </c>
      <c r="B30" s="225">
        <v>4108</v>
      </c>
      <c r="C30" s="225">
        <v>8903</v>
      </c>
      <c r="D30" s="225">
        <v>65029</v>
      </c>
      <c r="E30" s="225">
        <v>41645</v>
      </c>
      <c r="F30" s="223">
        <f t="shared" si="0"/>
        <v>116.7234664070107</v>
      </c>
      <c r="G30" s="223">
        <f t="shared" si="1"/>
        <v>630.41671346737053</v>
      </c>
      <c r="H30" s="223">
        <f t="shared" si="2"/>
        <v>-35.959341216995497</v>
      </c>
      <c r="I30" s="223">
        <f t="shared" si="3"/>
        <v>913.75365141187922</v>
      </c>
    </row>
    <row r="31" spans="1:9" ht="35.1" customHeight="1" x14ac:dyDescent="0.25">
      <c r="A31" s="231" t="s">
        <v>464</v>
      </c>
      <c r="B31" s="231">
        <v>5096</v>
      </c>
      <c r="C31" s="231">
        <v>11142</v>
      </c>
      <c r="D31" s="231">
        <v>10718</v>
      </c>
      <c r="E31" s="231">
        <v>7307</v>
      </c>
      <c r="F31" s="230">
        <f t="shared" si="0"/>
        <v>118.64207221350078</v>
      </c>
      <c r="G31" s="230">
        <f t="shared" si="1"/>
        <v>-3.805420929815114</v>
      </c>
      <c r="H31" s="230">
        <f t="shared" si="2"/>
        <v>-31.824967344653853</v>
      </c>
      <c r="I31" s="230">
        <f t="shared" si="3"/>
        <v>43.386970172684457</v>
      </c>
    </row>
    <row r="32" spans="1:9" x14ac:dyDescent="0.25">
      <c r="A32" s="231" t="s">
        <v>465</v>
      </c>
      <c r="B32" s="231">
        <v>2026</v>
      </c>
      <c r="C32" s="231">
        <v>1868</v>
      </c>
      <c r="D32" s="231">
        <v>884</v>
      </c>
      <c r="E32" s="231">
        <v>795</v>
      </c>
      <c r="F32" s="230">
        <f t="shared" si="0"/>
        <v>-7.7986179664363275</v>
      </c>
      <c r="G32" s="230">
        <f t="shared" si="1"/>
        <v>-52.676659528907919</v>
      </c>
      <c r="H32" s="230">
        <f t="shared" si="2"/>
        <v>-10.067873303167421</v>
      </c>
      <c r="I32" s="230">
        <f t="shared" si="3"/>
        <v>-60.76011846001974</v>
      </c>
    </row>
    <row r="33" spans="1:9" x14ac:dyDescent="0.25">
      <c r="A33" s="231" t="s">
        <v>466</v>
      </c>
      <c r="B33" s="231">
        <v>152337</v>
      </c>
      <c r="C33" s="231">
        <v>30361</v>
      </c>
      <c r="D33" s="231">
        <v>27263</v>
      </c>
      <c r="E33" s="231">
        <v>49216</v>
      </c>
      <c r="F33" s="230">
        <f t="shared" si="0"/>
        <v>-80.069845145959277</v>
      </c>
      <c r="G33" s="230">
        <f t="shared" si="1"/>
        <v>-10.203879977602845</v>
      </c>
      <c r="H33" s="230">
        <f t="shared" si="2"/>
        <v>80.523053222315951</v>
      </c>
      <c r="I33" s="230">
        <f t="shared" si="3"/>
        <v>-67.692681357779136</v>
      </c>
    </row>
    <row r="34" spans="1:9" x14ac:dyDescent="0.25">
      <c r="A34" s="231" t="s">
        <v>467</v>
      </c>
      <c r="B34" s="231">
        <v>23733</v>
      </c>
      <c r="C34" s="231">
        <v>37383</v>
      </c>
      <c r="D34" s="231">
        <v>31071</v>
      </c>
      <c r="E34" s="231">
        <v>36591</v>
      </c>
      <c r="F34" s="230">
        <f t="shared" si="0"/>
        <v>57.514852736695744</v>
      </c>
      <c r="G34" s="230">
        <f t="shared" si="1"/>
        <v>-16.88468020223096</v>
      </c>
      <c r="H34" s="230">
        <f t="shared" si="2"/>
        <v>17.765762286376365</v>
      </c>
      <c r="I34" s="230">
        <f t="shared" si="3"/>
        <v>54.177727215269876</v>
      </c>
    </row>
    <row r="35" spans="1:9" x14ac:dyDescent="0.25">
      <c r="A35" s="231" t="s">
        <v>468</v>
      </c>
      <c r="B35" s="231">
        <v>21055</v>
      </c>
      <c r="C35" s="231">
        <v>28602</v>
      </c>
      <c r="D35" s="231">
        <v>26939</v>
      </c>
      <c r="E35" s="231">
        <v>33731</v>
      </c>
      <c r="F35" s="230">
        <f t="shared" si="0"/>
        <v>35.844217525528379</v>
      </c>
      <c r="G35" s="230">
        <f t="shared" si="1"/>
        <v>-5.8142787217677085</v>
      </c>
      <c r="H35" s="230">
        <f t="shared" si="2"/>
        <v>25.212517168417538</v>
      </c>
      <c r="I35" s="230">
        <f t="shared" si="3"/>
        <v>60.204227024459747</v>
      </c>
    </row>
    <row r="36" spans="1:9" ht="22.5" customHeight="1" x14ac:dyDescent="0.25">
      <c r="A36" s="229" t="s">
        <v>469</v>
      </c>
      <c r="B36" s="225">
        <v>128603</v>
      </c>
      <c r="C36" s="225">
        <v>-7022</v>
      </c>
      <c r="D36" s="225">
        <v>-3808</v>
      </c>
      <c r="E36" s="225">
        <v>12625</v>
      </c>
      <c r="F36" s="223">
        <f t="shared" si="0"/>
        <v>-105.46021476948437</v>
      </c>
      <c r="G36" s="223">
        <f t="shared" si="1"/>
        <v>-45.770435773283964</v>
      </c>
      <c r="H36" s="223">
        <f t="shared" si="2"/>
        <v>-431.53886554621846</v>
      </c>
      <c r="I36" s="223">
        <f t="shared" si="3"/>
        <v>-90.182966182748459</v>
      </c>
    </row>
    <row r="37" spans="1:9" x14ac:dyDescent="0.25">
      <c r="A37" s="229" t="s">
        <v>232</v>
      </c>
      <c r="B37" s="225">
        <v>135782</v>
      </c>
      <c r="C37" s="225">
        <v>11156</v>
      </c>
      <c r="D37" s="225">
        <v>71056</v>
      </c>
      <c r="E37" s="225">
        <v>60782</v>
      </c>
      <c r="F37" s="223">
        <f t="shared" si="0"/>
        <v>-91.783888880705831</v>
      </c>
      <c r="G37" s="223">
        <f t="shared" si="1"/>
        <v>536.93079956973827</v>
      </c>
      <c r="H37" s="223">
        <f t="shared" si="2"/>
        <v>-14.459018239135329</v>
      </c>
      <c r="I37" s="223">
        <f t="shared" si="3"/>
        <v>-55.235598238352658</v>
      </c>
    </row>
    <row r="38" spans="1:9" x14ac:dyDescent="0.25">
      <c r="A38" s="227" t="s">
        <v>470</v>
      </c>
      <c r="B38" s="227">
        <v>160211</v>
      </c>
      <c r="C38" s="227">
        <v>139360</v>
      </c>
      <c r="D38" s="227">
        <v>167009</v>
      </c>
      <c r="E38" s="227">
        <v>168358</v>
      </c>
      <c r="F38" s="230">
        <f t="shared" si="0"/>
        <v>-13.01471184874946</v>
      </c>
      <c r="G38" s="230">
        <f t="shared" si="1"/>
        <v>19.839982778415614</v>
      </c>
      <c r="H38" s="230">
        <f t="shared" si="2"/>
        <v>0.80774090019100764</v>
      </c>
      <c r="I38" s="230">
        <f t="shared" si="3"/>
        <v>5.0851689334689878</v>
      </c>
    </row>
    <row r="39" spans="1:9" x14ac:dyDescent="0.25">
      <c r="A39" s="227" t="s">
        <v>92</v>
      </c>
      <c r="B39" s="228">
        <v>107997</v>
      </c>
      <c r="C39" s="227">
        <v>67656</v>
      </c>
      <c r="D39" s="227">
        <v>82779</v>
      </c>
      <c r="E39" s="227">
        <v>85171</v>
      </c>
      <c r="F39" s="230">
        <f t="shared" si="0"/>
        <v>-37.353815383760661</v>
      </c>
      <c r="G39" s="230">
        <f t="shared" si="1"/>
        <v>22.352784675416814</v>
      </c>
      <c r="H39" s="230">
        <f t="shared" si="2"/>
        <v>2.8896217639739548</v>
      </c>
      <c r="I39" s="230">
        <f t="shared" si="3"/>
        <v>-21.135772289971015</v>
      </c>
    </row>
    <row r="40" spans="1:9" ht="22.5" customHeight="1" x14ac:dyDescent="0.25">
      <c r="A40" s="229" t="s">
        <v>226</v>
      </c>
      <c r="B40" s="225">
        <v>52214</v>
      </c>
      <c r="C40" s="225">
        <v>71704</v>
      </c>
      <c r="D40" s="225">
        <v>84230</v>
      </c>
      <c r="E40" s="225">
        <v>83186</v>
      </c>
      <c r="F40" s="223">
        <f t="shared" si="0"/>
        <v>37.327153636955607</v>
      </c>
      <c r="G40" s="223">
        <f t="shared" si="1"/>
        <v>17.469039384134778</v>
      </c>
      <c r="H40" s="223">
        <f t="shared" si="2"/>
        <v>-1.2394633740947407</v>
      </c>
      <c r="I40" s="223">
        <f t="shared" si="3"/>
        <v>59.317424445551005</v>
      </c>
    </row>
    <row r="41" spans="1:9" x14ac:dyDescent="0.25">
      <c r="A41" s="220" t="s">
        <v>471</v>
      </c>
      <c r="B41" s="221">
        <f>B13+B33+B38</f>
        <v>1778525</v>
      </c>
      <c r="C41" s="221">
        <f>C13+C33+C38</f>
        <v>1683419</v>
      </c>
      <c r="D41" s="221">
        <f>D13+D33+D38</f>
        <v>1881264</v>
      </c>
      <c r="E41" s="221">
        <f>E13+E33+E38</f>
        <v>1847079</v>
      </c>
      <c r="F41" s="223">
        <f t="shared" si="0"/>
        <v>-5.3474648936618827</v>
      </c>
      <c r="G41" s="223">
        <f t="shared" si="1"/>
        <v>11.752570215733575</v>
      </c>
      <c r="H41" s="223">
        <f t="shared" si="2"/>
        <v>-1.817129334319904</v>
      </c>
      <c r="I41" s="223">
        <f t="shared" si="3"/>
        <v>3.8545423876526894</v>
      </c>
    </row>
    <row r="42" spans="1:9" x14ac:dyDescent="0.25">
      <c r="A42" s="220" t="s">
        <v>472</v>
      </c>
      <c r="B42" s="221">
        <f>B29+B34+B39</f>
        <v>1593599</v>
      </c>
      <c r="C42" s="221">
        <f>C29+C34+C39</f>
        <v>1609833</v>
      </c>
      <c r="D42" s="221">
        <f>D29+D34+D39</f>
        <v>1735813</v>
      </c>
      <c r="E42" s="221">
        <f>E29+E34+E39</f>
        <v>1709622</v>
      </c>
      <c r="F42" s="223">
        <f t="shared" si="0"/>
        <v>1.0187004384415401</v>
      </c>
      <c r="G42" s="223">
        <f t="shared" si="1"/>
        <v>7.8256564500789825</v>
      </c>
      <c r="H42" s="223">
        <f t="shared" si="2"/>
        <v>-1.5088606894867131</v>
      </c>
      <c r="I42" s="223">
        <f t="shared" si="3"/>
        <v>7.2805643075830249</v>
      </c>
    </row>
    <row r="43" spans="1:9" x14ac:dyDescent="0.25">
      <c r="A43" s="220" t="s">
        <v>473</v>
      </c>
      <c r="B43" s="221">
        <f>B30+B36+B40</f>
        <v>184925</v>
      </c>
      <c r="C43" s="221">
        <f>C30+C36+C40</f>
        <v>73585</v>
      </c>
      <c r="D43" s="221">
        <f>D30+D36+D40</f>
        <v>145451</v>
      </c>
      <c r="E43" s="221">
        <f>E30+E36+E40</f>
        <v>137456</v>
      </c>
      <c r="F43" s="223">
        <f t="shared" si="0"/>
        <v>-60.208192510477218</v>
      </c>
      <c r="G43" s="223">
        <f t="shared" si="1"/>
        <v>97.663926071889648</v>
      </c>
      <c r="H43" s="223">
        <f t="shared" si="2"/>
        <v>-5.4966964819767483</v>
      </c>
      <c r="I43" s="223">
        <f t="shared" si="3"/>
        <v>-25.669325402190079</v>
      </c>
    </row>
    <row r="44" spans="1:9" x14ac:dyDescent="0.25">
      <c r="A44" s="227" t="s">
        <v>474</v>
      </c>
      <c r="B44" s="227">
        <v>5655</v>
      </c>
      <c r="C44" s="227">
        <v>4588</v>
      </c>
      <c r="D44" s="227">
        <v>5614</v>
      </c>
      <c r="E44" s="227">
        <v>5192</v>
      </c>
      <c r="F44" s="223">
        <f t="shared" si="0"/>
        <v>-18.868258178603007</v>
      </c>
      <c r="G44" s="223">
        <f t="shared" si="1"/>
        <v>22.362685265911072</v>
      </c>
      <c r="H44" s="223">
        <f t="shared" si="2"/>
        <v>-7.5169219807623797</v>
      </c>
      <c r="I44" s="223">
        <f t="shared" si="3"/>
        <v>-8.1874447391688765</v>
      </c>
    </row>
    <row r="45" spans="1:9" x14ac:dyDescent="0.25">
      <c r="A45" s="227" t="s">
        <v>475</v>
      </c>
      <c r="B45" s="228">
        <v>21983</v>
      </c>
      <c r="C45" s="227">
        <v>34501</v>
      </c>
      <c r="D45" s="227">
        <v>44154</v>
      </c>
      <c r="E45" s="227">
        <v>38885</v>
      </c>
      <c r="F45" s="223">
        <f t="shared" si="0"/>
        <v>56.94400218350544</v>
      </c>
      <c r="G45" s="223">
        <f t="shared" si="1"/>
        <v>27.978899162343119</v>
      </c>
      <c r="H45" s="223">
        <f t="shared" si="2"/>
        <v>-11.933233682112606</v>
      </c>
      <c r="I45" s="223">
        <f t="shared" si="3"/>
        <v>76.886685165809936</v>
      </c>
    </row>
    <row r="46" spans="1:9" ht="21.95" customHeight="1" x14ac:dyDescent="0.25">
      <c r="A46" s="232" t="s">
        <v>476</v>
      </c>
      <c r="B46" s="233">
        <f>B30+B36+B40-(B44+B45)</f>
        <v>157287</v>
      </c>
      <c r="C46" s="234">
        <f>C30+C36+C40-(C44+C45)</f>
        <v>34496</v>
      </c>
      <c r="D46" s="234">
        <f>D30+D36+D40-(D44+D45)</f>
        <v>95683</v>
      </c>
      <c r="E46" s="234">
        <f>E30+E36+E40-(E44+E45)</f>
        <v>93379</v>
      </c>
      <c r="F46" s="223">
        <f t="shared" si="0"/>
        <v>-78.068117517658791</v>
      </c>
      <c r="G46" s="223">
        <f t="shared" si="1"/>
        <v>177.37418831168833</v>
      </c>
      <c r="H46" s="223">
        <f t="shared" si="2"/>
        <v>-2.4079512557089555</v>
      </c>
      <c r="I46" s="223">
        <f t="shared" si="3"/>
        <v>-40.631457145218612</v>
      </c>
    </row>
    <row r="47" spans="1:9" x14ac:dyDescent="0.25">
      <c r="A47" s="420"/>
      <c r="B47" s="420"/>
      <c r="C47" s="420"/>
      <c r="D47" s="420"/>
      <c r="E47" s="420"/>
      <c r="F47" s="420"/>
      <c r="G47" s="420"/>
      <c r="H47" s="420"/>
      <c r="I47" s="420"/>
    </row>
    <row r="48" spans="1:9" x14ac:dyDescent="0.25">
      <c r="A48" s="421"/>
      <c r="B48" s="421"/>
      <c r="C48" s="421"/>
      <c r="D48" s="421"/>
      <c r="E48" s="421"/>
      <c r="F48" s="421"/>
      <c r="G48" s="421"/>
      <c r="H48" s="421"/>
      <c r="I48" s="421"/>
    </row>
    <row r="49" spans="1:9" ht="9.6" customHeight="1" x14ac:dyDescent="0.25">
      <c r="A49" s="421"/>
      <c r="B49" s="421"/>
      <c r="C49" s="421"/>
      <c r="D49" s="421"/>
      <c r="E49" s="421"/>
      <c r="F49" s="421"/>
      <c r="G49" s="421"/>
      <c r="H49" s="421"/>
      <c r="I49" s="421"/>
    </row>
    <row r="50" spans="1:9" ht="17.100000000000001" hidden="1" customHeight="1" x14ac:dyDescent="0.25">
      <c r="A50" s="422"/>
      <c r="B50" s="422"/>
      <c r="C50" s="422"/>
      <c r="D50" s="422"/>
      <c r="E50" s="422"/>
      <c r="F50" s="422"/>
      <c r="G50" s="422"/>
      <c r="H50" s="422"/>
      <c r="I50" s="422"/>
    </row>
    <row r="51" spans="1:9" ht="27" customHeight="1" x14ac:dyDescent="0.3">
      <c r="A51" s="253" t="s">
        <v>558</v>
      </c>
      <c r="B51" s="247" t="s">
        <v>496</v>
      </c>
      <c r="C51" s="247" t="s">
        <v>495</v>
      </c>
      <c r="D51" s="247" t="s">
        <v>494</v>
      </c>
      <c r="E51" s="247" t="s">
        <v>493</v>
      </c>
      <c r="F51" s="248" t="s">
        <v>527</v>
      </c>
      <c r="G51" s="249" t="s">
        <v>528</v>
      </c>
      <c r="H51" s="249" t="s">
        <v>529</v>
      </c>
      <c r="I51" s="250" t="s">
        <v>530</v>
      </c>
    </row>
    <row r="52" spans="1:9" x14ac:dyDescent="0.25">
      <c r="A52" s="239" t="s">
        <v>497</v>
      </c>
      <c r="B52" s="239">
        <v>1092</v>
      </c>
      <c r="C52" s="239">
        <v>920</v>
      </c>
      <c r="D52" s="239">
        <v>912</v>
      </c>
      <c r="E52" s="239">
        <v>883</v>
      </c>
      <c r="F52" s="237">
        <f t="shared" ref="F52:F84" si="4">((C52-B52)/B52)*100</f>
        <v>-15.75091575091575</v>
      </c>
      <c r="G52" s="237">
        <f>((D52-C52)/C52)*100</f>
        <v>-0.86956521739130432</v>
      </c>
      <c r="H52" s="237">
        <f>((E52-D52)/D52)*100</f>
        <v>-3.179824561403509</v>
      </c>
      <c r="I52" s="238">
        <f t="shared" ref="I52:I84" si="5">((E52-B52)/B52)*100</f>
        <v>-19.139194139194139</v>
      </c>
    </row>
    <row r="53" spans="1:9" x14ac:dyDescent="0.25">
      <c r="A53" s="239" t="s">
        <v>516</v>
      </c>
      <c r="B53" s="239">
        <v>7092</v>
      </c>
      <c r="C53" s="239">
        <v>6801</v>
      </c>
      <c r="D53" s="239">
        <v>6961</v>
      </c>
      <c r="E53" s="239">
        <v>6905</v>
      </c>
      <c r="F53" s="237">
        <f t="shared" si="4"/>
        <v>-4.103214890016921</v>
      </c>
      <c r="G53" s="237">
        <f t="shared" ref="G53:G84" si="6">((D53-C53)/C53)*100</f>
        <v>2.3525952065872664</v>
      </c>
      <c r="H53" s="237">
        <f t="shared" ref="H53:H84" si="7">((E53-D53)/D53)*100</f>
        <v>-0.80448211463870123</v>
      </c>
      <c r="I53" s="238">
        <f t="shared" si="5"/>
        <v>-2.6367738296672307</v>
      </c>
    </row>
    <row r="54" spans="1:9" x14ac:dyDescent="0.25">
      <c r="A54" s="240" t="s">
        <v>498</v>
      </c>
      <c r="B54" s="241">
        <f>compte_résultat_sectoriels!B4</f>
        <v>1371874</v>
      </c>
      <c r="C54" s="241">
        <f>compte_résultat_sectoriels!C4</f>
        <v>1418134</v>
      </c>
      <c r="D54" s="241">
        <f>compte_résultat_sectoriels!D4</f>
        <v>1568377</v>
      </c>
      <c r="E54" s="241">
        <f>compte_résultat_sectoriels!E4</f>
        <v>1549661</v>
      </c>
      <c r="F54" s="242">
        <f t="shared" si="4"/>
        <v>3.3720297928235397</v>
      </c>
      <c r="G54" s="242">
        <f t="shared" si="6"/>
        <v>10.594414914246467</v>
      </c>
      <c r="H54" s="242">
        <f t="shared" si="7"/>
        <v>-1.1933355309342077</v>
      </c>
      <c r="I54" s="243">
        <f t="shared" si="5"/>
        <v>12.959426302998672</v>
      </c>
    </row>
    <row r="55" spans="1:9" ht="16.5" customHeight="1" x14ac:dyDescent="0.25">
      <c r="A55" s="236" t="s">
        <v>499</v>
      </c>
      <c r="B55" s="236">
        <f>compte_résultat_sectoriels!B5</f>
        <v>89362</v>
      </c>
      <c r="C55" s="236">
        <f>compte_résultat_sectoriels!C5</f>
        <v>107166</v>
      </c>
      <c r="D55" s="236">
        <f>compte_résultat_sectoriels!D5</f>
        <v>152224</v>
      </c>
      <c r="E55" s="236">
        <f>compte_résultat_sectoriels!E5</f>
        <v>138364</v>
      </c>
      <c r="F55" s="237">
        <f t="shared" si="4"/>
        <v>19.923457397999151</v>
      </c>
      <c r="G55" s="237">
        <f t="shared" si="6"/>
        <v>42.045051602187264</v>
      </c>
      <c r="H55" s="237">
        <f t="shared" si="7"/>
        <v>-9.1050031532478446</v>
      </c>
      <c r="I55" s="238">
        <f t="shared" si="5"/>
        <v>54.835388643942615</v>
      </c>
    </row>
    <row r="56" spans="1:9" x14ac:dyDescent="0.25">
      <c r="A56" s="236" t="s">
        <v>500</v>
      </c>
      <c r="B56" s="236">
        <f>compte_résultat_sectoriels!B14</f>
        <v>12152</v>
      </c>
      <c r="C56" s="236">
        <f>compte_résultat_sectoriels!C14</f>
        <v>20213</v>
      </c>
      <c r="D56" s="236">
        <f>compte_résultat_sectoriels!D14</f>
        <v>63209</v>
      </c>
      <c r="E56" s="236">
        <f>compte_résultat_sectoriels!E14</f>
        <v>51213</v>
      </c>
      <c r="F56" s="237">
        <f t="shared" si="4"/>
        <v>66.334759710335746</v>
      </c>
      <c r="G56" s="237">
        <f t="shared" si="6"/>
        <v>212.7145896205412</v>
      </c>
      <c r="H56" s="237">
        <f t="shared" si="7"/>
        <v>-18.978310050783907</v>
      </c>
      <c r="I56" s="238">
        <f t="shared" si="5"/>
        <v>321.43680052666224</v>
      </c>
    </row>
    <row r="57" spans="1:9" x14ac:dyDescent="0.25">
      <c r="A57" s="236" t="s">
        <v>501</v>
      </c>
      <c r="B57" s="236">
        <f>compte_résultat_sectoriels!B15</f>
        <v>-143</v>
      </c>
      <c r="C57" s="236">
        <f>compte_résultat_sectoriels!C15</f>
        <v>2874</v>
      </c>
      <c r="D57" s="236">
        <f>compte_résultat_sectoriels!D15</f>
        <v>-626</v>
      </c>
      <c r="E57" s="236">
        <f>compte_résultat_sectoriels!E15</f>
        <v>5525</v>
      </c>
      <c r="F57" s="237">
        <f t="shared" si="4"/>
        <v>-2109.7902097902097</v>
      </c>
      <c r="G57" s="237">
        <f t="shared" si="6"/>
        <v>-121.78148921363953</v>
      </c>
      <c r="H57" s="237">
        <f t="shared" si="7"/>
        <v>-982.58785942492</v>
      </c>
      <c r="I57" s="238">
        <f t="shared" si="5"/>
        <v>-3963.6363636363635</v>
      </c>
    </row>
    <row r="58" spans="1:9" ht="20.45" customHeight="1" x14ac:dyDescent="0.25">
      <c r="A58" s="244" t="s">
        <v>502</v>
      </c>
      <c r="B58" s="245">
        <v>77354</v>
      </c>
      <c r="C58" s="245">
        <v>84079</v>
      </c>
      <c r="D58" s="245">
        <v>89640</v>
      </c>
      <c r="E58" s="245">
        <v>81626</v>
      </c>
      <c r="F58" s="242">
        <f t="shared" si="4"/>
        <v>8.6937973472606451</v>
      </c>
      <c r="G58" s="242">
        <f t="shared" si="6"/>
        <v>6.6140177690029613</v>
      </c>
      <c r="H58" s="242">
        <f t="shared" si="7"/>
        <v>-8.9402052655064708</v>
      </c>
      <c r="I58" s="243">
        <f t="shared" si="5"/>
        <v>5.5226620472115213</v>
      </c>
    </row>
    <row r="59" spans="1:9" x14ac:dyDescent="0.25">
      <c r="A59" s="240" t="s">
        <v>503</v>
      </c>
      <c r="B59" s="241">
        <f>(B58/B56)*100</f>
        <v>636.55365371955236</v>
      </c>
      <c r="C59" s="241">
        <f>(C58/C56)*100</f>
        <v>415.96497303715427</v>
      </c>
      <c r="D59" s="241">
        <f>(D58/D56)*100</f>
        <v>141.81524782863198</v>
      </c>
      <c r="E59" s="241">
        <f>(E58/E56)*100</f>
        <v>159.385312323043</v>
      </c>
      <c r="F59" s="242">
        <f t="shared" si="4"/>
        <v>-34.653588019397851</v>
      </c>
      <c r="G59" s="242">
        <f t="shared" si="6"/>
        <v>-65.906925577609883</v>
      </c>
      <c r="H59" s="242">
        <f t="shared" si="7"/>
        <v>12.389404357733444</v>
      </c>
      <c r="I59" s="243">
        <f t="shared" si="5"/>
        <v>-74.961213184197092</v>
      </c>
    </row>
    <row r="60" spans="1:9" x14ac:dyDescent="0.25">
      <c r="A60" s="236" t="s">
        <v>504</v>
      </c>
      <c r="B60" s="236">
        <f>compte_résultat_sectoriels!B6</f>
        <v>1282512</v>
      </c>
      <c r="C60" s="236">
        <f>compte_résultat_sectoriels!C6</f>
        <v>1310969</v>
      </c>
      <c r="D60" s="236">
        <f>compte_résultat_sectoriels!D6</f>
        <v>1416153</v>
      </c>
      <c r="E60" s="236">
        <f>compte_résultat_sectoriels!E6</f>
        <v>1411297</v>
      </c>
      <c r="F60" s="237">
        <f t="shared" si="4"/>
        <v>2.2188486345546865</v>
      </c>
      <c r="G60" s="237">
        <f t="shared" si="6"/>
        <v>8.0233781271715809</v>
      </c>
      <c r="H60" s="237">
        <f t="shared" si="7"/>
        <v>-0.34290080238505305</v>
      </c>
      <c r="I60" s="238">
        <f t="shared" si="5"/>
        <v>10.041621442918274</v>
      </c>
    </row>
    <row r="61" spans="1:9" ht="17.100000000000001" customHeight="1" x14ac:dyDescent="0.25">
      <c r="A61" s="236" t="s">
        <v>505</v>
      </c>
      <c r="B61" s="236">
        <f>compte_résultat_sectoriels!B8</f>
        <v>136</v>
      </c>
      <c r="C61" s="236">
        <f>compte_résultat_sectoriels!C8</f>
        <v>-1577</v>
      </c>
      <c r="D61" s="236">
        <f>compte_résultat_sectoriels!D8</f>
        <v>413</v>
      </c>
      <c r="E61" s="236">
        <f>compte_résultat_sectoriels!E8</f>
        <v>69</v>
      </c>
      <c r="F61" s="237">
        <f t="shared" si="4"/>
        <v>-1259.5588235294117</v>
      </c>
      <c r="G61" s="237">
        <f t="shared" si="6"/>
        <v>-126.18896639188333</v>
      </c>
      <c r="H61" s="237">
        <f t="shared" si="7"/>
        <v>-83.292978208232455</v>
      </c>
      <c r="I61" s="238">
        <f t="shared" si="5"/>
        <v>-49.264705882352942</v>
      </c>
    </row>
    <row r="62" spans="1:9" ht="17.100000000000001" customHeight="1" x14ac:dyDescent="0.25">
      <c r="A62" s="236" t="s">
        <v>506</v>
      </c>
      <c r="B62" s="236">
        <f>compte_résultat_sectoriels!B7</f>
        <v>4802</v>
      </c>
      <c r="C62" s="236">
        <f>compte_résultat_sectoriels!C7</f>
        <v>4354</v>
      </c>
      <c r="D62" s="236">
        <f>compte_résultat_sectoriels!D7</f>
        <v>11873</v>
      </c>
      <c r="E62" s="236">
        <f>compte_résultat_sectoriels!E7</f>
        <v>900</v>
      </c>
      <c r="F62" s="237">
        <f t="shared" si="4"/>
        <v>-9.3294460641399422</v>
      </c>
      <c r="G62" s="237">
        <f t="shared" si="6"/>
        <v>172.69177767570051</v>
      </c>
      <c r="H62" s="237">
        <f t="shared" si="7"/>
        <v>-92.419775962267323</v>
      </c>
      <c r="I62" s="238">
        <f t="shared" si="5"/>
        <v>-81.257809246147445</v>
      </c>
    </row>
    <row r="63" spans="1:9" ht="17.100000000000001" customHeight="1" x14ac:dyDescent="0.25">
      <c r="A63" s="236" t="s">
        <v>507</v>
      </c>
      <c r="B63" s="236">
        <f>SUM(B60:B62)</f>
        <v>1287450</v>
      </c>
      <c r="C63" s="236">
        <f>SUM(C60:C62)</f>
        <v>1313746</v>
      </c>
      <c r="D63" s="236">
        <f>SUM(D60:D62)</f>
        <v>1428439</v>
      </c>
      <c r="E63" s="236">
        <f>SUM(E60:E62)</f>
        <v>1412266</v>
      </c>
      <c r="F63" s="237">
        <f t="shared" si="4"/>
        <v>2.0424870868771605</v>
      </c>
      <c r="G63" s="237">
        <f t="shared" si="6"/>
        <v>8.730226390793959</v>
      </c>
      <c r="H63" s="237">
        <f t="shared" si="7"/>
        <v>-1.1322149563264514</v>
      </c>
      <c r="I63" s="238">
        <f t="shared" si="5"/>
        <v>9.6948230999262108</v>
      </c>
    </row>
    <row r="64" spans="1:9" ht="15.95" customHeight="1" x14ac:dyDescent="0.25">
      <c r="A64" s="236" t="s">
        <v>508</v>
      </c>
      <c r="B64" s="236">
        <f>compte_résultat_sectoriels!B16</f>
        <v>178494</v>
      </c>
      <c r="C64" s="236">
        <f>compte_résultat_sectoriels!C16</f>
        <v>171852</v>
      </c>
      <c r="D64" s="236">
        <f>compte_résultat_sectoriels!D16</f>
        <v>179708</v>
      </c>
      <c r="E64" s="236">
        <f>compte_résultat_sectoriels!E16</f>
        <v>198078</v>
      </c>
      <c r="F64" s="237">
        <f t="shared" si="4"/>
        <v>-3.7211334834784364</v>
      </c>
      <c r="G64" s="237">
        <f t="shared" si="6"/>
        <v>4.5713753695039916</v>
      </c>
      <c r="H64" s="237">
        <f t="shared" si="7"/>
        <v>10.222138135197097</v>
      </c>
      <c r="I64" s="238">
        <f t="shared" si="5"/>
        <v>10.971797371340212</v>
      </c>
    </row>
    <row r="65" spans="1:35" ht="15" customHeight="1" x14ac:dyDescent="0.25">
      <c r="A65" s="236" t="s">
        <v>509</v>
      </c>
      <c r="B65" s="236">
        <f>compte_résultat_sectoriels!B17</f>
        <v>-152</v>
      </c>
      <c r="C65" s="236">
        <f>compte_résultat_sectoriels!C17</f>
        <v>-95</v>
      </c>
      <c r="D65" s="236">
        <f>compte_résultat_sectoriels!D17</f>
        <v>-8</v>
      </c>
      <c r="E65" s="236">
        <f>compte_résultat_sectoriels!E17</f>
        <v>-94</v>
      </c>
      <c r="F65" s="237">
        <f t="shared" si="4"/>
        <v>-37.5</v>
      </c>
      <c r="G65" s="237">
        <f t="shared" si="6"/>
        <v>-91.578947368421055</v>
      </c>
      <c r="H65" s="237">
        <f t="shared" si="7"/>
        <v>1075</v>
      </c>
      <c r="I65" s="238">
        <f t="shared" si="5"/>
        <v>-38.15789473684211</v>
      </c>
    </row>
    <row r="66" spans="1:35" ht="17.45" customHeight="1" x14ac:dyDescent="0.25">
      <c r="A66" s="236"/>
      <c r="B66" s="236">
        <f>compte_résultat_sectoriels!B21</f>
        <v>757694</v>
      </c>
      <c r="C66" s="236">
        <f>compte_résultat_sectoriels!C21</f>
        <v>763582</v>
      </c>
      <c r="D66" s="236">
        <f>compte_résultat_sectoriels!D21</f>
        <v>806890</v>
      </c>
      <c r="E66" s="236">
        <f>compte_résultat_sectoriels!E21</f>
        <v>791145</v>
      </c>
      <c r="F66" s="237">
        <f t="shared" si="4"/>
        <v>0.77709471105749817</v>
      </c>
      <c r="G66" s="237">
        <f t="shared" si="6"/>
        <v>5.6716894845609245</v>
      </c>
      <c r="H66" s="237">
        <f t="shared" si="7"/>
        <v>-1.9513192628487153</v>
      </c>
      <c r="I66" s="238">
        <f t="shared" si="5"/>
        <v>4.4148429313152802</v>
      </c>
    </row>
    <row r="67" spans="1:35" ht="21" customHeight="1" x14ac:dyDescent="0.25">
      <c r="A67" s="244" t="s">
        <v>518</v>
      </c>
      <c r="B67" s="245">
        <v>386988</v>
      </c>
      <c r="C67" s="245">
        <v>411616</v>
      </c>
      <c r="D67" s="245">
        <v>463903</v>
      </c>
      <c r="E67" s="245">
        <v>450143</v>
      </c>
      <c r="F67" s="242">
        <f t="shared" si="4"/>
        <v>6.3640216234095117</v>
      </c>
      <c r="G67" s="242">
        <f t="shared" si="6"/>
        <v>12.702858975355671</v>
      </c>
      <c r="H67" s="242">
        <f t="shared" si="7"/>
        <v>-2.9661373174995633</v>
      </c>
      <c r="I67" s="243">
        <f t="shared" si="5"/>
        <v>16.319627481989105</v>
      </c>
    </row>
    <row r="68" spans="1:35" ht="18.600000000000001" customHeight="1" x14ac:dyDescent="0.25">
      <c r="A68" s="236" t="s">
        <v>510</v>
      </c>
      <c r="B68" s="236">
        <f>compte_résultat_sectoriels!B10</f>
        <v>45872</v>
      </c>
      <c r="C68" s="236">
        <f>compte_résultat_sectoriels!C10</f>
        <v>44828</v>
      </c>
      <c r="D68" s="236">
        <f>compte_résultat_sectoriels!D10</f>
        <v>47953</v>
      </c>
      <c r="E68" s="236">
        <f>compte_résultat_sectoriels!E10</f>
        <v>35926</v>
      </c>
      <c r="F68" s="237">
        <f t="shared" si="4"/>
        <v>-2.2758981513777465</v>
      </c>
      <c r="G68" s="237">
        <f t="shared" si="6"/>
        <v>6.9710894976354059</v>
      </c>
      <c r="H68" s="237">
        <f t="shared" si="7"/>
        <v>-25.080808291452044</v>
      </c>
      <c r="I68" s="238">
        <f t="shared" si="5"/>
        <v>-21.682071852110219</v>
      </c>
    </row>
    <row r="69" spans="1:35" ht="17.100000000000001" customHeight="1" x14ac:dyDescent="0.25">
      <c r="A69" s="236" t="s">
        <v>511</v>
      </c>
      <c r="B69" s="236">
        <f>compte_résultat_sectoriels!B22</f>
        <v>48052</v>
      </c>
      <c r="C69" s="236">
        <f>compte_résultat_sectoriels!C22</f>
        <v>48486</v>
      </c>
      <c r="D69" s="236">
        <f>compte_résultat_sectoriels!D22</f>
        <v>49321</v>
      </c>
      <c r="E69" s="236">
        <f>compte_résultat_sectoriels!E22</f>
        <v>49989</v>
      </c>
      <c r="F69" s="237">
        <f t="shared" si="4"/>
        <v>0.90318821276949968</v>
      </c>
      <c r="G69" s="237">
        <f t="shared" si="6"/>
        <v>1.7221465990182732</v>
      </c>
      <c r="H69" s="237">
        <f t="shared" si="7"/>
        <v>1.3543926522171084</v>
      </c>
      <c r="I69" s="238">
        <f t="shared" si="5"/>
        <v>4.0310496961624906</v>
      </c>
    </row>
    <row r="70" spans="1:35" ht="15.95" customHeight="1" x14ac:dyDescent="0.25">
      <c r="A70" s="236" t="s">
        <v>512</v>
      </c>
      <c r="B70" s="236">
        <f>compte_résultat_sectoriels!B23</f>
        <v>227089</v>
      </c>
      <c r="C70" s="236">
        <f>compte_résultat_sectoriels!C23</f>
        <v>215487</v>
      </c>
      <c r="D70" s="236">
        <f>compte_résultat_sectoriels!D23</f>
        <v>216485</v>
      </c>
      <c r="E70" s="236">
        <f>compte_résultat_sectoriels!E23</f>
        <v>216227</v>
      </c>
      <c r="F70" s="237">
        <f t="shared" si="4"/>
        <v>-5.109010123784067</v>
      </c>
      <c r="G70" s="237">
        <f t="shared" si="6"/>
        <v>0.46313698738206943</v>
      </c>
      <c r="H70" s="237">
        <f t="shared" si="7"/>
        <v>-0.11917684828048132</v>
      </c>
      <c r="I70" s="238">
        <f t="shared" si="5"/>
        <v>-4.7831466957888757</v>
      </c>
    </row>
    <row r="71" spans="1:35" ht="15" customHeight="1" x14ac:dyDescent="0.25">
      <c r="A71" s="236" t="s">
        <v>513</v>
      </c>
      <c r="B71" s="236">
        <f>compte_résultat_sectoriels!B24</f>
        <v>90044</v>
      </c>
      <c r="C71" s="236">
        <f>compte_résultat_sectoriels!C24</f>
        <v>77169</v>
      </c>
      <c r="D71" s="236">
        <f>compte_résultat_sectoriels!D24</f>
        <v>74995</v>
      </c>
      <c r="E71" s="236">
        <f>compte_résultat_sectoriels!E24</f>
        <v>74013</v>
      </c>
      <c r="F71" s="237">
        <f t="shared" si="4"/>
        <v>-14.298565145928658</v>
      </c>
      <c r="G71" s="237">
        <f t="shared" si="6"/>
        <v>-2.8171934325959906</v>
      </c>
      <c r="H71" s="237">
        <f t="shared" si="7"/>
        <v>-1.3094206280418694</v>
      </c>
      <c r="I71" s="238">
        <f t="shared" si="5"/>
        <v>-17.803518279952023</v>
      </c>
    </row>
    <row r="72" spans="1:35" ht="20.45" customHeight="1" x14ac:dyDescent="0.25">
      <c r="A72" s="244" t="s">
        <v>514</v>
      </c>
      <c r="B72" s="245">
        <v>67675</v>
      </c>
      <c r="C72" s="245">
        <v>115302</v>
      </c>
      <c r="D72" s="245">
        <v>171055</v>
      </c>
      <c r="E72" s="245">
        <v>145840</v>
      </c>
      <c r="F72" s="242">
        <f t="shared" si="4"/>
        <v>70.3760620613225</v>
      </c>
      <c r="G72" s="242">
        <f t="shared" si="6"/>
        <v>48.353888050510832</v>
      </c>
      <c r="H72" s="242">
        <f t="shared" si="7"/>
        <v>-14.740872818684048</v>
      </c>
      <c r="I72" s="243">
        <f t="shared" si="5"/>
        <v>115.50055411895086</v>
      </c>
    </row>
    <row r="73" spans="1:35" ht="13.5" customHeight="1" x14ac:dyDescent="0.25">
      <c r="A73" s="236" t="s">
        <v>531</v>
      </c>
      <c r="B73" s="236">
        <f t="shared" ref="B73:E74" si="8">B11</f>
        <v>30859</v>
      </c>
      <c r="C73" s="236">
        <f t="shared" si="8"/>
        <v>32231</v>
      </c>
      <c r="D73" s="236">
        <f t="shared" si="8"/>
        <v>41629</v>
      </c>
      <c r="E73" s="236">
        <f t="shared" si="8"/>
        <v>27553</v>
      </c>
      <c r="F73" s="237">
        <f t="shared" si="4"/>
        <v>4.4460287112349723</v>
      </c>
      <c r="G73" s="237">
        <f t="shared" si="6"/>
        <v>29.158263783314204</v>
      </c>
      <c r="H73" s="237">
        <f t="shared" si="7"/>
        <v>-33.812966922097573</v>
      </c>
      <c r="I73" s="238">
        <f t="shared" si="5"/>
        <v>-10.713244110308176</v>
      </c>
    </row>
    <row r="74" spans="1:35" ht="15.95" customHeight="1" x14ac:dyDescent="0.25">
      <c r="A74" s="236" t="s">
        <v>532</v>
      </c>
      <c r="B74" s="236">
        <f t="shared" si="8"/>
        <v>12433</v>
      </c>
      <c r="C74" s="236">
        <f t="shared" si="8"/>
        <v>15728</v>
      </c>
      <c r="D74" s="236">
        <f t="shared" si="8"/>
        <v>16746</v>
      </c>
      <c r="E74" s="236">
        <f t="shared" si="8"/>
        <v>15397</v>
      </c>
      <c r="F74" s="237">
        <f t="shared" si="4"/>
        <v>26.502050993324218</v>
      </c>
      <c r="G74" s="237">
        <f t="shared" si="6"/>
        <v>6.4725330620549348</v>
      </c>
      <c r="H74" s="237">
        <f t="shared" si="7"/>
        <v>-8.0556550818105812</v>
      </c>
      <c r="I74" s="238">
        <f t="shared" si="5"/>
        <v>23.839781227378751</v>
      </c>
    </row>
    <row r="75" spans="1:35" ht="16.5" customHeight="1" x14ac:dyDescent="0.25">
      <c r="A75" s="236" t="s">
        <v>542</v>
      </c>
      <c r="B75" s="236">
        <f>B26</f>
        <v>54213</v>
      </c>
      <c r="C75" s="236">
        <f>C26</f>
        <v>66597</v>
      </c>
      <c r="D75" s="236">
        <f>D26</f>
        <v>84332</v>
      </c>
      <c r="E75" s="236">
        <f>E26</f>
        <v>70016</v>
      </c>
      <c r="F75" s="237">
        <f t="shared" si="4"/>
        <v>22.843229483703169</v>
      </c>
      <c r="G75" s="237">
        <f t="shared" si="6"/>
        <v>26.630328693484689</v>
      </c>
      <c r="H75" s="237">
        <f t="shared" si="7"/>
        <v>-16.97576246264763</v>
      </c>
      <c r="I75" s="238">
        <f t="shared" si="5"/>
        <v>29.149834910445833</v>
      </c>
    </row>
    <row r="76" spans="1:35" ht="17.100000000000001" customHeight="1" x14ac:dyDescent="0.25">
      <c r="A76" s="236" t="s">
        <v>533</v>
      </c>
      <c r="B76" s="236">
        <f t="shared" ref="B76:E78" si="9">B31</f>
        <v>5096</v>
      </c>
      <c r="C76" s="236">
        <f t="shared" si="9"/>
        <v>11142</v>
      </c>
      <c r="D76" s="236">
        <f t="shared" si="9"/>
        <v>10718</v>
      </c>
      <c r="E76" s="236">
        <f t="shared" si="9"/>
        <v>7307</v>
      </c>
      <c r="F76" s="237">
        <f t="shared" si="4"/>
        <v>118.64207221350078</v>
      </c>
      <c r="G76" s="237">
        <f t="shared" si="6"/>
        <v>-3.805420929815114</v>
      </c>
      <c r="H76" s="237">
        <f t="shared" si="7"/>
        <v>-31.824967344653853</v>
      </c>
      <c r="I76" s="238">
        <f t="shared" si="5"/>
        <v>43.386970172684457</v>
      </c>
    </row>
    <row r="77" spans="1:35" s="213" customFormat="1" ht="16.5" customHeight="1" x14ac:dyDescent="0.25">
      <c r="A77" s="236" t="s">
        <v>534</v>
      </c>
      <c r="B77" s="236">
        <f t="shared" si="9"/>
        <v>2026</v>
      </c>
      <c r="C77" s="236">
        <f t="shared" si="9"/>
        <v>1868</v>
      </c>
      <c r="D77" s="236">
        <f t="shared" si="9"/>
        <v>884</v>
      </c>
      <c r="E77" s="236">
        <f t="shared" si="9"/>
        <v>795</v>
      </c>
      <c r="F77" s="237">
        <f t="shared" si="4"/>
        <v>-7.7986179664363275</v>
      </c>
      <c r="G77" s="237">
        <f t="shared" si="6"/>
        <v>-52.676659528907919</v>
      </c>
      <c r="H77" s="237">
        <f t="shared" si="7"/>
        <v>-10.067873303167421</v>
      </c>
      <c r="I77" s="238">
        <f t="shared" si="5"/>
        <v>-60.76011846001974</v>
      </c>
      <c r="J77" s="123"/>
      <c r="K77" s="123"/>
      <c r="L77" s="123"/>
      <c r="M77" s="123"/>
      <c r="N77" s="123"/>
      <c r="O77" s="123"/>
      <c r="P77" s="123"/>
      <c r="Q77" s="123"/>
      <c r="R77" s="123"/>
      <c r="S77" s="123"/>
      <c r="T77" s="123"/>
      <c r="U77" s="123"/>
      <c r="V77" s="123"/>
      <c r="W77" s="123"/>
      <c r="X77" s="123"/>
      <c r="Y77" s="123"/>
      <c r="Z77" s="123"/>
      <c r="AA77" s="123"/>
      <c r="AB77" s="123"/>
      <c r="AC77" s="123"/>
      <c r="AD77" s="123"/>
      <c r="AE77" s="123"/>
      <c r="AF77" s="123"/>
      <c r="AG77" s="123"/>
      <c r="AH77" s="123"/>
      <c r="AI77" s="123"/>
    </row>
    <row r="78" spans="1:35" ht="17.100000000000001" customHeight="1" x14ac:dyDescent="0.25">
      <c r="A78" s="236" t="s">
        <v>535</v>
      </c>
      <c r="B78" s="236">
        <f t="shared" si="9"/>
        <v>152337</v>
      </c>
      <c r="C78" s="236">
        <f t="shared" si="9"/>
        <v>30361</v>
      </c>
      <c r="D78" s="236">
        <f t="shared" si="9"/>
        <v>27263</v>
      </c>
      <c r="E78" s="236">
        <f t="shared" si="9"/>
        <v>49216</v>
      </c>
      <c r="F78" s="237">
        <f t="shared" si="4"/>
        <v>-80.069845145959277</v>
      </c>
      <c r="G78" s="237">
        <f t="shared" si="6"/>
        <v>-10.203879977602845</v>
      </c>
      <c r="H78" s="237">
        <f t="shared" si="7"/>
        <v>80.523053222315951</v>
      </c>
      <c r="I78" s="238">
        <f t="shared" si="5"/>
        <v>-67.692681357779136</v>
      </c>
    </row>
    <row r="79" spans="1:35" ht="15.95" customHeight="1" x14ac:dyDescent="0.25">
      <c r="A79" s="236" t="s">
        <v>536</v>
      </c>
      <c r="B79" s="236">
        <f>B34+B35</f>
        <v>44788</v>
      </c>
      <c r="C79" s="236">
        <f>C34+C35</f>
        <v>65985</v>
      </c>
      <c r="D79" s="236">
        <f>D34+D35</f>
        <v>58010</v>
      </c>
      <c r="E79" s="236">
        <f>E34+E35</f>
        <v>70322</v>
      </c>
      <c r="F79" s="237">
        <f t="shared" si="4"/>
        <v>47.327409127444852</v>
      </c>
      <c r="G79" s="237">
        <f t="shared" si="6"/>
        <v>-12.086080169735546</v>
      </c>
      <c r="H79" s="237">
        <f t="shared" si="7"/>
        <v>21.223926909153594</v>
      </c>
      <c r="I79" s="238">
        <f t="shared" si="5"/>
        <v>57.010806466017684</v>
      </c>
    </row>
    <row r="80" spans="1:35" ht="16.5" customHeight="1" x14ac:dyDescent="0.25">
      <c r="A80" s="236" t="s">
        <v>537</v>
      </c>
      <c r="B80" s="236">
        <f>B38</f>
        <v>160211</v>
      </c>
      <c r="C80" s="236">
        <f>C38</f>
        <v>139360</v>
      </c>
      <c r="D80" s="236">
        <f>D38</f>
        <v>167009</v>
      </c>
      <c r="E80" s="236">
        <f>E38</f>
        <v>168358</v>
      </c>
      <c r="F80" s="237">
        <f t="shared" si="4"/>
        <v>-13.01471184874946</v>
      </c>
      <c r="G80" s="237">
        <f t="shared" si="6"/>
        <v>19.839982778415614</v>
      </c>
      <c r="H80" s="237">
        <f t="shared" si="7"/>
        <v>0.80774090019100764</v>
      </c>
      <c r="I80" s="238">
        <f t="shared" si="5"/>
        <v>5.0851689334689878</v>
      </c>
    </row>
    <row r="81" spans="1:9" ht="16.5" customHeight="1" x14ac:dyDescent="0.25">
      <c r="A81" s="236" t="s">
        <v>538</v>
      </c>
      <c r="B81" s="236">
        <f>B39</f>
        <v>107997</v>
      </c>
      <c r="C81" s="236">
        <f>compte_résultat_sectoriels!C33</f>
        <v>30361</v>
      </c>
      <c r="D81" s="236">
        <f>compte_résultat_sectoriels!D33</f>
        <v>27263</v>
      </c>
      <c r="E81" s="236">
        <f>compte_résultat_sectoriels!E33</f>
        <v>49216</v>
      </c>
      <c r="F81" s="237">
        <f t="shared" si="4"/>
        <v>-71.887182051353278</v>
      </c>
      <c r="G81" s="237">
        <f t="shared" si="6"/>
        <v>-10.203879977602845</v>
      </c>
      <c r="H81" s="237">
        <f t="shared" si="7"/>
        <v>80.523053222315951</v>
      </c>
      <c r="I81" s="238">
        <f t="shared" si="5"/>
        <v>-54.42836375084493</v>
      </c>
    </row>
    <row r="82" spans="1:9" ht="14.45" customHeight="1" x14ac:dyDescent="0.25">
      <c r="A82" s="236" t="s">
        <v>539</v>
      </c>
      <c r="B82" s="236">
        <f t="shared" ref="B82:E83" si="10">B44</f>
        <v>5655</v>
      </c>
      <c r="C82" s="236">
        <f t="shared" si="10"/>
        <v>4588</v>
      </c>
      <c r="D82" s="236">
        <f t="shared" si="10"/>
        <v>5614</v>
      </c>
      <c r="E82" s="236">
        <f t="shared" si="10"/>
        <v>5192</v>
      </c>
      <c r="F82" s="237">
        <f t="shared" si="4"/>
        <v>-18.868258178603007</v>
      </c>
      <c r="G82" s="237">
        <f t="shared" si="6"/>
        <v>22.362685265911072</v>
      </c>
      <c r="H82" s="237">
        <f t="shared" si="7"/>
        <v>-7.5169219807623797</v>
      </c>
      <c r="I82" s="238">
        <f t="shared" si="5"/>
        <v>-8.1874447391688765</v>
      </c>
    </row>
    <row r="83" spans="1:9" ht="15" customHeight="1" x14ac:dyDescent="0.25">
      <c r="A83" s="236" t="s">
        <v>540</v>
      </c>
      <c r="B83" s="236">
        <f t="shared" si="10"/>
        <v>21983</v>
      </c>
      <c r="C83" s="236">
        <f t="shared" si="10"/>
        <v>34501</v>
      </c>
      <c r="D83" s="236">
        <f t="shared" si="10"/>
        <v>44154</v>
      </c>
      <c r="E83" s="236">
        <f t="shared" si="10"/>
        <v>38885</v>
      </c>
      <c r="F83" s="237">
        <f t="shared" si="4"/>
        <v>56.94400218350544</v>
      </c>
      <c r="G83" s="237">
        <f t="shared" si="6"/>
        <v>27.978899162343119</v>
      </c>
      <c r="H83" s="237">
        <f t="shared" si="7"/>
        <v>-11.933233682112606</v>
      </c>
      <c r="I83" s="238">
        <f t="shared" si="5"/>
        <v>76.886685165809936</v>
      </c>
    </row>
    <row r="84" spans="1:9" ht="21" customHeight="1" x14ac:dyDescent="0.25">
      <c r="A84" s="244" t="s">
        <v>541</v>
      </c>
      <c r="B84" s="319">
        <v>33084</v>
      </c>
      <c r="C84" s="319">
        <v>83898</v>
      </c>
      <c r="D84" s="319">
        <v>142845</v>
      </c>
      <c r="E84" s="319">
        <v>121296</v>
      </c>
      <c r="F84" s="246">
        <f t="shared" si="4"/>
        <v>153.59085963003264</v>
      </c>
      <c r="G84" s="246">
        <f t="shared" si="6"/>
        <v>70.260316098119148</v>
      </c>
      <c r="H84" s="246">
        <f t="shared" si="7"/>
        <v>-15.085582274493332</v>
      </c>
      <c r="I84" s="235">
        <f t="shared" si="5"/>
        <v>266.63039535727239</v>
      </c>
    </row>
    <row r="85" spans="1:9" ht="51.6" customHeight="1" x14ac:dyDescent="0.25">
      <c r="A85" s="418" t="s">
        <v>543</v>
      </c>
      <c r="B85" s="310"/>
      <c r="C85" s="123"/>
      <c r="D85" s="123"/>
      <c r="E85" s="123"/>
    </row>
    <row r="86" spans="1:9" x14ac:dyDescent="0.25">
      <c r="A86" s="419"/>
      <c r="B86" s="310"/>
      <c r="C86" s="310"/>
      <c r="D86" s="310"/>
      <c r="E86" s="123"/>
    </row>
    <row r="87" spans="1:9" x14ac:dyDescent="0.25">
      <c r="A87" s="419"/>
      <c r="B87" s="310"/>
      <c r="C87" s="123"/>
      <c r="D87" s="123"/>
      <c r="E87" s="123"/>
    </row>
    <row r="88" spans="1:9" x14ac:dyDescent="0.25">
      <c r="A88" s="419"/>
      <c r="B88" s="123"/>
      <c r="C88" s="123"/>
      <c r="D88" s="123"/>
      <c r="E88" s="123"/>
    </row>
    <row r="89" spans="1:9" x14ac:dyDescent="0.25">
      <c r="A89" s="419"/>
      <c r="B89" s="123"/>
      <c r="C89" s="123"/>
      <c r="D89" s="123"/>
      <c r="E89" s="123"/>
    </row>
    <row r="90" spans="1:9" x14ac:dyDescent="0.25">
      <c r="A90" s="419"/>
      <c r="B90" s="123"/>
      <c r="C90" s="123"/>
      <c r="D90" s="123"/>
      <c r="E90" s="123"/>
    </row>
    <row r="91" spans="1:9" ht="93" customHeight="1" x14ac:dyDescent="0.25">
      <c r="A91" s="419"/>
      <c r="B91" s="123"/>
      <c r="C91" s="123"/>
      <c r="D91" s="123"/>
      <c r="E91" s="123"/>
    </row>
    <row r="92" spans="1:9" ht="15" customHeight="1" x14ac:dyDescent="0.25">
      <c r="A92" s="419"/>
      <c r="B92" s="123"/>
      <c r="C92" s="123"/>
      <c r="D92" s="123"/>
      <c r="E92" s="123"/>
    </row>
    <row r="93" spans="1:9" s="123" customFormat="1" x14ac:dyDescent="0.25"/>
    <row r="94" spans="1:9" s="123" customFormat="1" x14ac:dyDescent="0.25"/>
    <row r="95" spans="1:9" s="123" customFormat="1" x14ac:dyDescent="0.25"/>
    <row r="96" spans="1:9" s="123" customFormat="1" x14ac:dyDescent="0.25"/>
    <row r="97" s="123" customFormat="1" x14ac:dyDescent="0.25"/>
    <row r="98" s="123" customFormat="1" x14ac:dyDescent="0.25"/>
    <row r="99" s="123" customFormat="1" x14ac:dyDescent="0.25"/>
    <row r="100" s="123" customFormat="1" x14ac:dyDescent="0.25"/>
    <row r="101" s="123" customFormat="1" x14ac:dyDescent="0.25"/>
    <row r="102" s="123" customFormat="1" x14ac:dyDescent="0.25"/>
    <row r="103" s="123" customFormat="1" x14ac:dyDescent="0.25"/>
    <row r="104" s="123" customFormat="1" x14ac:dyDescent="0.25"/>
    <row r="105" s="123" customFormat="1" x14ac:dyDescent="0.25"/>
    <row r="106" s="123" customFormat="1" x14ac:dyDescent="0.25"/>
    <row r="107" s="123" customFormat="1" x14ac:dyDescent="0.25"/>
    <row r="108" s="123" customFormat="1" x14ac:dyDescent="0.25"/>
    <row r="109" s="123" customFormat="1" x14ac:dyDescent="0.25"/>
    <row r="110" s="123" customFormat="1" x14ac:dyDescent="0.25"/>
    <row r="111" s="123" customFormat="1" x14ac:dyDescent="0.25"/>
    <row r="112" s="123" customFormat="1" x14ac:dyDescent="0.25"/>
    <row r="113" s="123" customFormat="1" x14ac:dyDescent="0.25"/>
    <row r="114" s="123" customFormat="1" x14ac:dyDescent="0.25"/>
    <row r="115" s="123" customFormat="1" x14ac:dyDescent="0.25"/>
    <row r="116" s="123" customFormat="1" x14ac:dyDescent="0.25"/>
    <row r="117" s="123" customFormat="1" x14ac:dyDescent="0.25"/>
    <row r="118" s="123" customFormat="1" x14ac:dyDescent="0.25"/>
    <row r="119" s="123" customFormat="1" x14ac:dyDescent="0.25"/>
    <row r="120" s="123" customFormat="1" x14ac:dyDescent="0.25"/>
    <row r="121" s="123" customFormat="1" x14ac:dyDescent="0.25"/>
    <row r="122" s="123" customFormat="1" x14ac:dyDescent="0.25"/>
    <row r="123" s="123" customFormat="1" x14ac:dyDescent="0.25"/>
    <row r="124" s="123" customFormat="1" x14ac:dyDescent="0.25"/>
    <row r="125" s="123" customFormat="1" x14ac:dyDescent="0.25"/>
    <row r="126" s="123" customFormat="1" x14ac:dyDescent="0.25"/>
    <row r="127" s="123" customFormat="1" x14ac:dyDescent="0.25"/>
    <row r="128" s="123" customFormat="1" x14ac:dyDescent="0.25"/>
    <row r="129" s="123" customFormat="1" x14ac:dyDescent="0.25"/>
    <row r="130" s="123" customFormat="1" x14ac:dyDescent="0.25"/>
    <row r="131" s="123" customFormat="1" x14ac:dyDescent="0.25"/>
    <row r="132" s="123" customFormat="1" x14ac:dyDescent="0.25"/>
    <row r="133" s="123" customFormat="1" x14ac:dyDescent="0.25"/>
    <row r="134" s="123" customFormat="1" x14ac:dyDescent="0.25"/>
    <row r="135" s="123" customFormat="1" x14ac:dyDescent="0.25"/>
    <row r="136" s="123" customFormat="1" x14ac:dyDescent="0.25"/>
    <row r="137" s="123" customFormat="1" x14ac:dyDescent="0.25"/>
    <row r="138" s="123" customFormat="1" x14ac:dyDescent="0.25"/>
    <row r="139" s="123" customFormat="1" x14ac:dyDescent="0.25"/>
    <row r="140" s="123" customFormat="1" x14ac:dyDescent="0.25"/>
    <row r="141" s="123" customFormat="1" x14ac:dyDescent="0.25"/>
    <row r="142" s="123" customFormat="1" x14ac:dyDescent="0.25"/>
    <row r="143" s="123" customFormat="1" x14ac:dyDescent="0.25"/>
    <row r="144" s="123" customFormat="1" x14ac:dyDescent="0.25"/>
    <row r="145" spans="10:35" s="123" customFormat="1" x14ac:dyDescent="0.25"/>
    <row r="146" spans="10:35" s="123" customFormat="1" x14ac:dyDescent="0.25"/>
    <row r="147" spans="10:35" s="123" customFormat="1" x14ac:dyDescent="0.25"/>
    <row r="148" spans="10:35" s="123" customFormat="1" x14ac:dyDescent="0.25"/>
    <row r="149" spans="10:35" s="292" customFormat="1" x14ac:dyDescent="0.25">
      <c r="J149" s="123"/>
      <c r="K149" s="123"/>
      <c r="L149" s="123"/>
      <c r="M149" s="123"/>
      <c r="N149" s="123"/>
      <c r="O149" s="123"/>
      <c r="P149" s="123"/>
      <c r="Q149" s="123"/>
      <c r="R149" s="123"/>
      <c r="S149" s="123"/>
      <c r="T149" s="123"/>
      <c r="U149" s="123"/>
      <c r="V149" s="123"/>
      <c r="W149" s="123"/>
      <c r="X149" s="123"/>
      <c r="Y149" s="123"/>
      <c r="Z149" s="123"/>
      <c r="AA149" s="123"/>
      <c r="AB149" s="123"/>
      <c r="AC149" s="123"/>
      <c r="AD149" s="123"/>
      <c r="AE149" s="123"/>
      <c r="AF149" s="123"/>
      <c r="AG149" s="123"/>
      <c r="AH149" s="123"/>
      <c r="AI149" s="123"/>
    </row>
    <row r="150" spans="10:35" s="292" customFormat="1" x14ac:dyDescent="0.25">
      <c r="J150" s="123"/>
      <c r="K150" s="123"/>
      <c r="L150" s="123"/>
      <c r="M150" s="123"/>
      <c r="N150" s="123"/>
      <c r="O150" s="123"/>
      <c r="P150" s="123"/>
      <c r="Q150" s="123"/>
      <c r="R150" s="123"/>
      <c r="S150" s="123"/>
      <c r="T150" s="123"/>
      <c r="U150" s="123"/>
      <c r="V150" s="123"/>
      <c r="W150" s="123"/>
      <c r="X150" s="123"/>
      <c r="Y150" s="123"/>
      <c r="Z150" s="123"/>
      <c r="AA150" s="123"/>
      <c r="AB150" s="123"/>
      <c r="AC150" s="123"/>
      <c r="AD150" s="123"/>
      <c r="AE150" s="123"/>
      <c r="AF150" s="123"/>
      <c r="AG150" s="123"/>
      <c r="AH150" s="123"/>
      <c r="AI150" s="123"/>
    </row>
    <row r="151" spans="10:35" s="292" customFormat="1" x14ac:dyDescent="0.25">
      <c r="J151" s="123"/>
      <c r="K151" s="123"/>
      <c r="L151" s="123"/>
      <c r="M151" s="123"/>
      <c r="N151" s="123"/>
      <c r="O151" s="123"/>
      <c r="P151" s="123"/>
      <c r="Q151" s="123"/>
      <c r="R151" s="123"/>
      <c r="S151" s="123"/>
      <c r="T151" s="123"/>
      <c r="U151" s="123"/>
      <c r="V151" s="123"/>
      <c r="W151" s="123"/>
      <c r="X151" s="123"/>
      <c r="Y151" s="123"/>
      <c r="Z151" s="123"/>
      <c r="AA151" s="123"/>
      <c r="AB151" s="123"/>
      <c r="AC151" s="123"/>
      <c r="AD151" s="123"/>
      <c r="AE151" s="123"/>
      <c r="AF151" s="123"/>
      <c r="AG151" s="123"/>
      <c r="AH151" s="123"/>
      <c r="AI151" s="123"/>
    </row>
    <row r="152" spans="10:35" s="292" customFormat="1" x14ac:dyDescent="0.25">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row>
  </sheetData>
  <mergeCells count="4">
    <mergeCell ref="A85:A92"/>
    <mergeCell ref="A47:I50"/>
    <mergeCell ref="A1:A2"/>
    <mergeCell ref="D1:E1"/>
  </mergeCells>
  <conditionalFormatting sqref="B4:E17 B19:E40 B44:E45 B52:E53 B58:E58 B67:E67 B72:E72 B84:E84">
    <cfRule type="cellIs" dxfId="16" priority="8" operator="equal">
      <formula>""</formula>
    </cfRule>
  </conditionalFormatting>
  <dataValidations count="2">
    <dataValidation allowBlank="1" showInputMessage="1" showErrorMessage="1" promptTitle="/!\" prompt="Ne pas remplir!" sqref="B18:E18 B41:E43 B46:E46"/>
    <dataValidation allowBlank="1" showInputMessage="1" showErrorMessage="1" promptTitle="/!\" prompt="Ne pas remplir!_x000a_" sqref="B54:E57 B59:E66 B68:E71 B73:E83"/>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9261" r:id="rId4" name="ToggleButton1">
          <controlPr defaultSize="0" autoLine="0" r:id="rId5">
            <anchor moveWithCells="1">
              <from>
                <xdr:col>4</xdr:col>
                <xdr:colOff>28575</xdr:colOff>
                <xdr:row>0</xdr:row>
                <xdr:rowOff>66675</xdr:rowOff>
              </from>
              <to>
                <xdr:col>9</xdr:col>
                <xdr:colOff>38100</xdr:colOff>
                <xdr:row>0</xdr:row>
                <xdr:rowOff>419100</xdr:rowOff>
              </to>
            </anchor>
          </controlPr>
        </control>
      </mc:Choice>
      <mc:Fallback>
        <control shapeId="9261" r:id="rId4" name="ToggleButton1"/>
      </mc:Fallback>
    </mc:AlternateContent>
    <mc:AlternateContent xmlns:mc="http://schemas.openxmlformats.org/markup-compatibility/2006">
      <mc:Choice Requires="x14">
        <control shapeId="9262" r:id="rId6" name="ToggleButton2">
          <controlPr defaultSize="0" autoLine="0" r:id="rId7">
            <anchor moveWithCells="1">
              <from>
                <xdr:col>0</xdr:col>
                <xdr:colOff>2943225</xdr:colOff>
                <xdr:row>3</xdr:row>
                <xdr:rowOff>9525</xdr:rowOff>
              </from>
              <to>
                <xdr:col>0</xdr:col>
                <xdr:colOff>3371850</xdr:colOff>
                <xdr:row>4</xdr:row>
                <xdr:rowOff>9525</xdr:rowOff>
              </to>
            </anchor>
          </controlPr>
        </control>
      </mc:Choice>
      <mc:Fallback>
        <control shapeId="9262" r:id="rId6" name="ToggleButton2"/>
      </mc:Fallback>
    </mc:AlternateContent>
    <mc:AlternateContent xmlns:mc="http://schemas.openxmlformats.org/markup-compatibility/2006">
      <mc:Choice Requires="x14">
        <control shapeId="9263" r:id="rId8" name="ToggleButton3">
          <controlPr defaultSize="0" autoLine="0" r:id="rId9">
            <anchor moveWithCells="1">
              <from>
                <xdr:col>0</xdr:col>
                <xdr:colOff>2076450</xdr:colOff>
                <xdr:row>17</xdr:row>
                <xdr:rowOff>9525</xdr:rowOff>
              </from>
              <to>
                <xdr:col>0</xdr:col>
                <xdr:colOff>2505075</xdr:colOff>
                <xdr:row>18</xdr:row>
                <xdr:rowOff>9525</xdr:rowOff>
              </to>
            </anchor>
          </controlPr>
        </control>
      </mc:Choice>
      <mc:Fallback>
        <control shapeId="9263" r:id="rId8" name="ToggleButton3"/>
      </mc:Fallback>
    </mc:AlternateContent>
    <mc:AlternateContent xmlns:mc="http://schemas.openxmlformats.org/markup-compatibility/2006">
      <mc:Choice Requires="x14">
        <control shapeId="9264" r:id="rId10" name="ToggleButton4">
          <controlPr defaultSize="0" autoLine="0" r:id="rId11">
            <anchor moveWithCells="1">
              <from>
                <xdr:col>0</xdr:col>
                <xdr:colOff>2124075</xdr:colOff>
                <xdr:row>20</xdr:row>
                <xdr:rowOff>9525</xdr:rowOff>
              </from>
              <to>
                <xdr:col>0</xdr:col>
                <xdr:colOff>2552700</xdr:colOff>
                <xdr:row>21</xdr:row>
                <xdr:rowOff>9525</xdr:rowOff>
              </to>
            </anchor>
          </controlPr>
        </control>
      </mc:Choice>
      <mc:Fallback>
        <control shapeId="9264" r:id="rId10" name="ToggleButton4"/>
      </mc:Fallback>
    </mc:AlternateContent>
    <mc:AlternateContent xmlns:mc="http://schemas.openxmlformats.org/markup-compatibility/2006">
      <mc:Choice Requires="x14">
        <control shapeId="9265" r:id="rId12" name="ToggleButton5">
          <controlPr defaultSize="0" autoLine="0" r:id="rId13">
            <anchor moveWithCells="1">
              <from>
                <xdr:col>0</xdr:col>
                <xdr:colOff>2943225</xdr:colOff>
                <xdr:row>24</xdr:row>
                <xdr:rowOff>9525</xdr:rowOff>
              </from>
              <to>
                <xdr:col>0</xdr:col>
                <xdr:colOff>3371850</xdr:colOff>
                <xdr:row>25</xdr:row>
                <xdr:rowOff>19050</xdr:rowOff>
              </to>
            </anchor>
          </controlPr>
        </control>
      </mc:Choice>
      <mc:Fallback>
        <control shapeId="9265" r:id="rId12" name="ToggleButton5"/>
      </mc:Fallback>
    </mc:AlternateContent>
    <mc:AlternateContent xmlns:mc="http://schemas.openxmlformats.org/markup-compatibility/2006">
      <mc:Choice Requires="x14">
        <control shapeId="9266" r:id="rId14" name="ToggleButton6">
          <controlPr defaultSize="0" autoLine="0" autoPict="0" r:id="rId15">
            <anchor moveWithCells="1">
              <from>
                <xdr:col>0</xdr:col>
                <xdr:colOff>3381375</xdr:colOff>
                <xdr:row>35</xdr:row>
                <xdr:rowOff>9525</xdr:rowOff>
              </from>
              <to>
                <xdr:col>0</xdr:col>
                <xdr:colOff>3810000</xdr:colOff>
                <xdr:row>35</xdr:row>
                <xdr:rowOff>276225</xdr:rowOff>
              </to>
            </anchor>
          </controlPr>
        </control>
      </mc:Choice>
      <mc:Fallback>
        <control shapeId="9266" r:id="rId14" name="ToggleButton6"/>
      </mc:Fallback>
    </mc:AlternateContent>
    <mc:AlternateContent xmlns:mc="http://schemas.openxmlformats.org/markup-compatibility/2006">
      <mc:Choice Requires="x14">
        <control shapeId="9267" r:id="rId16" name="ToggleButton7">
          <controlPr defaultSize="0" autoLine="0" r:id="rId17">
            <anchor moveWithCells="1">
              <from>
                <xdr:col>0</xdr:col>
                <xdr:colOff>3057525</xdr:colOff>
                <xdr:row>39</xdr:row>
                <xdr:rowOff>9525</xdr:rowOff>
              </from>
              <to>
                <xdr:col>0</xdr:col>
                <xdr:colOff>3486150</xdr:colOff>
                <xdr:row>40</xdr:row>
                <xdr:rowOff>0</xdr:rowOff>
              </to>
            </anchor>
          </controlPr>
        </control>
      </mc:Choice>
      <mc:Fallback>
        <control shapeId="9267" r:id="rId16" name="ToggleButton7"/>
      </mc:Fallback>
    </mc:AlternateContent>
    <mc:AlternateContent xmlns:mc="http://schemas.openxmlformats.org/markup-compatibility/2006">
      <mc:Choice Requires="x14">
        <control shapeId="9268" r:id="rId18" name="ToggleButton8">
          <controlPr defaultSize="0" autoLine="0" r:id="rId19">
            <anchor moveWithCells="1">
              <from>
                <xdr:col>0</xdr:col>
                <xdr:colOff>3086100</xdr:colOff>
                <xdr:row>45</xdr:row>
                <xdr:rowOff>9525</xdr:rowOff>
              </from>
              <to>
                <xdr:col>0</xdr:col>
                <xdr:colOff>3514725</xdr:colOff>
                <xdr:row>46</xdr:row>
                <xdr:rowOff>9525</xdr:rowOff>
              </to>
            </anchor>
          </controlPr>
        </control>
      </mc:Choice>
      <mc:Fallback>
        <control shapeId="9268" r:id="rId18" name="ToggleButton8"/>
      </mc:Fallback>
    </mc:AlternateContent>
    <mc:AlternateContent xmlns:mc="http://schemas.openxmlformats.org/markup-compatibility/2006">
      <mc:Choice Requires="x14">
        <control shapeId="9269" r:id="rId20" name="ToggleButton9">
          <controlPr defaultSize="0" autoLine="0" r:id="rId21">
            <anchor moveWithCells="1">
              <from>
                <xdr:col>0</xdr:col>
                <xdr:colOff>2924175</xdr:colOff>
                <xdr:row>57</xdr:row>
                <xdr:rowOff>9525</xdr:rowOff>
              </from>
              <to>
                <xdr:col>0</xdr:col>
                <xdr:colOff>3362325</xdr:colOff>
                <xdr:row>58</xdr:row>
                <xdr:rowOff>0</xdr:rowOff>
              </to>
            </anchor>
          </controlPr>
        </control>
      </mc:Choice>
      <mc:Fallback>
        <control shapeId="9269" r:id="rId20" name="ToggleButton9"/>
      </mc:Fallback>
    </mc:AlternateContent>
    <mc:AlternateContent xmlns:mc="http://schemas.openxmlformats.org/markup-compatibility/2006">
      <mc:Choice Requires="x14">
        <control shapeId="9270" r:id="rId22" name="ToggleButton10">
          <controlPr defaultSize="0" autoLine="0" r:id="rId23">
            <anchor moveWithCells="1">
              <from>
                <xdr:col>0</xdr:col>
                <xdr:colOff>2781300</xdr:colOff>
                <xdr:row>66</xdr:row>
                <xdr:rowOff>9525</xdr:rowOff>
              </from>
              <to>
                <xdr:col>0</xdr:col>
                <xdr:colOff>3219450</xdr:colOff>
                <xdr:row>66</xdr:row>
                <xdr:rowOff>257175</xdr:rowOff>
              </to>
            </anchor>
          </controlPr>
        </control>
      </mc:Choice>
      <mc:Fallback>
        <control shapeId="9270" r:id="rId22" name="ToggleButton10"/>
      </mc:Fallback>
    </mc:AlternateContent>
    <mc:AlternateContent xmlns:mc="http://schemas.openxmlformats.org/markup-compatibility/2006">
      <mc:Choice Requires="x14">
        <control shapeId="9271" r:id="rId24" name="ToggleButton11">
          <controlPr defaultSize="0" autoLine="0" r:id="rId25">
            <anchor moveWithCells="1">
              <from>
                <xdr:col>0</xdr:col>
                <xdr:colOff>2619375</xdr:colOff>
                <xdr:row>71</xdr:row>
                <xdr:rowOff>9525</xdr:rowOff>
              </from>
              <to>
                <xdr:col>0</xdr:col>
                <xdr:colOff>3057525</xdr:colOff>
                <xdr:row>72</xdr:row>
                <xdr:rowOff>0</xdr:rowOff>
              </to>
            </anchor>
          </controlPr>
        </control>
      </mc:Choice>
      <mc:Fallback>
        <control shapeId="9271" r:id="rId24" name="ToggleButton11"/>
      </mc:Fallback>
    </mc:AlternateContent>
    <mc:AlternateContent xmlns:mc="http://schemas.openxmlformats.org/markup-compatibility/2006">
      <mc:Choice Requires="x14">
        <control shapeId="9272" r:id="rId26" name="ToggleButton12">
          <controlPr defaultSize="0" autoLine="0" r:id="rId27">
            <anchor moveWithCells="1">
              <from>
                <xdr:col>0</xdr:col>
                <xdr:colOff>2505075</xdr:colOff>
                <xdr:row>83</xdr:row>
                <xdr:rowOff>19050</xdr:rowOff>
              </from>
              <to>
                <xdr:col>0</xdr:col>
                <xdr:colOff>2943225</xdr:colOff>
                <xdr:row>84</xdr:row>
                <xdr:rowOff>0</xdr:rowOff>
              </to>
            </anchor>
          </controlPr>
        </control>
      </mc:Choice>
      <mc:Fallback>
        <control shapeId="9272" r:id="rId26" name="ToggleButton12"/>
      </mc:Fallback>
    </mc:AlternateContent>
    <mc:AlternateContent xmlns:mc="http://schemas.openxmlformats.org/markup-compatibility/2006">
      <mc:Choice Requires="x14">
        <control shapeId="9253" r:id="rId28" name="Button 37">
          <controlPr defaultSize="0" print="0" autoFill="0" autoPict="0" macro="[0]!résult_net_caché">
            <anchor moveWithCells="1" sizeWithCells="1">
              <from>
                <xdr:col>0</xdr:col>
                <xdr:colOff>2933700</xdr:colOff>
                <xdr:row>84</xdr:row>
                <xdr:rowOff>0</xdr:rowOff>
              </from>
              <to>
                <xdr:col>0</xdr:col>
                <xdr:colOff>3209925</xdr:colOff>
                <xdr:row>84</xdr:row>
                <xdr:rowOff>0</xdr:rowOff>
              </to>
            </anchor>
          </controlPr>
        </control>
      </mc:Choice>
    </mc:AlternateContent>
    <mc:AlternateContent xmlns:mc="http://schemas.openxmlformats.org/markup-compatibility/2006">
      <mc:Choice Requires="x14">
        <control shapeId="9260" r:id="rId29" name="Button 44">
          <controlPr defaultSize="0" print="0" autoFill="0" autoPict="0" macro="[0]!résult_net_affiché">
            <anchor moveWithCells="1" sizeWithCells="1">
              <from>
                <xdr:col>0</xdr:col>
                <xdr:colOff>3267075</xdr:colOff>
                <xdr:row>84</xdr:row>
                <xdr:rowOff>0</xdr:rowOff>
              </from>
              <to>
                <xdr:col>0</xdr:col>
                <xdr:colOff>3533775</xdr:colOff>
                <xdr:row>84</xdr:row>
                <xdr:rowOff>0</xdr:rowOff>
              </to>
            </anchor>
          </controlPr>
        </control>
      </mc:Choice>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66E13F"/>
  </sheetPr>
  <dimension ref="A1:AN132"/>
  <sheetViews>
    <sheetView zoomScale="70" zoomScaleNormal="70" workbookViewId="0">
      <pane ySplit="4" topLeftCell="A5" activePane="bottomLeft" state="frozen"/>
      <selection pane="bottomLeft" activeCell="Q10" sqref="Q10"/>
    </sheetView>
  </sheetViews>
  <sheetFormatPr baseColWidth="10" defaultRowHeight="15" x14ac:dyDescent="0.25"/>
  <cols>
    <col min="1" max="1" width="49.5703125" customWidth="1"/>
    <col min="2" max="2" width="12.5703125" customWidth="1"/>
    <col min="6" max="6" width="13.85546875" hidden="1" customWidth="1"/>
    <col min="7" max="7" width="11.85546875" hidden="1" customWidth="1"/>
    <col min="8" max="8" width="16.140625" hidden="1" customWidth="1"/>
    <col min="9" max="9" width="14.42578125" hidden="1" customWidth="1"/>
    <col min="10" max="10" width="18.85546875" style="311" customWidth="1"/>
    <col min="11" max="23" width="10.85546875" style="311"/>
    <col min="24" max="40" width="10.85546875" style="123"/>
  </cols>
  <sheetData>
    <row r="1" spans="1:40" ht="21" customHeight="1" x14ac:dyDescent="0.25">
      <c r="A1" s="279" t="s">
        <v>552</v>
      </c>
      <c r="B1" s="320"/>
      <c r="C1" s="320"/>
      <c r="D1" s="320"/>
      <c r="E1" s="320"/>
      <c r="F1" s="123"/>
      <c r="G1" s="123"/>
      <c r="H1" s="123"/>
      <c r="I1" s="123"/>
    </row>
    <row r="2" spans="1:40" s="213" customFormat="1" ht="14.45" customHeight="1" x14ac:dyDescent="0.25">
      <c r="A2" s="322" t="s">
        <v>553</v>
      </c>
      <c r="B2" s="321"/>
      <c r="C2" s="321"/>
      <c r="D2" s="321"/>
      <c r="E2" s="321"/>
      <c r="F2" s="123"/>
      <c r="G2" s="123"/>
      <c r="H2" s="123"/>
      <c r="I2" s="123"/>
      <c r="J2" s="311"/>
      <c r="K2" s="311"/>
      <c r="L2" s="311"/>
      <c r="M2" s="311"/>
      <c r="N2" s="311"/>
      <c r="O2" s="311"/>
      <c r="P2" s="311"/>
      <c r="Q2" s="311"/>
      <c r="R2" s="311"/>
      <c r="S2" s="311"/>
      <c r="T2" s="311"/>
      <c r="U2" s="311"/>
      <c r="V2" s="311"/>
      <c r="W2" s="311"/>
      <c r="X2" s="123"/>
      <c r="Y2" s="123"/>
      <c r="Z2" s="123"/>
      <c r="AA2" s="123"/>
      <c r="AB2" s="123"/>
      <c r="AC2" s="123"/>
      <c r="AD2" s="123"/>
      <c r="AE2" s="123"/>
      <c r="AF2" s="123"/>
      <c r="AG2" s="123"/>
      <c r="AH2" s="123"/>
      <c r="AI2" s="123"/>
      <c r="AJ2" s="123"/>
      <c r="AK2" s="123"/>
      <c r="AL2" s="123"/>
      <c r="AM2" s="123"/>
      <c r="AN2" s="123"/>
    </row>
    <row r="3" spans="1:40" s="213" customFormat="1" ht="24.95" customHeight="1" x14ac:dyDescent="0.25">
      <c r="A3" s="256"/>
      <c r="B3" s="251"/>
      <c r="C3" s="251"/>
      <c r="D3" s="251"/>
      <c r="E3" s="251"/>
      <c r="F3" s="123"/>
      <c r="G3" s="123"/>
      <c r="H3" s="123"/>
      <c r="I3" s="123"/>
      <c r="J3" s="311"/>
      <c r="K3" s="311"/>
      <c r="L3" s="311"/>
      <c r="M3" s="311"/>
      <c r="N3" s="311"/>
      <c r="O3" s="311"/>
      <c r="P3" s="311"/>
      <c r="Q3" s="311"/>
      <c r="R3" s="311"/>
      <c r="S3" s="311"/>
      <c r="T3" s="311"/>
      <c r="U3" s="311"/>
      <c r="V3" s="311"/>
      <c r="W3" s="311"/>
      <c r="X3" s="123"/>
      <c r="Y3" s="123"/>
      <c r="Z3" s="123"/>
      <c r="AA3" s="123"/>
      <c r="AB3" s="123"/>
      <c r="AC3" s="123"/>
      <c r="AD3" s="123"/>
      <c r="AE3" s="123"/>
      <c r="AF3" s="123"/>
      <c r="AG3" s="123"/>
      <c r="AH3" s="123"/>
      <c r="AI3" s="123"/>
      <c r="AJ3" s="123"/>
      <c r="AK3" s="123"/>
      <c r="AL3" s="123"/>
      <c r="AM3" s="123"/>
      <c r="AN3" s="123"/>
    </row>
    <row r="4" spans="1:40" s="213" customFormat="1" ht="18.600000000000001" customHeight="1" x14ac:dyDescent="0.3">
      <c r="A4" s="290" t="s">
        <v>555</v>
      </c>
      <c r="B4" s="291" t="s">
        <v>496</v>
      </c>
      <c r="C4" s="291" t="s">
        <v>495</v>
      </c>
      <c r="D4" s="291" t="s">
        <v>494</v>
      </c>
      <c r="E4" s="291" t="s">
        <v>493</v>
      </c>
      <c r="F4" s="298" t="s">
        <v>520</v>
      </c>
      <c r="G4" s="298" t="s">
        <v>519</v>
      </c>
      <c r="H4" s="298" t="s">
        <v>521</v>
      </c>
      <c r="I4" s="299" t="s">
        <v>522</v>
      </c>
      <c r="J4" s="311"/>
      <c r="K4" s="311"/>
      <c r="L4" s="311"/>
      <c r="M4" s="311"/>
      <c r="N4" s="311"/>
      <c r="O4" s="311"/>
      <c r="P4" s="311"/>
      <c r="Q4" s="311"/>
      <c r="R4" s="311"/>
      <c r="S4" s="311"/>
      <c r="T4" s="311"/>
      <c r="U4" s="311"/>
      <c r="V4" s="311"/>
      <c r="W4" s="311"/>
      <c r="X4" s="123"/>
      <c r="Y4" s="123"/>
      <c r="Z4" s="123"/>
      <c r="AA4" s="123"/>
      <c r="AB4" s="123"/>
      <c r="AC4" s="123"/>
      <c r="AD4" s="123"/>
      <c r="AE4" s="123"/>
      <c r="AF4" s="123"/>
      <c r="AG4" s="123"/>
      <c r="AH4" s="123"/>
      <c r="AI4" s="123"/>
      <c r="AJ4" s="123"/>
      <c r="AK4" s="123"/>
      <c r="AL4" s="123"/>
      <c r="AM4" s="123"/>
      <c r="AN4" s="123"/>
    </row>
    <row r="5" spans="1:40" s="216" customFormat="1" x14ac:dyDescent="0.25">
      <c r="A5" s="262" t="s">
        <v>559</v>
      </c>
      <c r="B5" s="277"/>
      <c r="C5" s="277"/>
      <c r="D5" s="277"/>
      <c r="E5" s="277"/>
      <c r="F5" s="277" t="s">
        <v>520</v>
      </c>
      <c r="G5" s="277" t="s">
        <v>519</v>
      </c>
      <c r="H5" s="277" t="s">
        <v>521</v>
      </c>
      <c r="I5" s="300" t="s">
        <v>522</v>
      </c>
      <c r="J5" s="312"/>
      <c r="K5" s="313"/>
      <c r="L5" s="312"/>
      <c r="M5" s="312"/>
      <c r="N5" s="312"/>
      <c r="O5" s="312"/>
      <c r="P5" s="312"/>
      <c r="Q5" s="312"/>
      <c r="R5" s="312"/>
      <c r="S5" s="312"/>
      <c r="T5" s="312"/>
      <c r="U5" s="312"/>
      <c r="V5" s="312"/>
      <c r="W5" s="312"/>
      <c r="X5" s="313"/>
      <c r="Y5" s="313"/>
      <c r="Z5" s="313"/>
      <c r="AA5" s="313"/>
      <c r="AB5" s="313"/>
      <c r="AC5" s="313"/>
      <c r="AD5" s="313"/>
      <c r="AE5" s="313"/>
      <c r="AF5" s="313"/>
      <c r="AG5" s="313"/>
      <c r="AH5" s="313"/>
      <c r="AI5" s="313"/>
      <c r="AJ5" s="313"/>
      <c r="AK5" s="313"/>
      <c r="AL5" s="313"/>
      <c r="AM5" s="313"/>
      <c r="AN5" s="313"/>
    </row>
    <row r="6" spans="1:40" s="216" customFormat="1" x14ac:dyDescent="0.25">
      <c r="A6" s="263" t="s">
        <v>523</v>
      </c>
      <c r="B6" s="264">
        <f>(compte_résultat_sectoriels!B5/compte_résultat_sectoriels!B4)*100</f>
        <v>6.5138635180781908</v>
      </c>
      <c r="C6" s="264">
        <f>(compte_résultat_sectoriels!C5/compte_résultat_sectoriels!C4)*100</f>
        <v>7.5568317239414613</v>
      </c>
      <c r="D6" s="264">
        <f>(compte_résultat_sectoriels!D5/compte_résultat_sectoriels!D4)*100</f>
        <v>9.7058296570276141</v>
      </c>
      <c r="E6" s="264">
        <f>(compte_résultat_sectoriels!E5/compte_résultat_sectoriels!E4)*100</f>
        <v>8.9286624623062725</v>
      </c>
      <c r="F6" s="264">
        <f>QUARTILE(B6:E6,1)</f>
        <v>7.2960896724756434</v>
      </c>
      <c r="G6" s="264">
        <f>MEDIAN(B6:E6)</f>
        <v>8.2427470931238673</v>
      </c>
      <c r="H6" s="264">
        <f>QUARTILE(B6:E6,3)</f>
        <v>9.1229542609866083</v>
      </c>
      <c r="I6" s="301">
        <f>AVERAGE(B6:E6)</f>
        <v>8.1762968403383844</v>
      </c>
      <c r="J6" s="312"/>
      <c r="K6" s="123"/>
      <c r="L6" s="312"/>
      <c r="M6" s="312"/>
      <c r="N6" s="312"/>
      <c r="O6" s="312"/>
      <c r="P6" s="312"/>
      <c r="Q6" s="312"/>
      <c r="R6" s="312"/>
      <c r="S6" s="312"/>
      <c r="T6" s="312"/>
      <c r="U6" s="312"/>
      <c r="V6" s="312"/>
      <c r="W6" s="312"/>
      <c r="X6" s="313"/>
      <c r="Y6" s="313"/>
      <c r="Z6" s="313"/>
      <c r="AA6" s="313"/>
      <c r="AB6" s="313"/>
      <c r="AC6" s="313"/>
      <c r="AD6" s="313"/>
      <c r="AE6" s="313"/>
      <c r="AF6" s="313"/>
      <c r="AG6" s="313"/>
      <c r="AH6" s="313"/>
      <c r="AI6" s="313"/>
      <c r="AJ6" s="313"/>
      <c r="AK6" s="313"/>
      <c r="AL6" s="313"/>
      <c r="AM6" s="313"/>
      <c r="AN6" s="313"/>
    </row>
    <row r="7" spans="1:40" s="216" customFormat="1" x14ac:dyDescent="0.25">
      <c r="A7" s="263" t="s">
        <v>524</v>
      </c>
      <c r="B7" s="263">
        <f>(compte_résultat_sectoriels!B9/compte_résultat_sectoriels!B4)*100</f>
        <v>93.846082074592857</v>
      </c>
      <c r="C7" s="263">
        <f>(compte_résultat_sectoriels!C9/compte_résultat_sectoriels!C4)*100</f>
        <v>92.639059496493275</v>
      </c>
      <c r="D7" s="263">
        <f>(compte_résultat_sectoriels!D9/compte_résultat_sectoriels!D4)*100</f>
        <v>91.077527915800857</v>
      </c>
      <c r="E7" s="264">
        <f>(compte_résultat_sectoriels!E9/compte_résultat_sectoriels!E4)*100</f>
        <v>91.133802812357018</v>
      </c>
      <c r="F7" s="264">
        <f>QUARTILE(B7:E7,1)</f>
        <v>91.119734088217982</v>
      </c>
      <c r="G7" s="264">
        <f>MEDIAN(B7:E7)</f>
        <v>91.886431154425139</v>
      </c>
      <c r="H7" s="264">
        <f>QUARTILE(B7:E7,3)</f>
        <v>92.940815141018163</v>
      </c>
      <c r="I7" s="301">
        <f>AVERAGE(B7:E7)</f>
        <v>92.174118074811005</v>
      </c>
      <c r="J7" s="312"/>
      <c r="K7" s="123"/>
      <c r="L7" s="312"/>
      <c r="M7" s="312"/>
      <c r="N7" s="312"/>
      <c r="O7" s="312"/>
      <c r="P7" s="312"/>
      <c r="Q7" s="312"/>
      <c r="R7" s="312"/>
      <c r="S7" s="312"/>
      <c r="T7" s="312"/>
      <c r="U7" s="312"/>
      <c r="V7" s="312"/>
      <c r="W7" s="312"/>
      <c r="X7" s="313"/>
      <c r="Y7" s="313"/>
      <c r="Z7" s="313"/>
      <c r="AA7" s="313"/>
      <c r="AB7" s="313"/>
      <c r="AC7" s="313"/>
      <c r="AD7" s="313"/>
      <c r="AE7" s="313"/>
      <c r="AF7" s="313"/>
      <c r="AG7" s="313"/>
      <c r="AH7" s="313"/>
      <c r="AI7" s="313"/>
      <c r="AJ7" s="313"/>
      <c r="AK7" s="313"/>
      <c r="AL7" s="313"/>
      <c r="AM7" s="313"/>
      <c r="AN7" s="313"/>
    </row>
    <row r="8" spans="1:40" s="216" customFormat="1" x14ac:dyDescent="0.25">
      <c r="A8" s="263" t="s">
        <v>560</v>
      </c>
      <c r="B8" s="281">
        <f>(compte_résultat_sectoriels!B4/compte_résultat_sectoriels!B13)*100</f>
        <v>93.58086791266166</v>
      </c>
      <c r="C8" s="281">
        <f>(compte_résultat_sectoriels!C4/compte_résultat_sectoriels!C13)*100</f>
        <v>93.686719543792748</v>
      </c>
      <c r="D8" s="281">
        <f>(compte_résultat_sectoriels!D4/compte_résultat_sectoriels!D13)*100</f>
        <v>92.968846325293768</v>
      </c>
      <c r="E8" s="281">
        <f>(compte_résultat_sectoriels!E4/compte_résultat_sectoriels!E13)*100</f>
        <v>95.100107087735225</v>
      </c>
      <c r="F8" s="264"/>
      <c r="G8" s="264"/>
      <c r="H8" s="264"/>
      <c r="I8" s="301"/>
      <c r="J8" s="312"/>
      <c r="K8" s="123"/>
      <c r="L8" s="312"/>
      <c r="M8" s="312"/>
      <c r="N8" s="312"/>
      <c r="O8" s="312"/>
      <c r="P8" s="312"/>
      <c r="Q8" s="312"/>
      <c r="R8" s="312"/>
      <c r="S8" s="312"/>
      <c r="T8" s="312"/>
      <c r="U8" s="312"/>
      <c r="V8" s="312"/>
      <c r="W8" s="312"/>
      <c r="X8" s="313"/>
      <c r="Y8" s="313"/>
      <c r="Z8" s="313"/>
      <c r="AA8" s="313"/>
      <c r="AB8" s="313"/>
      <c r="AC8" s="313"/>
      <c r="AD8" s="313"/>
      <c r="AE8" s="313"/>
      <c r="AF8" s="313"/>
      <c r="AG8" s="313"/>
      <c r="AH8" s="313"/>
      <c r="AI8" s="313"/>
      <c r="AJ8" s="313"/>
      <c r="AK8" s="313"/>
      <c r="AL8" s="313"/>
      <c r="AM8" s="313"/>
      <c r="AN8" s="313"/>
    </row>
    <row r="9" spans="1:40" s="216" customFormat="1" ht="30" x14ac:dyDescent="0.25">
      <c r="A9" s="283" t="s">
        <v>561</v>
      </c>
      <c r="B9" s="265">
        <f>(compte_résultat_sectoriels!B10/compte_résultat_sectoriels!B13)*100</f>
        <v>3.1291077554422753</v>
      </c>
      <c r="C9" s="265">
        <f>(compte_résultat_sectoriels!C10/compte_résultat_sectoriels!C13)*100</f>
        <v>2.9614890156424862</v>
      </c>
      <c r="D9" s="265">
        <f>(compte_résultat_sectoriels!D10/compte_résultat_sectoriels!D13)*100</f>
        <v>2.8425149615410152</v>
      </c>
      <c r="E9" s="265">
        <f>(compte_résultat_sectoriels!E10/compte_résultat_sectoriels!E13)*100</f>
        <v>2.20471861086649</v>
      </c>
      <c r="F9" s="264">
        <f>QUARTILE(B9:E9,1)</f>
        <v>2.6830658738723838</v>
      </c>
      <c r="G9" s="264">
        <f>MEDIAN(B9:E9)</f>
        <v>2.902001988591751</v>
      </c>
      <c r="H9" s="264">
        <f>QUARTILE(B9:E9,3)</f>
        <v>3.0033937005924334</v>
      </c>
      <c r="I9" s="301">
        <f>AVERAGE(B9:E9)</f>
        <v>2.7844575858730667</v>
      </c>
      <c r="J9" s="312"/>
      <c r="K9" s="312"/>
      <c r="L9" s="312"/>
      <c r="M9" s="312"/>
      <c r="N9" s="312"/>
      <c r="O9" s="312"/>
      <c r="P9" s="312"/>
      <c r="Q9" s="312"/>
      <c r="R9" s="312"/>
      <c r="S9" s="312"/>
      <c r="T9" s="312"/>
      <c r="U9" s="312"/>
      <c r="V9" s="312"/>
      <c r="W9" s="312"/>
      <c r="X9" s="313"/>
      <c r="Y9" s="313"/>
      <c r="Z9" s="313"/>
      <c r="AA9" s="313"/>
      <c r="AB9" s="313"/>
      <c r="AC9" s="313"/>
      <c r="AD9" s="313"/>
      <c r="AE9" s="313"/>
      <c r="AF9" s="313"/>
      <c r="AG9" s="313"/>
      <c r="AH9" s="313"/>
      <c r="AI9" s="313"/>
      <c r="AJ9" s="313"/>
      <c r="AK9" s="313"/>
      <c r="AL9" s="313"/>
      <c r="AM9" s="313"/>
      <c r="AN9" s="313"/>
    </row>
    <row r="10" spans="1:40" s="216" customFormat="1" ht="30" x14ac:dyDescent="0.25">
      <c r="A10" s="283" t="s">
        <v>562</v>
      </c>
      <c r="B10" s="265">
        <f>(compte_résultat_sectoriels!B11/compte_résultat_sectoriels!B13)</f>
        <v>2.1050125615886199E-2</v>
      </c>
      <c r="C10" s="265">
        <f>(compte_résultat_sectoriels!C11/compte_résultat_sectoriels!C13)</f>
        <v>2.1292886692061429E-2</v>
      </c>
      <c r="D10" s="265">
        <f>(compte_résultat_sectoriels!D11/compte_résultat_sectoriels!D13)</f>
        <v>2.4676465567115908E-2</v>
      </c>
      <c r="E10" s="265">
        <f>(compte_résultat_sectoriels!E11/compte_résultat_sectoriels!E13)</f>
        <v>1.6908815867395312E-2</v>
      </c>
      <c r="F10" s="264">
        <f>QUARTILE(B10:E10,1)</f>
        <v>2.0014798178763477E-2</v>
      </c>
      <c r="G10" s="264">
        <f>MEDIAN(B10:E10)</f>
        <v>2.1171506153973813E-2</v>
      </c>
      <c r="H10" s="264">
        <f>QUARTILE(B10:E10,3)</f>
        <v>2.2138781410825051E-2</v>
      </c>
      <c r="I10" s="301">
        <f>AVERAGE(B10:E10)</f>
        <v>2.0982073435614711E-2</v>
      </c>
      <c r="J10" s="312"/>
      <c r="K10" s="312"/>
      <c r="L10" s="312"/>
      <c r="M10" s="312"/>
      <c r="N10" s="312"/>
      <c r="O10" s="312"/>
      <c r="P10" s="312"/>
      <c r="Q10" s="312"/>
      <c r="R10" s="312"/>
      <c r="S10" s="312"/>
      <c r="T10" s="312"/>
      <c r="U10" s="312"/>
      <c r="V10" s="312"/>
      <c r="W10" s="312"/>
      <c r="X10" s="313"/>
      <c r="Y10" s="313"/>
      <c r="Z10" s="313"/>
      <c r="AA10" s="313"/>
      <c r="AB10" s="313"/>
      <c r="AC10" s="313"/>
      <c r="AD10" s="313"/>
      <c r="AE10" s="313"/>
      <c r="AF10" s="313"/>
      <c r="AG10" s="313"/>
      <c r="AH10" s="313"/>
      <c r="AI10" s="313"/>
      <c r="AJ10" s="313"/>
      <c r="AK10" s="313"/>
      <c r="AL10" s="313"/>
      <c r="AM10" s="313"/>
      <c r="AN10" s="313"/>
    </row>
    <row r="11" spans="1:40" s="216" customFormat="1" ht="30" x14ac:dyDescent="0.25">
      <c r="A11" s="284" t="s">
        <v>563</v>
      </c>
      <c r="B11" s="265">
        <f>(compte_résultat_sectoriels!B12/compte_résultat_sectoriels!B13)*100</f>
        <v>0.84810334677829191</v>
      </c>
      <c r="C11" s="265">
        <f>(compte_résultat_sectoriels!C12/compte_résultat_sectoriels!C13)*100</f>
        <v>1.0390447764349295</v>
      </c>
      <c r="D11" s="265">
        <f>(compte_résultat_sectoriels!D12/compte_résultat_sectoriels!D13)*100</f>
        <v>0.99265438128930072</v>
      </c>
      <c r="E11" s="265">
        <f>(compte_résultat_sectoriels!E12/compte_résultat_sectoriels!E13)*100</f>
        <v>0.94488817156130234</v>
      </c>
      <c r="F11" s="264">
        <f>QUARTILE(B11:E11,1)</f>
        <v>0.92069196536554976</v>
      </c>
      <c r="G11" s="264">
        <f>MEDIAN(B11:E11)</f>
        <v>0.96877127642530159</v>
      </c>
      <c r="H11" s="264">
        <f>QUARTILE(B11:E11,3)</f>
        <v>1.0042519800757079</v>
      </c>
      <c r="I11" s="301">
        <f>AVERAGE(B11:E11)</f>
        <v>0.9561726690159561</v>
      </c>
      <c r="J11" s="312"/>
      <c r="K11" s="312"/>
      <c r="L11" s="312"/>
      <c r="M11" s="312"/>
      <c r="N11" s="312"/>
      <c r="O11" s="312"/>
      <c r="P11" s="312"/>
      <c r="Q11" s="312"/>
      <c r="R11" s="312"/>
      <c r="S11" s="312"/>
      <c r="T11" s="312"/>
      <c r="U11" s="312"/>
      <c r="V11" s="312"/>
      <c r="W11" s="312"/>
      <c r="X11" s="313"/>
      <c r="Y11" s="313"/>
      <c r="Z11" s="313"/>
      <c r="AA11" s="313"/>
      <c r="AB11" s="313"/>
      <c r="AC11" s="313"/>
      <c r="AD11" s="313"/>
      <c r="AE11" s="313"/>
      <c r="AF11" s="313"/>
      <c r="AG11" s="313"/>
      <c r="AH11" s="313"/>
      <c r="AI11" s="313"/>
      <c r="AJ11" s="313"/>
      <c r="AK11" s="313"/>
      <c r="AL11" s="313"/>
      <c r="AM11" s="313"/>
      <c r="AN11" s="313"/>
    </row>
    <row r="12" spans="1:40" s="216" customFormat="1" x14ac:dyDescent="0.25">
      <c r="A12" s="430"/>
      <c r="B12" s="430"/>
      <c r="C12" s="430"/>
      <c r="D12" s="430"/>
      <c r="E12" s="430"/>
      <c r="F12" s="430"/>
      <c r="G12" s="430"/>
      <c r="H12" s="430"/>
      <c r="I12" s="431"/>
      <c r="J12" s="312"/>
      <c r="K12" s="312"/>
      <c r="L12" s="312"/>
      <c r="M12" s="312"/>
      <c r="N12" s="312"/>
      <c r="O12" s="312"/>
      <c r="P12" s="312"/>
      <c r="Q12" s="312"/>
      <c r="R12" s="312"/>
      <c r="S12" s="312"/>
      <c r="T12" s="312"/>
      <c r="U12" s="312"/>
      <c r="V12" s="312"/>
      <c r="W12" s="312"/>
      <c r="X12" s="313"/>
      <c r="Y12" s="313"/>
      <c r="Z12" s="313"/>
      <c r="AA12" s="313"/>
      <c r="AB12" s="313"/>
      <c r="AC12" s="313"/>
      <c r="AD12" s="313"/>
      <c r="AE12" s="313"/>
      <c r="AF12" s="313"/>
      <c r="AG12" s="313"/>
      <c r="AH12" s="313"/>
      <c r="AI12" s="313"/>
      <c r="AJ12" s="313"/>
      <c r="AK12" s="313"/>
      <c r="AL12" s="313"/>
      <c r="AM12" s="313"/>
      <c r="AN12" s="313"/>
    </row>
    <row r="13" spans="1:40" s="216" customFormat="1" x14ac:dyDescent="0.25">
      <c r="A13" s="278" t="s">
        <v>556</v>
      </c>
      <c r="B13" s="266"/>
      <c r="C13" s="267"/>
      <c r="D13" s="267"/>
      <c r="E13" s="267"/>
      <c r="F13" s="267"/>
      <c r="G13" s="267"/>
      <c r="H13" s="267"/>
      <c r="I13" s="302"/>
      <c r="J13" s="312"/>
      <c r="K13" s="312"/>
      <c r="L13" s="312"/>
      <c r="M13" s="312"/>
      <c r="N13" s="312"/>
      <c r="O13" s="312"/>
      <c r="P13" s="312"/>
      <c r="Q13" s="312"/>
      <c r="R13" s="312"/>
      <c r="S13" s="312"/>
      <c r="T13" s="312"/>
      <c r="U13" s="312"/>
      <c r="V13" s="312"/>
      <c r="W13" s="312"/>
      <c r="X13" s="313"/>
      <c r="Y13" s="313"/>
      <c r="Z13" s="313"/>
      <c r="AA13" s="313"/>
      <c r="AB13" s="313"/>
      <c r="AC13" s="313"/>
      <c r="AD13" s="313"/>
      <c r="AE13" s="313"/>
      <c r="AF13" s="313"/>
      <c r="AG13" s="313"/>
      <c r="AH13" s="313"/>
      <c r="AI13" s="313"/>
      <c r="AJ13" s="313"/>
      <c r="AK13" s="313"/>
      <c r="AL13" s="313"/>
      <c r="AM13" s="313"/>
      <c r="AN13" s="313"/>
    </row>
    <row r="14" spans="1:40" s="216" customFormat="1" x14ac:dyDescent="0.25">
      <c r="A14" s="270" t="s">
        <v>545</v>
      </c>
      <c r="B14" s="271">
        <f>((compte_résultat_sectoriels!B14+compte_résultat_sectoriels!B15)/compte_résultat_sectoriels!B4)*100</f>
        <v>0.87537193648979417</v>
      </c>
      <c r="C14" s="271">
        <f>((compte_résultat_sectoriels!C14+compte_résultat_sectoriels!C15)/compte_résultat_sectoriels!C4)*100</f>
        <v>1.627984379473308</v>
      </c>
      <c r="D14" s="271">
        <f>((compte_résultat_sectoriels!D14+compte_résultat_sectoriels!D15)/compte_résultat_sectoriels!D4)*100</f>
        <v>3.9903033518089082</v>
      </c>
      <c r="E14" s="271">
        <f>((compte_résultat_sectoriels!E14+compte_résultat_sectoriels!E15)/compte_résultat_sectoriels!E4)*100</f>
        <v>3.6613168944691776</v>
      </c>
      <c r="F14" s="273">
        <f>QUARTILE(B14:E14,1)</f>
        <v>1.4398312687274295</v>
      </c>
      <c r="G14" s="273">
        <f>MEDIAN(B14:E14)</f>
        <v>2.6446506369712428</v>
      </c>
      <c r="H14" s="273">
        <f>QUARTILE(B14:E14,3)</f>
        <v>3.7435635088041104</v>
      </c>
      <c r="I14" s="303">
        <f>AVERAGE(B14:E14)</f>
        <v>2.5387441405602971</v>
      </c>
      <c r="J14" s="312"/>
      <c r="K14" s="312"/>
      <c r="L14" s="312"/>
      <c r="M14" s="312"/>
      <c r="N14" s="312"/>
      <c r="O14" s="312"/>
      <c r="P14" s="312"/>
      <c r="Q14" s="312"/>
      <c r="R14" s="312"/>
      <c r="S14" s="312"/>
      <c r="T14" s="312"/>
      <c r="U14" s="312"/>
      <c r="V14" s="312"/>
      <c r="W14" s="312"/>
      <c r="X14" s="313"/>
      <c r="Y14" s="313"/>
      <c r="Z14" s="313"/>
      <c r="AA14" s="313"/>
      <c r="AB14" s="313"/>
      <c r="AC14" s="313"/>
      <c r="AD14" s="313"/>
      <c r="AE14" s="313"/>
      <c r="AF14" s="313"/>
      <c r="AG14" s="313"/>
      <c r="AH14" s="313"/>
      <c r="AI14" s="313"/>
      <c r="AJ14" s="313"/>
      <c r="AK14" s="313"/>
      <c r="AL14" s="313"/>
      <c r="AM14" s="313"/>
      <c r="AN14" s="313"/>
    </row>
    <row r="15" spans="1:40" s="216" customFormat="1" x14ac:dyDescent="0.25">
      <c r="A15" s="272" t="s">
        <v>546</v>
      </c>
      <c r="B15" s="273">
        <f>((compte_résultat_sectoriels!B16+compte_résultat_sectoriels!B17)/compte_résultat_sectoriels!B4)*100</f>
        <v>12.999881913353558</v>
      </c>
      <c r="C15" s="273">
        <f>((compte_résultat_sectoriels!C16+compte_résultat_sectoriels!C17)/compte_résultat_sectoriels!C4)*100</f>
        <v>12.111478887044525</v>
      </c>
      <c r="D15" s="273">
        <f>((compte_résultat_sectoriels!D16+compte_résultat_sectoriels!D17)/compte_résultat_sectoriels!D4)*100</f>
        <v>11.457704365723293</v>
      </c>
      <c r="E15" s="273">
        <f>((compte_résultat_sectoriels!E16+compte_résultat_sectoriels!E17)/compte_résultat_sectoriels!E4)*100</f>
        <v>12.775955515432086</v>
      </c>
      <c r="F15" s="273">
        <f>QUARTILE(B15:E15,1)</f>
        <v>11.948035256714217</v>
      </c>
      <c r="G15" s="273">
        <f>MEDIAN(B15:E15)</f>
        <v>12.443717201238305</v>
      </c>
      <c r="H15" s="273">
        <f>QUARTILE(B15:E15,3)</f>
        <v>12.831937114912455</v>
      </c>
      <c r="I15" s="303">
        <f>AVERAGE(B15:E15)</f>
        <v>12.336255170388366</v>
      </c>
      <c r="J15" s="312"/>
      <c r="K15" s="312"/>
      <c r="L15" s="312"/>
      <c r="M15" s="312"/>
      <c r="N15" s="312"/>
      <c r="O15" s="312"/>
      <c r="P15" s="312"/>
      <c r="Q15" s="312"/>
      <c r="R15" s="312"/>
      <c r="S15" s="312"/>
      <c r="T15" s="312"/>
      <c r="U15" s="312"/>
      <c r="V15" s="312"/>
      <c r="W15" s="312"/>
      <c r="X15" s="313"/>
      <c r="Y15" s="313"/>
      <c r="Z15" s="313"/>
      <c r="AA15" s="313"/>
      <c r="AB15" s="313"/>
      <c r="AC15" s="313"/>
      <c r="AD15" s="313"/>
      <c r="AE15" s="313"/>
      <c r="AF15" s="313"/>
      <c r="AG15" s="313"/>
      <c r="AH15" s="313"/>
      <c r="AI15" s="313"/>
      <c r="AJ15" s="313"/>
      <c r="AK15" s="313"/>
      <c r="AL15" s="313"/>
      <c r="AM15" s="313"/>
      <c r="AN15" s="313"/>
    </row>
    <row r="16" spans="1:40" s="216" customFormat="1" x14ac:dyDescent="0.25">
      <c r="A16" s="272" t="s">
        <v>565</v>
      </c>
      <c r="B16" s="273">
        <f>((compte_résultat_sectoriels!B19+compte_résultat_sectoriels!B20)/compte_résultat_sectoriels!B13)*100</f>
        <v>1.9172879247082319</v>
      </c>
      <c r="C16" s="273">
        <f>((compte_résultat_sectoriels!C19+compte_résultat_sectoriels!C20)/compte_résultat_sectoriels!C13)*100</f>
        <v>1.8002930571355713</v>
      </c>
      <c r="D16" s="273">
        <f>((compte_résultat_sectoriels!D19+compte_résultat_sectoriels!D20)/compte_résultat_sectoriels!D13)*100</f>
        <v>1.4936051860352628</v>
      </c>
      <c r="E16" s="273">
        <f>((compte_résultat_sectoriels!E19+compte_résultat_sectoriels!E20)/compte_résultat_sectoriels!E13)*100</f>
        <v>1.3906063497810686</v>
      </c>
      <c r="F16" s="273">
        <f>QUARTILE(B16:E16,1)</f>
        <v>1.4678554769717143</v>
      </c>
      <c r="G16" s="273">
        <f>MEDIAN(B16:E16)</f>
        <v>1.6469491215854171</v>
      </c>
      <c r="H16" s="273">
        <f>QUARTILE(B16:E16,3)</f>
        <v>1.8295417740287365</v>
      </c>
      <c r="I16" s="303">
        <f>AVERAGE(B16:E16)</f>
        <v>1.6504481294150337</v>
      </c>
      <c r="J16" s="312"/>
      <c r="K16" s="312"/>
      <c r="L16" s="312"/>
      <c r="M16" s="312"/>
      <c r="N16" s="312"/>
      <c r="O16" s="312"/>
      <c r="P16" s="312"/>
      <c r="Q16" s="312"/>
      <c r="R16" s="312"/>
      <c r="S16" s="312"/>
      <c r="T16" s="312"/>
      <c r="U16" s="312"/>
      <c r="V16" s="312"/>
      <c r="W16" s="312"/>
      <c r="X16" s="313"/>
      <c r="Y16" s="313"/>
      <c r="Z16" s="313"/>
      <c r="AA16" s="313"/>
      <c r="AB16" s="313"/>
      <c r="AC16" s="313"/>
      <c r="AD16" s="313"/>
      <c r="AE16" s="313"/>
      <c r="AF16" s="313"/>
      <c r="AG16" s="313"/>
      <c r="AH16" s="313"/>
      <c r="AI16" s="313"/>
      <c r="AJ16" s="313"/>
      <c r="AK16" s="313"/>
      <c r="AL16" s="313"/>
      <c r="AM16" s="313"/>
      <c r="AN16" s="313"/>
    </row>
    <row r="17" spans="1:40" s="216" customFormat="1" ht="30" x14ac:dyDescent="0.25">
      <c r="A17" s="282" t="s">
        <v>564</v>
      </c>
      <c r="B17" s="273">
        <f>((compte_résultat_sectoriels!B21/compte_résultat_sectoriels!B13)*100)</f>
        <v>51.685258363535034</v>
      </c>
      <c r="C17" s="273">
        <f>((compte_résultat_sectoriels!C21/compte_résultat_sectoriels!C13)*100)</f>
        <v>50.444804710054449</v>
      </c>
      <c r="D17" s="273">
        <f>((compte_résultat_sectoriels!D21/compte_résultat_sectoriels!D13)*100)</f>
        <v>47.830102335992109</v>
      </c>
      <c r="E17" s="273">
        <f>((compte_résultat_sectoriels!E21/compte_résultat_sectoriels!E13)*100)</f>
        <v>48.551247157879232</v>
      </c>
      <c r="F17" s="273">
        <f>QUARTILE(B17:E17,1)</f>
        <v>48.370960952407451</v>
      </c>
      <c r="G17" s="273">
        <f>MEDIAN(B17:E17)</f>
        <v>49.498025933966844</v>
      </c>
      <c r="H17" s="273">
        <f>QUARTILE(B17:E17,3)</f>
        <v>50.754918123424595</v>
      </c>
      <c r="I17" s="303">
        <f>AVERAGE(B17:E17)</f>
        <v>49.627853141865202</v>
      </c>
      <c r="J17" s="312"/>
      <c r="K17" s="312"/>
      <c r="L17" s="312"/>
      <c r="M17" s="312"/>
      <c r="N17" s="312"/>
      <c r="O17" s="312"/>
      <c r="P17" s="312"/>
      <c r="Q17" s="312"/>
      <c r="R17" s="312"/>
      <c r="S17" s="312"/>
      <c r="T17" s="312"/>
      <c r="U17" s="312"/>
      <c r="V17" s="312"/>
      <c r="W17" s="312"/>
      <c r="X17" s="313"/>
      <c r="Y17" s="313"/>
      <c r="Z17" s="313"/>
      <c r="AA17" s="313"/>
      <c r="AB17" s="313"/>
      <c r="AC17" s="313"/>
      <c r="AD17" s="313"/>
      <c r="AE17" s="313"/>
      <c r="AF17" s="313"/>
      <c r="AG17" s="313"/>
      <c r="AH17" s="313"/>
      <c r="AI17" s="313"/>
      <c r="AJ17" s="313"/>
      <c r="AK17" s="313"/>
      <c r="AL17" s="313"/>
      <c r="AM17" s="313"/>
      <c r="AN17" s="313"/>
    </row>
    <row r="18" spans="1:40" s="216" customFormat="1" x14ac:dyDescent="0.25">
      <c r="A18" s="427"/>
      <c r="B18" s="428"/>
      <c r="C18" s="428"/>
      <c r="D18" s="428"/>
      <c r="E18" s="428"/>
      <c r="F18" s="428"/>
      <c r="G18" s="428"/>
      <c r="H18" s="428"/>
      <c r="I18" s="429"/>
      <c r="J18" s="312"/>
      <c r="K18" s="312"/>
      <c r="L18" s="312"/>
      <c r="M18" s="312"/>
      <c r="N18" s="312"/>
      <c r="O18" s="312"/>
      <c r="P18" s="312"/>
      <c r="Q18" s="312"/>
      <c r="R18" s="312"/>
      <c r="S18" s="312"/>
      <c r="T18" s="312"/>
      <c r="U18" s="312"/>
      <c r="V18" s="312"/>
      <c r="W18" s="312"/>
      <c r="X18" s="313"/>
      <c r="Y18" s="313"/>
      <c r="Z18" s="313"/>
      <c r="AA18" s="313"/>
      <c r="AB18" s="313"/>
      <c r="AC18" s="313"/>
      <c r="AD18" s="313"/>
      <c r="AE18" s="313"/>
      <c r="AF18" s="313"/>
      <c r="AG18" s="313"/>
      <c r="AH18" s="313"/>
      <c r="AI18" s="313"/>
      <c r="AJ18" s="313"/>
      <c r="AK18" s="313"/>
      <c r="AL18" s="313"/>
      <c r="AM18" s="313"/>
      <c r="AN18" s="313"/>
    </row>
    <row r="19" spans="1:40" s="216" customFormat="1" x14ac:dyDescent="0.25">
      <c r="A19" s="268" t="s">
        <v>588</v>
      </c>
      <c r="B19" s="269"/>
      <c r="C19" s="269"/>
      <c r="D19" s="269"/>
      <c r="E19" s="269"/>
      <c r="F19" s="269"/>
      <c r="G19" s="269"/>
      <c r="H19" s="269"/>
      <c r="I19" s="304"/>
      <c r="J19" s="312"/>
      <c r="K19" s="312"/>
      <c r="L19" s="312"/>
      <c r="M19" s="312"/>
      <c r="N19" s="312"/>
      <c r="O19" s="312"/>
      <c r="P19" s="312"/>
      <c r="Q19" s="312"/>
      <c r="R19" s="312"/>
      <c r="S19" s="312"/>
      <c r="T19" s="312"/>
      <c r="U19" s="312"/>
      <c r="V19" s="312"/>
      <c r="W19" s="312"/>
      <c r="X19" s="313"/>
      <c r="Y19" s="313"/>
      <c r="Z19" s="313"/>
      <c r="AA19" s="313"/>
      <c r="AB19" s="313"/>
      <c r="AC19" s="313"/>
      <c r="AD19" s="313"/>
      <c r="AE19" s="313"/>
      <c r="AF19" s="313"/>
      <c r="AG19" s="313"/>
      <c r="AH19" s="313"/>
      <c r="AI19" s="313"/>
      <c r="AJ19" s="313"/>
      <c r="AK19" s="313"/>
      <c r="AL19" s="313"/>
      <c r="AM19" s="313"/>
      <c r="AN19" s="313"/>
    </row>
    <row r="20" spans="1:40" s="216" customFormat="1" x14ac:dyDescent="0.25">
      <c r="A20" s="274" t="s">
        <v>547</v>
      </c>
      <c r="B20" s="275">
        <f>(compte_résultat_sectoriels!B22/compte_résultat_sectoriels!B67)*100</f>
        <v>12.416922488552617</v>
      </c>
      <c r="C20" s="275">
        <f>(compte_résultat_sectoriels!C22/compte_résultat_sectoriels!C67)*100</f>
        <v>11.779425483946202</v>
      </c>
      <c r="D20" s="275">
        <f>(compte_résultat_sectoriels!D22/compte_résultat_sectoriels!D67)*100</f>
        <v>10.631748447412498</v>
      </c>
      <c r="E20" s="275">
        <f>(compte_résultat_sectoriels!E22/compte_résultat_sectoriels!E67)*100</f>
        <v>11.105137700686226</v>
      </c>
      <c r="F20" s="275">
        <f t="shared" ref="F20:F24" si="0">QUARTILE(B20:E20,1)</f>
        <v>10.986790387367794</v>
      </c>
      <c r="G20" s="275">
        <f t="shared" ref="G20:G24" si="1">MEDIAN(B20:E20)</f>
        <v>11.442281592316213</v>
      </c>
      <c r="H20" s="275">
        <f t="shared" ref="H20:H24" si="2">QUARTILE(B20:E20,3)</f>
        <v>11.938799735097806</v>
      </c>
      <c r="I20" s="305">
        <f t="shared" ref="I20:I24" si="3">AVERAGE(B20:E20)</f>
        <v>11.483308530149387</v>
      </c>
      <c r="J20" s="312"/>
      <c r="K20" s="312"/>
      <c r="L20" s="312"/>
      <c r="M20" s="312"/>
      <c r="N20" s="312"/>
      <c r="O20" s="312"/>
      <c r="P20" s="312"/>
      <c r="Q20" s="312"/>
      <c r="R20" s="312"/>
      <c r="S20" s="312"/>
      <c r="T20" s="312"/>
      <c r="U20" s="312"/>
      <c r="V20" s="312"/>
      <c r="W20" s="312"/>
      <c r="X20" s="313"/>
      <c r="Y20" s="313"/>
      <c r="Z20" s="313"/>
      <c r="AA20" s="313"/>
      <c r="AB20" s="313"/>
      <c r="AC20" s="313"/>
      <c r="AD20" s="313"/>
      <c r="AE20" s="313"/>
      <c r="AF20" s="313"/>
      <c r="AG20" s="313"/>
      <c r="AH20" s="313"/>
      <c r="AI20" s="313"/>
      <c r="AJ20" s="313"/>
      <c r="AK20" s="313"/>
      <c r="AL20" s="313"/>
      <c r="AM20" s="313"/>
      <c r="AN20" s="313"/>
    </row>
    <row r="21" spans="1:40" s="213" customFormat="1" x14ac:dyDescent="0.25">
      <c r="A21" s="276" t="s">
        <v>548</v>
      </c>
      <c r="B21" s="275">
        <f>(compte_résultat_sectoriels!B23/compte_résultat_sectoriels!B67)*100</f>
        <v>58.681147735847105</v>
      </c>
      <c r="C21" s="275">
        <f>(compte_résultat_sectoriels!C23/compte_résultat_sectoriels!C67)*100</f>
        <v>52.351463499961127</v>
      </c>
      <c r="D21" s="275">
        <f>(compte_résultat_sectoriels!D23/compte_résultat_sectoriels!D67)*100</f>
        <v>46.666005608931179</v>
      </c>
      <c r="E21" s="275">
        <f>(compte_résultat_sectoriels!E23/compte_résultat_sectoriels!E67)*100</f>
        <v>48.035179931710594</v>
      </c>
      <c r="F21" s="275">
        <f t="shared" si="0"/>
        <v>47.692886351015744</v>
      </c>
      <c r="G21" s="275">
        <f t="shared" si="1"/>
        <v>50.193321715835864</v>
      </c>
      <c r="H21" s="275">
        <f t="shared" si="2"/>
        <v>53.933884558932618</v>
      </c>
      <c r="I21" s="305">
        <f t="shared" si="3"/>
        <v>51.433449194112498</v>
      </c>
      <c r="J21" s="311"/>
      <c r="K21" s="311"/>
      <c r="L21" s="311"/>
      <c r="M21" s="311"/>
      <c r="N21" s="311"/>
      <c r="O21" s="311"/>
      <c r="P21" s="311"/>
      <c r="Q21" s="311"/>
      <c r="R21" s="311"/>
      <c r="S21" s="311"/>
      <c r="T21" s="311"/>
      <c r="U21" s="311"/>
      <c r="V21" s="311"/>
      <c r="W21" s="311"/>
      <c r="X21" s="123"/>
      <c r="Y21" s="123"/>
      <c r="Z21" s="123"/>
      <c r="AA21" s="123"/>
      <c r="AB21" s="123"/>
      <c r="AC21" s="123"/>
      <c r="AD21" s="123"/>
      <c r="AE21" s="123"/>
      <c r="AF21" s="123"/>
      <c r="AG21" s="123"/>
      <c r="AH21" s="123"/>
      <c r="AI21" s="123"/>
      <c r="AJ21" s="123"/>
      <c r="AK21" s="123"/>
      <c r="AL21" s="123"/>
      <c r="AM21" s="123"/>
      <c r="AN21" s="123"/>
    </row>
    <row r="22" spans="1:40" s="213" customFormat="1" x14ac:dyDescent="0.25">
      <c r="A22" s="274" t="s">
        <v>554</v>
      </c>
      <c r="B22" s="275">
        <f>(compte_résultat_sectoriels!B24/compte_résultat_sectoriels!B67)*100</f>
        <v>23.267904947957042</v>
      </c>
      <c r="C22" s="275">
        <f>(compte_résultat_sectoriels!C24/compte_résultat_sectoriels!C67)*100</f>
        <v>18.747813496074013</v>
      </c>
      <c r="D22" s="275">
        <f>(compte_résultat_sectoriels!D24/compte_résultat_sectoriels!D67)*100</f>
        <v>16.166095067287774</v>
      </c>
      <c r="E22" s="275">
        <f>(compte_résultat_sectoriels!E24/compte_résultat_sectoriels!E67)*100</f>
        <v>16.442108396665059</v>
      </c>
      <c r="F22" s="275">
        <f t="shared" ref="F22" si="4">QUARTILE(B22:E22,1)</f>
        <v>16.37310506432074</v>
      </c>
      <c r="G22" s="275">
        <f t="shared" ref="G22" si="5">MEDIAN(B22:E22)</f>
        <v>17.594960946369536</v>
      </c>
      <c r="H22" s="275">
        <f t="shared" ref="H22" si="6">QUARTILE(B22:E22,3)</f>
        <v>19.877836359044771</v>
      </c>
      <c r="I22" s="305">
        <f t="shared" ref="I22" si="7">AVERAGE(B22:E22)</f>
        <v>18.655980476995971</v>
      </c>
      <c r="J22" s="311"/>
      <c r="K22" s="311"/>
      <c r="L22" s="311"/>
      <c r="M22" s="311"/>
      <c r="N22" s="311"/>
      <c r="O22" s="311"/>
      <c r="P22" s="311"/>
      <c r="Q22" s="311"/>
      <c r="R22" s="311"/>
      <c r="S22" s="311"/>
      <c r="T22" s="311"/>
      <c r="U22" s="311"/>
      <c r="V22" s="311"/>
      <c r="W22" s="311"/>
      <c r="X22" s="123"/>
      <c r="Y22" s="123"/>
      <c r="Z22" s="123"/>
      <c r="AA22" s="123"/>
      <c r="AB22" s="123"/>
      <c r="AC22" s="123"/>
      <c r="AD22" s="123"/>
      <c r="AE22" s="123"/>
      <c r="AF22" s="123"/>
      <c r="AG22" s="123"/>
      <c r="AH22" s="123"/>
      <c r="AI22" s="123"/>
      <c r="AJ22" s="123"/>
      <c r="AK22" s="123"/>
      <c r="AL22" s="123"/>
      <c r="AM22" s="123"/>
      <c r="AN22" s="123"/>
    </row>
    <row r="23" spans="1:40" s="213" customFormat="1" x14ac:dyDescent="0.25">
      <c r="A23" s="276" t="s">
        <v>551</v>
      </c>
      <c r="B23" s="275">
        <f>(compte_résultat_sectoriels!B25/compte_résultat_sectoriels!B67)*100</f>
        <v>81.94905268380414</v>
      </c>
      <c r="C23" s="275">
        <f>(compte_résultat_sectoriels!C25/compte_résultat_sectoriels!C67)*100</f>
        <v>71.099276996035144</v>
      </c>
      <c r="D23" s="275">
        <f>(compte_résultat_sectoriels!D25/compte_résultat_sectoriels!D67)*100</f>
        <v>62.83210067621895</v>
      </c>
      <c r="E23" s="275">
        <f>(compte_résultat_sectoriels!E25/compte_résultat_sectoriels!E67)*100</f>
        <v>64.47728832837565</v>
      </c>
      <c r="F23" s="275">
        <f t="shared" si="0"/>
        <v>64.06599141533647</v>
      </c>
      <c r="G23" s="275">
        <f t="shared" si="1"/>
        <v>67.788282662205404</v>
      </c>
      <c r="H23" s="275">
        <f t="shared" si="2"/>
        <v>73.811720917977397</v>
      </c>
      <c r="I23" s="305">
        <f t="shared" si="3"/>
        <v>70.089429671108476</v>
      </c>
      <c r="J23" s="311"/>
      <c r="K23" s="311"/>
      <c r="L23" s="311"/>
      <c r="M23" s="311"/>
      <c r="N23" s="311"/>
      <c r="O23" s="311"/>
      <c r="P23" s="311"/>
      <c r="Q23" s="311"/>
      <c r="R23" s="311"/>
      <c r="S23" s="311"/>
      <c r="T23" s="311"/>
      <c r="U23" s="311"/>
      <c r="V23" s="311"/>
      <c r="W23" s="311"/>
      <c r="X23" s="123"/>
      <c r="Y23" s="123"/>
      <c r="Z23" s="123"/>
      <c r="AA23" s="123"/>
      <c r="AB23" s="123"/>
      <c r="AC23" s="123"/>
      <c r="AD23" s="123"/>
      <c r="AE23" s="123"/>
      <c r="AF23" s="123"/>
      <c r="AG23" s="123"/>
      <c r="AH23" s="123"/>
      <c r="AI23" s="123"/>
      <c r="AJ23" s="123"/>
      <c r="AK23" s="123"/>
      <c r="AL23" s="123"/>
      <c r="AM23" s="123"/>
      <c r="AN23" s="123"/>
    </row>
    <row r="24" spans="1:40" s="213" customFormat="1" x14ac:dyDescent="0.25">
      <c r="A24" s="276" t="s">
        <v>549</v>
      </c>
      <c r="B24" s="275">
        <f>(compte_résultat_sectoriels!B27/compte_résultat_sectoriels!B67)*100</f>
        <v>19.405252876058171</v>
      </c>
      <c r="C24" s="275">
        <f>(compte_résultat_sectoriels!C27/compte_résultat_sectoriels!C67)*100</f>
        <v>27.801397418953588</v>
      </c>
      <c r="D24" s="275">
        <f>(compte_résultat_sectoriels!D27/compte_résultat_sectoriels!D67)*100</f>
        <v>26.514163521253366</v>
      </c>
      <c r="E24" s="275">
        <f>(compte_résultat_sectoriels!E27/compte_résultat_sectoriels!E67)*100</f>
        <v>25.358830416112216</v>
      </c>
      <c r="F24" s="275">
        <f t="shared" si="0"/>
        <v>23.870436031098706</v>
      </c>
      <c r="G24" s="275">
        <f t="shared" si="1"/>
        <v>25.936496968682789</v>
      </c>
      <c r="H24" s="275">
        <f t="shared" si="2"/>
        <v>26.83597199567842</v>
      </c>
      <c r="I24" s="305">
        <f t="shared" si="3"/>
        <v>24.769911058094333</v>
      </c>
      <c r="J24" s="311"/>
      <c r="K24" s="311"/>
      <c r="L24" s="311"/>
      <c r="M24" s="311"/>
      <c r="N24" s="311"/>
      <c r="O24" s="311"/>
      <c r="P24" s="311"/>
      <c r="Q24" s="311"/>
      <c r="R24" s="311"/>
      <c r="S24" s="311"/>
      <c r="T24" s="311"/>
      <c r="U24" s="311"/>
      <c r="V24" s="311"/>
      <c r="W24" s="311"/>
      <c r="X24" s="123"/>
      <c r="Y24" s="123"/>
      <c r="Z24" s="123"/>
      <c r="AA24" s="123"/>
      <c r="AB24" s="123"/>
      <c r="AC24" s="123"/>
      <c r="AD24" s="123"/>
      <c r="AE24" s="123"/>
      <c r="AF24" s="123"/>
      <c r="AG24" s="123"/>
      <c r="AH24" s="123"/>
      <c r="AI24" s="123"/>
      <c r="AJ24" s="123"/>
      <c r="AK24" s="123"/>
      <c r="AL24" s="123"/>
      <c r="AM24" s="123"/>
      <c r="AN24" s="123"/>
    </row>
    <row r="25" spans="1:40" s="213" customFormat="1" x14ac:dyDescent="0.25">
      <c r="A25" s="276" t="s">
        <v>550</v>
      </c>
      <c r="B25" s="275">
        <f>(compte_résultat_sectoriels!B28/compte_résultat_sectoriels!B67)*100</f>
        <v>4.9949869246591625</v>
      </c>
      <c r="C25" s="275">
        <f>(compte_résultat_sectoriels!C28/compte_résultat_sectoriels!C67)*100</f>
        <v>5.8778084428204931</v>
      </c>
      <c r="D25" s="275">
        <f>(compte_résultat_sectoriels!D28/compte_résultat_sectoriels!D67)*100</f>
        <v>5.3146886310284689</v>
      </c>
      <c r="E25" s="275">
        <f>(compte_résultat_sectoriels!E28/compte_résultat_sectoriels!E67)*100</f>
        <v>3.9092021868606199</v>
      </c>
      <c r="F25" s="275"/>
      <c r="G25" s="275"/>
      <c r="H25" s="275"/>
      <c r="I25" s="305"/>
      <c r="J25" s="311"/>
      <c r="K25" s="311"/>
      <c r="L25" s="311"/>
      <c r="M25" s="311"/>
      <c r="N25" s="311"/>
      <c r="O25" s="311"/>
      <c r="P25" s="311"/>
      <c r="Q25" s="311"/>
      <c r="R25" s="311"/>
      <c r="S25" s="311"/>
      <c r="T25" s="311"/>
      <c r="U25" s="311"/>
      <c r="V25" s="311"/>
      <c r="W25" s="311"/>
      <c r="X25" s="123"/>
      <c r="Y25" s="123"/>
      <c r="Z25" s="123"/>
      <c r="AA25" s="123"/>
      <c r="AB25" s="123"/>
      <c r="AC25" s="123"/>
      <c r="AD25" s="123"/>
      <c r="AE25" s="123"/>
      <c r="AF25" s="123"/>
      <c r="AG25" s="123"/>
      <c r="AH25" s="123"/>
      <c r="AI25" s="123"/>
      <c r="AJ25" s="123"/>
      <c r="AK25" s="123"/>
      <c r="AL25" s="123"/>
      <c r="AM25" s="123"/>
      <c r="AN25" s="123"/>
    </row>
    <row r="26" spans="1:40" s="213" customFormat="1" x14ac:dyDescent="0.25">
      <c r="A26" s="276" t="s">
        <v>587</v>
      </c>
      <c r="B26" s="275">
        <f>(compte_résultat_sectoriels!B34/compte_résultat_sectoriels!B67)*100</f>
        <v>6.1327483022729385</v>
      </c>
      <c r="C26" s="275">
        <f>(compte_résultat_sectoriels!C34/compte_résultat_sectoriels!C67)*100</f>
        <v>9.0820084739174369</v>
      </c>
      <c r="D26" s="275">
        <f>(compte_résultat_sectoriels!D34/compte_résultat_sectoriels!D67)*100</f>
        <v>6.6977363802346614</v>
      </c>
      <c r="E26" s="275">
        <f>(compte_résultat_sectoriels!E34/compte_résultat_sectoriels!E67)*100</f>
        <v>8.1287501971595688</v>
      </c>
      <c r="F26" s="275">
        <f>QUARTILE(B25:E25,1)</f>
        <v>4.7235407402095273</v>
      </c>
      <c r="G26" s="275">
        <f>MEDIAN(B25:E25)</f>
        <v>5.1548377778438157</v>
      </c>
      <c r="H26" s="275">
        <f>QUARTILE(B25:E25,3)</f>
        <v>5.4554685839764749</v>
      </c>
      <c r="I26" s="305">
        <f>AVERAGE(B25:E25)</f>
        <v>5.0241715463421865</v>
      </c>
      <c r="J26" s="311"/>
      <c r="K26" s="311"/>
      <c r="L26" s="311"/>
      <c r="M26" s="311"/>
      <c r="N26" s="311"/>
      <c r="O26" s="311"/>
      <c r="P26" s="311"/>
      <c r="Q26" s="311"/>
      <c r="R26" s="311"/>
      <c r="S26" s="311"/>
      <c r="T26" s="311"/>
      <c r="U26" s="311"/>
      <c r="V26" s="311"/>
      <c r="W26" s="311"/>
      <c r="X26" s="123"/>
      <c r="Y26" s="123"/>
      <c r="Z26" s="123"/>
      <c r="AA26" s="123"/>
      <c r="AB26" s="123"/>
      <c r="AC26" s="123"/>
      <c r="AD26" s="123"/>
      <c r="AE26" s="123"/>
      <c r="AF26" s="123"/>
      <c r="AG26" s="123"/>
      <c r="AH26" s="123"/>
      <c r="AI26" s="123"/>
      <c r="AJ26" s="123"/>
      <c r="AK26" s="123"/>
      <c r="AL26" s="123"/>
      <c r="AM26" s="123"/>
      <c r="AN26" s="123"/>
    </row>
    <row r="27" spans="1:40" s="213" customFormat="1" x14ac:dyDescent="0.25">
      <c r="A27" s="432"/>
      <c r="B27" s="433"/>
      <c r="C27" s="433"/>
      <c r="D27" s="433"/>
      <c r="E27" s="433"/>
      <c r="F27" s="433"/>
      <c r="G27" s="433"/>
      <c r="H27" s="433"/>
      <c r="I27" s="434"/>
      <c r="J27" s="311"/>
      <c r="K27" s="311"/>
      <c r="L27" s="311"/>
      <c r="M27" s="311"/>
      <c r="N27" s="311"/>
      <c r="O27" s="311"/>
      <c r="P27" s="311"/>
      <c r="Q27" s="311"/>
      <c r="R27" s="311"/>
      <c r="S27" s="311"/>
      <c r="T27" s="311"/>
      <c r="U27" s="311"/>
      <c r="V27" s="311"/>
      <c r="W27" s="311"/>
      <c r="X27" s="123"/>
      <c r="Y27" s="123"/>
      <c r="Z27" s="123"/>
      <c r="AA27" s="123"/>
      <c r="AB27" s="123"/>
      <c r="AC27" s="123"/>
      <c r="AD27" s="123"/>
      <c r="AE27" s="123"/>
      <c r="AF27" s="123"/>
      <c r="AG27" s="123"/>
      <c r="AH27" s="123"/>
      <c r="AI27" s="123"/>
      <c r="AJ27" s="123"/>
      <c r="AK27" s="123"/>
      <c r="AL27" s="123"/>
      <c r="AM27" s="123"/>
      <c r="AN27" s="123"/>
    </row>
    <row r="28" spans="1:40" s="213" customFormat="1" x14ac:dyDescent="0.25">
      <c r="A28" s="285" t="s">
        <v>572</v>
      </c>
      <c r="B28" s="286"/>
      <c r="C28" s="286"/>
      <c r="D28" s="286"/>
      <c r="E28" s="286"/>
      <c r="F28" s="286"/>
      <c r="G28" s="286"/>
      <c r="H28" s="286"/>
      <c r="I28" s="306"/>
      <c r="J28" s="311"/>
      <c r="K28" s="311"/>
      <c r="L28" s="311"/>
      <c r="M28" s="311"/>
      <c r="N28" s="311"/>
      <c r="O28" s="311"/>
      <c r="P28" s="311"/>
      <c r="Q28" s="311"/>
      <c r="R28" s="311"/>
      <c r="S28" s="311"/>
      <c r="T28" s="311"/>
      <c r="U28" s="311"/>
      <c r="V28" s="311"/>
      <c r="W28" s="311"/>
      <c r="X28" s="123"/>
      <c r="Y28" s="123"/>
      <c r="Z28" s="123"/>
      <c r="AA28" s="123"/>
      <c r="AB28" s="123"/>
      <c r="AC28" s="123"/>
      <c r="AD28" s="123"/>
      <c r="AE28" s="123"/>
      <c r="AF28" s="123"/>
      <c r="AG28" s="123"/>
      <c r="AH28" s="123"/>
      <c r="AI28" s="123"/>
      <c r="AJ28" s="123"/>
      <c r="AK28" s="123"/>
      <c r="AL28" s="123"/>
      <c r="AM28" s="123"/>
      <c r="AN28" s="123"/>
    </row>
    <row r="29" spans="1:40" s="213" customFormat="1" x14ac:dyDescent="0.25">
      <c r="A29" s="287" t="s">
        <v>571</v>
      </c>
      <c r="B29" s="288">
        <f>(compte_résultat_sectoriels!B67/compte_résultat_sectoriels!B54)*100</f>
        <v>28.208713045075566</v>
      </c>
      <c r="C29" s="288">
        <f>(compte_résultat_sectoriels!C67/compte_résultat_sectoriels!C54)*100</f>
        <v>29.025183797863953</v>
      </c>
      <c r="D29" s="288">
        <f>(compte_résultat_sectoriels!D67/compte_résultat_sectoriels!D54)*100</f>
        <v>29.578538833456498</v>
      </c>
      <c r="E29" s="288">
        <f>(compte_résultat_sectoriels!E67/compte_résultat_sectoriels!E54)*100</f>
        <v>29.047836914008933</v>
      </c>
      <c r="F29" s="288">
        <f t="shared" ref="F29" si="8">QUARTILE(B29:E29,1)</f>
        <v>28.821066109666855</v>
      </c>
      <c r="G29" s="288">
        <f t="shared" ref="G29" si="9">MEDIAN(B29:E29)</f>
        <v>29.036510355936443</v>
      </c>
      <c r="H29" s="288">
        <f t="shared" ref="H29" si="10">QUARTILE(B29:E29,3)</f>
        <v>29.180512393870824</v>
      </c>
      <c r="I29" s="307">
        <f t="shared" ref="I29" si="11">AVERAGE(B29:E29)</f>
        <v>28.965068147601237</v>
      </c>
      <c r="J29" s="311"/>
      <c r="K29" s="311"/>
      <c r="L29" s="311"/>
      <c r="M29" s="311"/>
      <c r="N29" s="311"/>
      <c r="O29" s="311"/>
      <c r="P29" s="311"/>
      <c r="Q29" s="311"/>
      <c r="R29" s="311"/>
      <c r="S29" s="311"/>
      <c r="T29" s="311"/>
      <c r="U29" s="311"/>
      <c r="V29" s="311"/>
      <c r="W29" s="311"/>
      <c r="X29" s="123"/>
      <c r="Y29" s="123"/>
      <c r="Z29" s="123"/>
      <c r="AA29" s="123"/>
      <c r="AB29" s="123"/>
      <c r="AC29" s="123"/>
      <c r="AD29" s="123"/>
      <c r="AE29" s="123"/>
      <c r="AF29" s="123"/>
      <c r="AG29" s="123"/>
      <c r="AH29" s="123"/>
      <c r="AI29" s="123"/>
      <c r="AJ29" s="123"/>
      <c r="AK29" s="123"/>
      <c r="AL29" s="123"/>
      <c r="AM29" s="123"/>
      <c r="AN29" s="123"/>
    </row>
    <row r="30" spans="1:40" s="213" customFormat="1" x14ac:dyDescent="0.25">
      <c r="A30" s="289" t="s">
        <v>568</v>
      </c>
      <c r="B30" s="288">
        <f>(compte_résultat_sectoriels!B72/compte_résultat_sectoriels!B54)*100</f>
        <v>4.9330332085891273</v>
      </c>
      <c r="C30" s="288">
        <f>(compte_résultat_sectoriels!C72/compte_résultat_sectoriels!C54)*100</f>
        <v>8.1305433760138328</v>
      </c>
      <c r="D30" s="288">
        <f>(compte_résultat_sectoriels!D72/compte_résultat_sectoriels!D54)*100</f>
        <v>10.906497608674446</v>
      </c>
      <c r="E30" s="288">
        <f>(compte_résultat_sectoriels!E72/compte_résultat_sectoriels!E54)*100</f>
        <v>9.4110905546438861</v>
      </c>
      <c r="F30" s="288">
        <f t="shared" ref="F30:F34" si="12">QUARTILE(B30:E30,1)</f>
        <v>7.3311658341576562</v>
      </c>
      <c r="G30" s="288">
        <f t="shared" ref="G30:G34" si="13">MEDIAN(B30:E30)</f>
        <v>8.7708169653288586</v>
      </c>
      <c r="H30" s="288">
        <f t="shared" ref="H30:H34" si="14">QUARTILE(B30:E30,3)</f>
        <v>9.7849423181515256</v>
      </c>
      <c r="I30" s="307">
        <f t="shared" ref="I30:I34" si="15">AVERAGE(B30:E30)</f>
        <v>8.3452911869803224</v>
      </c>
      <c r="J30" s="311"/>
      <c r="K30" s="311"/>
      <c r="L30" s="311"/>
      <c r="M30" s="311"/>
      <c r="N30" s="311"/>
      <c r="O30" s="311"/>
      <c r="P30" s="311"/>
      <c r="Q30" s="311"/>
      <c r="R30" s="311"/>
      <c r="S30" s="311"/>
      <c r="T30" s="311"/>
      <c r="U30" s="311"/>
      <c r="V30" s="311"/>
      <c r="W30" s="311"/>
      <c r="X30" s="123"/>
      <c r="Y30" s="123"/>
      <c r="Z30" s="123"/>
      <c r="AA30" s="123"/>
      <c r="AB30" s="123"/>
      <c r="AC30" s="123"/>
      <c r="AD30" s="123"/>
      <c r="AE30" s="123"/>
      <c r="AF30" s="123"/>
      <c r="AG30" s="123"/>
      <c r="AH30" s="123"/>
      <c r="AI30" s="123"/>
      <c r="AJ30" s="123"/>
      <c r="AK30" s="123"/>
      <c r="AL30" s="123"/>
      <c r="AM30" s="123"/>
      <c r="AN30" s="123"/>
    </row>
    <row r="31" spans="1:40" s="213" customFormat="1" x14ac:dyDescent="0.25">
      <c r="A31" s="288" t="s">
        <v>573</v>
      </c>
      <c r="B31" s="288">
        <f>(compte_résultat_sectoriels!B84/compte_résultat_sectoriels!B54)*100</f>
        <v>2.411591735101037</v>
      </c>
      <c r="C31" s="288">
        <f>(compte_résultat_sectoriels!C84/compte_résultat_sectoriels!C54)*100</f>
        <v>5.9160840936046943</v>
      </c>
      <c r="D31" s="288">
        <f>(compte_résultat_sectoriels!D84/compte_résultat_sectoriels!D54)*100</f>
        <v>9.107822927778205</v>
      </c>
      <c r="E31" s="288">
        <f>(compte_résultat_sectoriels!E84/compte_résultat_sectoriels!E54)*100</f>
        <v>7.8272602846687116</v>
      </c>
      <c r="F31" s="288">
        <f t="shared" si="12"/>
        <v>5.0399610039787799</v>
      </c>
      <c r="G31" s="288">
        <f t="shared" si="13"/>
        <v>6.871672189136703</v>
      </c>
      <c r="H31" s="288">
        <f t="shared" si="14"/>
        <v>8.1474009454460852</v>
      </c>
      <c r="I31" s="307">
        <f t="shared" si="15"/>
        <v>6.3156897602881621</v>
      </c>
      <c r="J31" s="311"/>
      <c r="K31" s="311"/>
      <c r="L31" s="311"/>
      <c r="M31" s="311"/>
      <c r="N31" s="311"/>
      <c r="O31" s="311"/>
      <c r="P31" s="311"/>
      <c r="Q31" s="311"/>
      <c r="R31" s="311"/>
      <c r="S31" s="311"/>
      <c r="T31" s="311"/>
      <c r="U31" s="311"/>
      <c r="V31" s="311"/>
      <c r="W31" s="311"/>
      <c r="X31" s="123"/>
      <c r="Y31" s="123"/>
      <c r="Z31" s="123"/>
      <c r="AA31" s="123"/>
      <c r="AB31" s="123"/>
      <c r="AC31" s="123"/>
      <c r="AD31" s="123"/>
      <c r="AE31" s="123"/>
      <c r="AF31" s="123"/>
      <c r="AG31" s="123"/>
      <c r="AH31" s="123"/>
      <c r="AI31" s="123"/>
      <c r="AJ31" s="123"/>
      <c r="AK31" s="123"/>
      <c r="AL31" s="123"/>
      <c r="AM31" s="123"/>
      <c r="AN31" s="123"/>
    </row>
    <row r="32" spans="1:40" s="213" customFormat="1" x14ac:dyDescent="0.25">
      <c r="A32" s="287" t="s">
        <v>567</v>
      </c>
      <c r="B32" s="288">
        <f>(compte_résultat_sectoriels!B37/compte_résultat_sectoriels!B4)*100</f>
        <v>9.8975561895625983</v>
      </c>
      <c r="C32" s="288">
        <f>(compte_résultat_sectoriels!C37/compte_résultat_sectoriels!C4)*100</f>
        <v>0.78666755045715009</v>
      </c>
      <c r="D32" s="288">
        <f>(compte_résultat_sectoriels!D37/compte_résultat_sectoriels!D4)*100</f>
        <v>4.5305433578788774</v>
      </c>
      <c r="E32" s="288">
        <f>(compte_résultat_sectoriels!E37/compte_résultat_sectoriels!E4)*100</f>
        <v>3.9222771948187378</v>
      </c>
      <c r="F32" s="288">
        <f t="shared" si="12"/>
        <v>3.1383747837283411</v>
      </c>
      <c r="G32" s="288">
        <f t="shared" si="13"/>
        <v>4.2264102763488074</v>
      </c>
      <c r="H32" s="288">
        <f t="shared" si="14"/>
        <v>5.8722965657998074</v>
      </c>
      <c r="I32" s="307">
        <f t="shared" si="15"/>
        <v>4.7842610731793407</v>
      </c>
      <c r="J32" s="311"/>
      <c r="K32" s="311"/>
      <c r="L32" s="311"/>
      <c r="M32" s="311"/>
      <c r="N32" s="311"/>
      <c r="O32" s="311"/>
      <c r="P32" s="311"/>
      <c r="Q32" s="311"/>
      <c r="R32" s="311"/>
      <c r="S32" s="311"/>
      <c r="T32" s="311"/>
      <c r="U32" s="311"/>
      <c r="V32" s="311"/>
      <c r="W32" s="311"/>
      <c r="X32" s="123"/>
      <c r="Y32" s="123"/>
      <c r="Z32" s="123"/>
      <c r="AA32" s="123"/>
      <c r="AB32" s="123"/>
      <c r="AC32" s="123"/>
      <c r="AD32" s="123"/>
      <c r="AE32" s="123"/>
      <c r="AF32" s="123"/>
      <c r="AG32" s="123"/>
      <c r="AH32" s="123"/>
      <c r="AI32" s="123"/>
      <c r="AJ32" s="123"/>
      <c r="AK32" s="123"/>
      <c r="AL32" s="123"/>
      <c r="AM32" s="123"/>
      <c r="AN32" s="123"/>
    </row>
    <row r="33" spans="1:40" s="213" customFormat="1" x14ac:dyDescent="0.25">
      <c r="A33" s="287" t="s">
        <v>569</v>
      </c>
      <c r="B33" s="288">
        <f>(compte_résultat_sectoriels!B30/compte_résultat_sectoriels!B4)*100</f>
        <v>0.29944440961779289</v>
      </c>
      <c r="C33" s="288">
        <f>(compte_résultat_sectoriels!C30/compte_résultat_sectoriels!C4)*100</f>
        <v>0.62779680904625379</v>
      </c>
      <c r="D33" s="288">
        <f>(compte_résultat_sectoriels!D30/compte_résultat_sectoriels!D4)*100</f>
        <v>4.1462607523573736</v>
      </c>
      <c r="E33" s="288">
        <f>(compte_résultat_sectoriels!E30/compte_résultat_sectoriels!E4)*100</f>
        <v>2.6873619456126212</v>
      </c>
      <c r="F33" s="288">
        <f t="shared" si="12"/>
        <v>0.54570870918913861</v>
      </c>
      <c r="G33" s="288">
        <f t="shared" si="13"/>
        <v>1.6575793773294374</v>
      </c>
      <c r="H33" s="288">
        <f t="shared" si="14"/>
        <v>3.0520866472988093</v>
      </c>
      <c r="I33" s="307">
        <f t="shared" si="15"/>
        <v>1.9402159791585103</v>
      </c>
      <c r="J33" s="311"/>
      <c r="K33" s="311"/>
      <c r="L33" s="311"/>
      <c r="M33" s="311"/>
      <c r="N33" s="311"/>
      <c r="O33" s="311"/>
      <c r="P33" s="311"/>
      <c r="Q33" s="311"/>
      <c r="R33" s="311"/>
      <c r="S33" s="311"/>
      <c r="T33" s="311"/>
      <c r="U33" s="311"/>
      <c r="V33" s="311"/>
      <c r="W33" s="311"/>
      <c r="X33" s="123"/>
      <c r="Y33" s="123"/>
      <c r="Z33" s="123"/>
      <c r="AA33" s="123"/>
      <c r="AB33" s="123"/>
      <c r="AC33" s="123"/>
      <c r="AD33" s="123"/>
      <c r="AE33" s="123"/>
      <c r="AF33" s="123"/>
      <c r="AG33" s="123"/>
      <c r="AH33" s="123"/>
      <c r="AI33" s="123"/>
      <c r="AJ33" s="123"/>
      <c r="AK33" s="123"/>
      <c r="AL33" s="123"/>
      <c r="AM33" s="123"/>
      <c r="AN33" s="123"/>
    </row>
    <row r="34" spans="1:40" s="213" customFormat="1" x14ac:dyDescent="0.25">
      <c r="A34" s="287" t="s">
        <v>570</v>
      </c>
      <c r="B34" s="288">
        <f>(compte_résultat_sectoriels!B46/compte_résultat_sectoriels!B4)*100</f>
        <v>11.465119974574925</v>
      </c>
      <c r="C34" s="288">
        <f>(compte_résultat_sectoriels!C46/compte_résultat_sectoriels!C4)*100</f>
        <v>2.432492275060044</v>
      </c>
      <c r="D34" s="288">
        <f>(compte_résultat_sectoriels!D46/compte_résultat_sectoriels!D4)*100</f>
        <v>6.1007653134418574</v>
      </c>
      <c r="E34" s="288">
        <f>(compte_résultat_sectoriels!E46/compte_résultat_sectoriels!E4)*100</f>
        <v>6.0257695070083068</v>
      </c>
      <c r="F34" s="288">
        <f t="shared" si="12"/>
        <v>5.1274501990212409</v>
      </c>
      <c r="G34" s="288">
        <f t="shared" si="13"/>
        <v>6.0632674102250821</v>
      </c>
      <c r="H34" s="288">
        <f t="shared" si="14"/>
        <v>7.4418539787251241</v>
      </c>
      <c r="I34" s="307">
        <f t="shared" si="15"/>
        <v>6.5060367675212829</v>
      </c>
      <c r="J34" s="311"/>
      <c r="K34" s="311"/>
      <c r="L34" s="311"/>
      <c r="M34" s="311"/>
      <c r="N34" s="311"/>
      <c r="O34" s="311"/>
      <c r="P34" s="311"/>
      <c r="Q34" s="311"/>
      <c r="R34" s="311"/>
      <c r="S34" s="311"/>
      <c r="T34" s="311"/>
      <c r="U34" s="311"/>
      <c r="V34" s="311"/>
      <c r="W34" s="311"/>
      <c r="X34" s="123"/>
      <c r="Y34" s="123"/>
      <c r="Z34" s="123"/>
      <c r="AA34" s="123"/>
      <c r="AB34" s="123"/>
      <c r="AC34" s="123"/>
      <c r="AD34" s="123"/>
      <c r="AE34" s="123"/>
      <c r="AF34" s="123"/>
      <c r="AG34" s="123"/>
      <c r="AH34" s="123"/>
      <c r="AI34" s="123"/>
      <c r="AJ34" s="123"/>
      <c r="AK34" s="123"/>
      <c r="AL34" s="123"/>
      <c r="AM34" s="123"/>
      <c r="AN34" s="123"/>
    </row>
    <row r="35" spans="1:40" s="213" customFormat="1" x14ac:dyDescent="0.25">
      <c r="A35" s="420"/>
      <c r="B35" s="420"/>
      <c r="C35" s="420"/>
      <c r="D35" s="420"/>
      <c r="E35" s="420"/>
      <c r="F35" s="420"/>
      <c r="G35" s="420"/>
      <c r="H35" s="420"/>
      <c r="I35" s="420"/>
      <c r="J35" s="311"/>
      <c r="K35" s="311"/>
      <c r="L35" s="311"/>
      <c r="M35" s="311"/>
      <c r="N35" s="311"/>
      <c r="O35" s="311"/>
      <c r="P35" s="311"/>
      <c r="Q35" s="311"/>
      <c r="R35" s="311"/>
      <c r="S35" s="311"/>
      <c r="T35" s="311"/>
      <c r="U35" s="311"/>
      <c r="V35" s="311"/>
      <c r="W35" s="311"/>
      <c r="X35" s="123"/>
      <c r="Y35" s="123"/>
      <c r="Z35" s="123"/>
      <c r="AA35" s="123"/>
      <c r="AB35" s="123"/>
      <c r="AC35" s="123"/>
      <c r="AD35" s="123"/>
      <c r="AE35" s="123"/>
      <c r="AF35" s="123"/>
      <c r="AG35" s="123"/>
      <c r="AH35" s="123"/>
      <c r="AI35" s="123"/>
      <c r="AJ35" s="123"/>
      <c r="AK35" s="123"/>
      <c r="AL35" s="123"/>
      <c r="AM35" s="123"/>
      <c r="AN35" s="123"/>
    </row>
    <row r="36" spans="1:40" s="213" customFormat="1" x14ac:dyDescent="0.25">
      <c r="A36" s="293" t="s">
        <v>575</v>
      </c>
      <c r="B36" s="297"/>
      <c r="C36" s="297"/>
      <c r="D36" s="297"/>
      <c r="E36" s="297"/>
      <c r="F36" s="297"/>
      <c r="G36" s="297"/>
      <c r="H36" s="297"/>
      <c r="I36" s="308"/>
      <c r="J36" s="311"/>
      <c r="K36" s="311"/>
      <c r="L36" s="311"/>
      <c r="M36" s="311"/>
      <c r="N36" s="311"/>
      <c r="O36" s="311"/>
      <c r="P36" s="311"/>
      <c r="Q36" s="311"/>
      <c r="R36" s="311"/>
      <c r="S36" s="311"/>
      <c r="T36" s="311"/>
      <c r="U36" s="311"/>
      <c r="V36" s="311"/>
      <c r="W36" s="311"/>
      <c r="X36" s="123"/>
      <c r="Y36" s="123"/>
      <c r="Z36" s="123"/>
      <c r="AA36" s="123"/>
      <c r="AB36" s="123"/>
      <c r="AC36" s="123"/>
      <c r="AD36" s="123"/>
      <c r="AE36" s="123"/>
      <c r="AF36" s="123"/>
      <c r="AG36" s="123"/>
      <c r="AH36" s="123"/>
      <c r="AI36" s="123"/>
      <c r="AJ36" s="123"/>
      <c r="AK36" s="123"/>
      <c r="AL36" s="123"/>
      <c r="AM36" s="123"/>
      <c r="AN36" s="123"/>
    </row>
    <row r="37" spans="1:40" s="213" customFormat="1" ht="30" x14ac:dyDescent="0.25">
      <c r="A37" s="294" t="s">
        <v>574</v>
      </c>
      <c r="B37" s="295">
        <f>(compte_résultat_sectoriels!B24/compte_résultat_sectoriels!B23)*100</f>
        <v>39.651414203241906</v>
      </c>
      <c r="C37" s="295">
        <f>(compte_résultat_sectoriels!C24/compte_résultat_sectoriels!C23)*100</f>
        <v>35.811441061409738</v>
      </c>
      <c r="D37" s="295">
        <f>(compte_résultat_sectoriels!D24/compte_résultat_sectoriels!D23)*100</f>
        <v>34.642123010832158</v>
      </c>
      <c r="E37" s="295">
        <f>(compte_résultat_sectoriels!E24/compte_résultat_sectoriels!E23)*100</f>
        <v>34.229305313397496</v>
      </c>
      <c r="F37" s="295">
        <f t="shared" ref="F37" si="16">QUARTILE(B37:E37,1)</f>
        <v>34.538918586473493</v>
      </c>
      <c r="G37" s="295">
        <f t="shared" ref="G37" si="17">MEDIAN(B37:E37)</f>
        <v>35.226782036120952</v>
      </c>
      <c r="H37" s="295">
        <f t="shared" ref="H37" si="18">QUARTILE(B37:E37,3)</f>
        <v>36.771434346867778</v>
      </c>
      <c r="I37" s="309">
        <f t="shared" ref="I37" si="19">AVERAGE(B37:E37)</f>
        <v>36.083570897220326</v>
      </c>
      <c r="J37" s="311"/>
      <c r="K37" s="311"/>
      <c r="L37" s="311"/>
      <c r="M37" s="311"/>
      <c r="N37" s="311"/>
      <c r="O37" s="311"/>
      <c r="P37" s="311"/>
      <c r="Q37" s="311"/>
      <c r="R37" s="311"/>
      <c r="S37" s="311"/>
      <c r="T37" s="311"/>
      <c r="U37" s="311"/>
      <c r="V37" s="311"/>
      <c r="W37" s="311"/>
      <c r="X37" s="123"/>
      <c r="Y37" s="123"/>
      <c r="Z37" s="123"/>
      <c r="AA37" s="123"/>
      <c r="AB37" s="123"/>
      <c r="AC37" s="123"/>
      <c r="AD37" s="123"/>
      <c r="AE37" s="123"/>
      <c r="AF37" s="123"/>
      <c r="AG37" s="123"/>
      <c r="AH37" s="123"/>
      <c r="AI37" s="123"/>
      <c r="AJ37" s="123"/>
      <c r="AK37" s="123"/>
      <c r="AL37" s="123"/>
      <c r="AM37" s="123"/>
      <c r="AN37" s="123"/>
    </row>
    <row r="38" spans="1:40" s="213" customFormat="1" ht="30" x14ac:dyDescent="0.25">
      <c r="A38" s="294" t="s">
        <v>579</v>
      </c>
      <c r="B38" s="295">
        <f>(compte_résultat_sectoriels!B4/compte_résultat_sectoriels!B25)</f>
        <v>4.3258632813362219</v>
      </c>
      <c r="C38" s="295">
        <f>(compte_résultat_sectoriels!C4/compte_résultat_sectoriels!C25)</f>
        <v>4.8457369744683181</v>
      </c>
      <c r="D38" s="295">
        <f>(compte_résultat_sectoriels!D4/compte_résultat_sectoriels!D25)</f>
        <v>5.3807362426238505</v>
      </c>
      <c r="E38" s="295">
        <f>(compte_résultat_sectoriels!E4/compte_résultat_sectoriels!E25)</f>
        <v>5.339239939360529</v>
      </c>
      <c r="F38" s="295">
        <f t="shared" ref="F38:F41" si="20">QUARTILE(B38:E38,1)</f>
        <v>4.7157685511852936</v>
      </c>
      <c r="G38" s="295">
        <f t="shared" ref="G38:G41" si="21">MEDIAN(B38:E38)</f>
        <v>5.092488456914424</v>
      </c>
      <c r="H38" s="295">
        <f t="shared" ref="H38:H41" si="22">QUARTILE(B38:E38,3)</f>
        <v>5.3496140151763596</v>
      </c>
      <c r="I38" s="309">
        <f t="shared" ref="I38:I41" si="23">AVERAGE(B38:E38)</f>
        <v>4.9728941094472301</v>
      </c>
      <c r="J38" s="311"/>
      <c r="K38" s="311"/>
      <c r="L38" s="311"/>
      <c r="M38" s="311"/>
      <c r="N38" s="311"/>
      <c r="O38" s="311"/>
      <c r="P38" s="311"/>
      <c r="Q38" s="311"/>
      <c r="R38" s="311"/>
      <c r="S38" s="311"/>
      <c r="T38" s="311"/>
      <c r="U38" s="311"/>
      <c r="V38" s="311"/>
      <c r="W38" s="311"/>
      <c r="X38" s="123"/>
      <c r="Y38" s="123"/>
      <c r="Z38" s="123"/>
      <c r="AA38" s="123"/>
      <c r="AB38" s="123"/>
      <c r="AC38" s="123"/>
      <c r="AD38" s="123"/>
      <c r="AE38" s="123"/>
      <c r="AF38" s="123"/>
      <c r="AG38" s="123"/>
      <c r="AH38" s="123"/>
      <c r="AI38" s="123"/>
      <c r="AJ38" s="123"/>
      <c r="AK38" s="123"/>
      <c r="AL38" s="123"/>
      <c r="AM38" s="123"/>
      <c r="AN38" s="123"/>
    </row>
    <row r="39" spans="1:40" s="213" customFormat="1" x14ac:dyDescent="0.25">
      <c r="A39" s="296" t="s">
        <v>578</v>
      </c>
      <c r="B39" s="295">
        <f>(compte_résultat_sectoriels!B54/compte_résultat_sectoriels!B53)</f>
        <v>193.43965031020869</v>
      </c>
      <c r="C39" s="295">
        <f>(compte_résultat_sectoriels!C54/compte_résultat_sectoriels!C53)</f>
        <v>208.51845316865166</v>
      </c>
      <c r="D39" s="295">
        <f>(compte_résultat_sectoriels!D54/compte_résultat_sectoriels!D53)</f>
        <v>225.30915098405401</v>
      </c>
      <c r="E39" s="295">
        <f>(compte_résultat_sectoriels!E54/compte_résultat_sectoriels!E53)</f>
        <v>224.42592324402608</v>
      </c>
      <c r="F39" s="295">
        <f t="shared" si="20"/>
        <v>204.74875245404093</v>
      </c>
      <c r="G39" s="295">
        <f t="shared" si="21"/>
        <v>216.47218820633887</v>
      </c>
      <c r="H39" s="295">
        <f t="shared" si="22"/>
        <v>224.64673017903306</v>
      </c>
      <c r="I39" s="309">
        <f t="shared" si="23"/>
        <v>212.92329442673511</v>
      </c>
      <c r="J39" s="311"/>
      <c r="K39" s="311"/>
      <c r="L39" s="311"/>
      <c r="M39" s="311"/>
      <c r="N39" s="311"/>
      <c r="O39" s="311"/>
      <c r="P39" s="311"/>
      <c r="Q39" s="311"/>
      <c r="R39" s="311"/>
      <c r="S39" s="311"/>
      <c r="T39" s="311"/>
      <c r="U39" s="311"/>
      <c r="V39" s="311"/>
      <c r="W39" s="311"/>
      <c r="X39" s="123"/>
      <c r="Y39" s="123"/>
      <c r="Z39" s="123"/>
      <c r="AA39" s="123"/>
      <c r="AB39" s="123"/>
      <c r="AC39" s="123"/>
      <c r="AD39" s="123"/>
      <c r="AE39" s="123"/>
      <c r="AF39" s="123"/>
      <c r="AG39" s="123"/>
      <c r="AH39" s="123"/>
      <c r="AI39" s="123"/>
      <c r="AJ39" s="123"/>
      <c r="AK39" s="123"/>
      <c r="AL39" s="123"/>
      <c r="AM39" s="123"/>
      <c r="AN39" s="123"/>
    </row>
    <row r="40" spans="1:40" s="213" customFormat="1" ht="30" x14ac:dyDescent="0.25">
      <c r="A40" s="294" t="s">
        <v>577</v>
      </c>
      <c r="B40" s="295">
        <f>compte_résultat_sectoriels!B67/compte_résultat_sectoriels!B25</f>
        <v>1.2202703597544249</v>
      </c>
      <c r="C40" s="295">
        <f>compte_résultat_sectoriels!C67/compte_résultat_sectoriels!C25</f>
        <v>1.4064840632004811</v>
      </c>
      <c r="D40" s="295">
        <f>compte_résultat_sectoriels!D67/compte_résultat_sectoriels!D25</f>
        <v>1.5915431590503637</v>
      </c>
      <c r="E40" s="295">
        <f>compte_résultat_sectoriels!E67/compte_résultat_sectoriels!E25</f>
        <v>1.550933710033076</v>
      </c>
      <c r="F40" s="295">
        <f t="shared" si="20"/>
        <v>1.359930637338967</v>
      </c>
      <c r="G40" s="295">
        <f t="shared" si="21"/>
        <v>1.4787088866167786</v>
      </c>
      <c r="H40" s="295">
        <f t="shared" si="22"/>
        <v>1.5610860722873978</v>
      </c>
      <c r="I40" s="309">
        <f t="shared" si="23"/>
        <v>1.4423078230095863</v>
      </c>
      <c r="J40" s="311"/>
      <c r="K40" s="311"/>
      <c r="L40" s="311"/>
      <c r="M40" s="311"/>
      <c r="N40" s="311"/>
      <c r="O40" s="311"/>
      <c r="P40" s="311"/>
      <c r="Q40" s="311"/>
      <c r="R40" s="311"/>
      <c r="S40" s="311"/>
      <c r="T40" s="311"/>
      <c r="U40" s="311"/>
      <c r="V40" s="311"/>
      <c r="W40" s="311"/>
      <c r="X40" s="123"/>
      <c r="Y40" s="123"/>
      <c r="Z40" s="123"/>
      <c r="AA40" s="123"/>
      <c r="AB40" s="123"/>
      <c r="AC40" s="123"/>
      <c r="AD40" s="123"/>
      <c r="AE40" s="123"/>
      <c r="AF40" s="123"/>
      <c r="AG40" s="123"/>
      <c r="AH40" s="123"/>
      <c r="AI40" s="123"/>
      <c r="AJ40" s="123"/>
      <c r="AK40" s="123"/>
      <c r="AL40" s="123"/>
      <c r="AM40" s="123"/>
      <c r="AN40" s="123"/>
    </row>
    <row r="41" spans="1:40" s="213" customFormat="1" ht="29.1" customHeight="1" x14ac:dyDescent="0.25">
      <c r="A41" s="294" t="s">
        <v>576</v>
      </c>
      <c r="B41" s="295">
        <f>compte_résultat_sectoriels!B67/compte_résultat_sectoriels!B53</f>
        <v>54.5668358714044</v>
      </c>
      <c r="C41" s="295">
        <f>compte_résultat_sectoriels!C67/compte_résultat_sectoriels!C53</f>
        <v>60.522864284664017</v>
      </c>
      <c r="D41" s="295">
        <f>compte_résultat_sectoriels!D67/compte_résultat_sectoriels!D53</f>
        <v>66.64315471914955</v>
      </c>
      <c r="E41" s="295">
        <f>compte_résultat_sectoriels!E67/compte_résultat_sectoriels!E53</f>
        <v>65.19087617668356</v>
      </c>
      <c r="F41" s="295">
        <f t="shared" si="20"/>
        <v>59.033857181349113</v>
      </c>
      <c r="G41" s="295">
        <f t="shared" si="21"/>
        <v>62.856870230673792</v>
      </c>
      <c r="H41" s="295">
        <f t="shared" si="22"/>
        <v>65.553945812300057</v>
      </c>
      <c r="I41" s="309">
        <f t="shared" si="23"/>
        <v>61.730932762975385</v>
      </c>
      <c r="J41" s="311"/>
      <c r="K41" s="311"/>
      <c r="L41" s="311"/>
      <c r="M41" s="311"/>
      <c r="N41" s="311"/>
      <c r="O41" s="311"/>
      <c r="P41" s="311"/>
      <c r="Q41" s="311"/>
      <c r="R41" s="311"/>
      <c r="S41" s="311"/>
      <c r="T41" s="311"/>
      <c r="U41" s="311"/>
      <c r="V41" s="311"/>
      <c r="W41" s="311"/>
      <c r="X41" s="123"/>
      <c r="Y41" s="123"/>
      <c r="Z41" s="123"/>
      <c r="AA41" s="123"/>
      <c r="AB41" s="123"/>
      <c r="AC41" s="123"/>
      <c r="AD41" s="123"/>
      <c r="AE41" s="123"/>
      <c r="AF41" s="123"/>
      <c r="AG41" s="123"/>
      <c r="AH41" s="123"/>
      <c r="AI41" s="123"/>
      <c r="AJ41" s="123"/>
      <c r="AK41" s="123"/>
      <c r="AL41" s="123"/>
      <c r="AM41" s="123"/>
      <c r="AN41" s="123"/>
    </row>
    <row r="42" spans="1:40" s="123" customFormat="1" x14ac:dyDescent="0.25">
      <c r="J42" s="311"/>
      <c r="K42" s="311"/>
      <c r="L42" s="311"/>
      <c r="M42" s="311"/>
      <c r="N42" s="311"/>
      <c r="O42" s="311"/>
      <c r="P42" s="311"/>
      <c r="Q42" s="311"/>
      <c r="R42" s="311"/>
      <c r="S42" s="311"/>
      <c r="T42" s="311"/>
      <c r="U42" s="311"/>
      <c r="V42" s="311"/>
      <c r="W42" s="311"/>
    </row>
    <row r="43" spans="1:40" s="123" customFormat="1" x14ac:dyDescent="0.25">
      <c r="A43" s="314"/>
      <c r="B43" s="315"/>
      <c r="C43" s="315"/>
      <c r="D43" s="315"/>
      <c r="E43" s="315"/>
      <c r="F43" s="315"/>
      <c r="G43" s="315"/>
      <c r="H43" s="315"/>
      <c r="I43" s="315"/>
      <c r="J43" s="311"/>
      <c r="K43" s="311"/>
      <c r="L43" s="311"/>
      <c r="M43" s="311"/>
      <c r="N43" s="311"/>
      <c r="O43" s="311"/>
      <c r="P43" s="311"/>
      <c r="Q43" s="311"/>
      <c r="R43" s="311"/>
      <c r="S43" s="311"/>
      <c r="T43" s="311"/>
      <c r="U43" s="311"/>
      <c r="V43" s="311"/>
      <c r="W43" s="311"/>
    </row>
    <row r="44" spans="1:40" s="123" customFormat="1" x14ac:dyDescent="0.25">
      <c r="A44" s="311"/>
      <c r="B44" s="311"/>
      <c r="C44" s="311"/>
      <c r="D44" s="311"/>
      <c r="E44" s="311"/>
      <c r="F44" s="315"/>
      <c r="G44" s="315"/>
      <c r="H44" s="315"/>
      <c r="I44" s="315"/>
      <c r="J44" s="311"/>
      <c r="K44" s="311"/>
      <c r="L44" s="311"/>
      <c r="M44" s="311"/>
      <c r="N44" s="311"/>
      <c r="O44" s="311"/>
      <c r="P44" s="311"/>
      <c r="Q44" s="311"/>
      <c r="R44" s="311"/>
      <c r="S44" s="311"/>
      <c r="T44" s="311"/>
      <c r="U44" s="311"/>
      <c r="V44" s="311"/>
      <c r="W44" s="311"/>
    </row>
    <row r="45" spans="1:40" s="123" customFormat="1" x14ac:dyDescent="0.25">
      <c r="A45" s="314"/>
      <c r="B45" s="315"/>
      <c r="C45" s="315"/>
      <c r="D45" s="315"/>
      <c r="E45" s="315"/>
      <c r="F45" s="315"/>
      <c r="G45" s="315"/>
      <c r="H45" s="315"/>
      <c r="I45" s="315"/>
      <c r="J45" s="311"/>
      <c r="K45" s="311"/>
      <c r="L45" s="311"/>
      <c r="M45" s="311"/>
      <c r="N45" s="311"/>
      <c r="O45" s="311"/>
      <c r="P45" s="311"/>
      <c r="Q45" s="311"/>
      <c r="R45" s="311"/>
      <c r="S45" s="311"/>
      <c r="T45" s="311"/>
      <c r="U45" s="311"/>
      <c r="V45" s="311"/>
      <c r="W45" s="311"/>
    </row>
    <row r="46" spans="1:40" s="123" customFormat="1" x14ac:dyDescent="0.25">
      <c r="A46" s="316"/>
      <c r="B46" s="317"/>
      <c r="C46" s="317"/>
      <c r="D46" s="317"/>
      <c r="E46" s="317"/>
      <c r="F46" s="315"/>
      <c r="G46" s="315"/>
      <c r="H46" s="315"/>
      <c r="I46" s="315"/>
      <c r="J46" s="311"/>
      <c r="K46" s="311"/>
      <c r="L46" s="311"/>
      <c r="M46" s="311"/>
      <c r="N46" s="311"/>
      <c r="O46" s="311"/>
      <c r="P46" s="311"/>
      <c r="Q46" s="311"/>
      <c r="R46" s="311"/>
      <c r="S46" s="311"/>
      <c r="T46" s="311"/>
      <c r="U46" s="311"/>
      <c r="V46" s="311"/>
      <c r="W46" s="311"/>
    </row>
    <row r="47" spans="1:40" s="123" customFormat="1" x14ac:dyDescent="0.25">
      <c r="A47" s="314"/>
      <c r="B47" s="315"/>
      <c r="C47" s="315"/>
      <c r="D47" s="315"/>
      <c r="E47" s="315"/>
      <c r="F47" s="315"/>
      <c r="G47" s="315"/>
      <c r="H47" s="315"/>
      <c r="I47" s="315"/>
      <c r="J47" s="311"/>
      <c r="K47" s="311"/>
      <c r="L47" s="311"/>
      <c r="M47" s="311"/>
      <c r="N47" s="311"/>
      <c r="O47" s="311"/>
      <c r="P47" s="311"/>
      <c r="Q47" s="311"/>
      <c r="R47" s="311"/>
      <c r="S47" s="311"/>
      <c r="T47" s="311"/>
      <c r="U47" s="311"/>
      <c r="V47" s="311"/>
      <c r="W47" s="311"/>
    </row>
    <row r="48" spans="1:40" s="123" customFormat="1" x14ac:dyDescent="0.25">
      <c r="A48" s="314"/>
      <c r="B48" s="315"/>
      <c r="C48" s="315"/>
      <c r="D48" s="315"/>
      <c r="E48" s="315"/>
      <c r="F48" s="315"/>
      <c r="G48" s="315"/>
      <c r="H48" s="315"/>
      <c r="I48" s="315"/>
      <c r="J48" s="311"/>
      <c r="K48" s="311"/>
      <c r="L48" s="311"/>
      <c r="M48" s="311"/>
      <c r="N48" s="311"/>
      <c r="O48" s="311"/>
      <c r="P48" s="311"/>
      <c r="Q48" s="311"/>
      <c r="R48" s="311"/>
      <c r="S48" s="311"/>
      <c r="T48" s="311"/>
      <c r="U48" s="311"/>
      <c r="V48" s="311"/>
      <c r="W48" s="311"/>
    </row>
    <row r="49" spans="1:23" s="123" customFormat="1" x14ac:dyDescent="0.25">
      <c r="A49" s="316"/>
      <c r="B49" s="317"/>
      <c r="C49" s="317"/>
      <c r="D49" s="317"/>
      <c r="E49" s="317"/>
      <c r="F49" s="317"/>
      <c r="G49" s="317"/>
      <c r="H49" s="317"/>
      <c r="I49" s="317"/>
      <c r="J49" s="311"/>
      <c r="K49" s="311"/>
      <c r="L49" s="311"/>
      <c r="M49" s="311"/>
      <c r="N49" s="311"/>
      <c r="O49" s="311"/>
      <c r="P49" s="311"/>
      <c r="Q49" s="311"/>
      <c r="R49" s="311"/>
      <c r="S49" s="311"/>
      <c r="T49" s="311"/>
      <c r="U49" s="311"/>
      <c r="V49" s="311"/>
      <c r="W49" s="311"/>
    </row>
    <row r="50" spans="1:23" s="123" customFormat="1" x14ac:dyDescent="0.25">
      <c r="A50" s="311"/>
      <c r="B50" s="311"/>
      <c r="C50" s="311"/>
      <c r="D50" s="311"/>
      <c r="E50" s="311"/>
      <c r="F50" s="311"/>
      <c r="G50" s="311"/>
      <c r="H50" s="311"/>
      <c r="I50" s="311"/>
      <c r="J50" s="311"/>
      <c r="K50" s="311"/>
      <c r="L50" s="311"/>
      <c r="M50" s="311"/>
      <c r="N50" s="311"/>
      <c r="O50" s="311"/>
      <c r="P50" s="311"/>
      <c r="Q50" s="311"/>
      <c r="R50" s="311"/>
      <c r="S50" s="311"/>
      <c r="T50" s="311"/>
      <c r="U50" s="311"/>
      <c r="V50" s="311"/>
      <c r="W50" s="311"/>
    </row>
    <row r="51" spans="1:23" s="123" customFormat="1" x14ac:dyDescent="0.25">
      <c r="A51" s="311"/>
      <c r="B51" s="311"/>
      <c r="C51" s="311"/>
      <c r="D51" s="311"/>
      <c r="E51" s="311"/>
      <c r="F51" s="311"/>
      <c r="G51" s="311"/>
      <c r="H51" s="311"/>
      <c r="I51" s="311"/>
      <c r="J51" s="311"/>
      <c r="K51" s="311"/>
      <c r="L51" s="311"/>
      <c r="M51" s="311"/>
      <c r="N51" s="311"/>
      <c r="O51" s="311"/>
      <c r="P51" s="311"/>
      <c r="Q51" s="311"/>
      <c r="R51" s="311"/>
      <c r="S51" s="311"/>
      <c r="T51" s="311"/>
      <c r="U51" s="311"/>
      <c r="V51" s="311"/>
      <c r="W51" s="311"/>
    </row>
    <row r="52" spans="1:23" s="123" customFormat="1" x14ac:dyDescent="0.25">
      <c r="A52" s="311"/>
      <c r="B52" s="311"/>
      <c r="C52" s="311"/>
      <c r="D52" s="311"/>
      <c r="E52" s="311"/>
      <c r="F52" s="311"/>
      <c r="G52" s="311"/>
      <c r="H52" s="311"/>
      <c r="I52" s="311"/>
      <c r="J52" s="311"/>
      <c r="K52" s="311"/>
      <c r="L52" s="311"/>
      <c r="M52" s="311"/>
      <c r="N52" s="311"/>
      <c r="O52" s="311"/>
      <c r="P52" s="311"/>
      <c r="Q52" s="311"/>
      <c r="R52" s="311"/>
      <c r="S52" s="311"/>
      <c r="T52" s="311"/>
      <c r="U52" s="311"/>
      <c r="V52" s="311"/>
      <c r="W52" s="311"/>
    </row>
    <row r="53" spans="1:23" s="123" customFormat="1" x14ac:dyDescent="0.25">
      <c r="A53" s="318"/>
      <c r="B53" s="311"/>
      <c r="C53" s="311"/>
      <c r="D53" s="311"/>
      <c r="E53" s="311"/>
      <c r="J53" s="311"/>
      <c r="K53" s="311"/>
      <c r="L53" s="311"/>
      <c r="M53" s="311"/>
      <c r="N53" s="311"/>
      <c r="O53" s="311"/>
      <c r="P53" s="311"/>
      <c r="Q53" s="311"/>
      <c r="R53" s="311"/>
      <c r="S53" s="311"/>
      <c r="T53" s="311"/>
      <c r="U53" s="311"/>
      <c r="V53" s="311"/>
      <c r="W53" s="311"/>
    </row>
    <row r="54" spans="1:23" s="123" customFormat="1" x14ac:dyDescent="0.25">
      <c r="A54" s="318"/>
      <c r="B54" s="311"/>
      <c r="C54" s="311"/>
      <c r="D54" s="311"/>
      <c r="E54" s="311"/>
      <c r="J54" s="311"/>
      <c r="K54" s="311"/>
      <c r="L54" s="311"/>
      <c r="M54" s="311"/>
      <c r="N54" s="311"/>
      <c r="O54" s="311"/>
      <c r="P54" s="311"/>
      <c r="Q54" s="311"/>
      <c r="R54" s="311"/>
      <c r="S54" s="311"/>
      <c r="T54" s="311"/>
      <c r="U54" s="311"/>
      <c r="V54" s="311"/>
      <c r="W54" s="311"/>
    </row>
    <row r="55" spans="1:23" s="123" customFormat="1" x14ac:dyDescent="0.25">
      <c r="A55" s="318"/>
      <c r="B55" s="311"/>
      <c r="C55" s="311"/>
      <c r="D55" s="311"/>
      <c r="E55" s="311"/>
      <c r="J55" s="311"/>
      <c r="K55" s="311"/>
      <c r="L55" s="311"/>
      <c r="M55" s="311"/>
      <c r="N55" s="311"/>
      <c r="O55" s="311"/>
      <c r="P55" s="311"/>
      <c r="Q55" s="311"/>
      <c r="R55" s="311"/>
      <c r="S55" s="311"/>
      <c r="T55" s="311"/>
      <c r="U55" s="311"/>
      <c r="V55" s="311"/>
      <c r="W55" s="311"/>
    </row>
    <row r="56" spans="1:23" s="123" customFormat="1" x14ac:dyDescent="0.25">
      <c r="A56" s="318"/>
      <c r="B56" s="311"/>
      <c r="C56" s="311"/>
      <c r="D56" s="311"/>
      <c r="E56" s="311"/>
      <c r="J56" s="311"/>
      <c r="K56" s="311"/>
      <c r="L56" s="311"/>
      <c r="M56" s="311"/>
      <c r="N56" s="311"/>
      <c r="O56" s="311"/>
      <c r="P56" s="311"/>
      <c r="Q56" s="311"/>
      <c r="R56" s="311"/>
      <c r="S56" s="311"/>
      <c r="T56" s="311"/>
      <c r="U56" s="311"/>
      <c r="V56" s="311"/>
      <c r="W56" s="311"/>
    </row>
    <row r="57" spans="1:23" s="123" customFormat="1" x14ac:dyDescent="0.25">
      <c r="A57" s="318"/>
      <c r="B57" s="311"/>
      <c r="C57" s="311"/>
      <c r="D57" s="311"/>
      <c r="E57" s="311"/>
      <c r="J57" s="311"/>
      <c r="K57" s="311"/>
      <c r="L57" s="311"/>
      <c r="M57" s="311"/>
      <c r="N57" s="311"/>
      <c r="O57" s="311"/>
      <c r="P57" s="311"/>
      <c r="Q57" s="311"/>
      <c r="R57" s="311"/>
      <c r="S57" s="311"/>
      <c r="T57" s="311"/>
      <c r="U57" s="311"/>
      <c r="V57" s="311"/>
      <c r="W57" s="311"/>
    </row>
    <row r="58" spans="1:23" s="123" customFormat="1" x14ac:dyDescent="0.25">
      <c r="A58" s="318"/>
      <c r="B58" s="311"/>
      <c r="C58" s="311"/>
      <c r="D58" s="311"/>
      <c r="E58" s="311"/>
      <c r="J58" s="311"/>
      <c r="K58" s="311"/>
      <c r="L58" s="311"/>
      <c r="M58" s="311"/>
      <c r="N58" s="311"/>
      <c r="O58" s="311"/>
      <c r="P58" s="311"/>
      <c r="Q58" s="311"/>
      <c r="R58" s="311"/>
      <c r="S58" s="311"/>
      <c r="T58" s="311"/>
      <c r="U58" s="311"/>
      <c r="V58" s="311"/>
      <c r="W58" s="311"/>
    </row>
    <row r="59" spans="1:23" s="123" customFormat="1" x14ac:dyDescent="0.25">
      <c r="A59" s="318"/>
      <c r="B59" s="311"/>
      <c r="C59" s="311"/>
      <c r="D59" s="311"/>
      <c r="E59" s="311"/>
      <c r="J59" s="311"/>
      <c r="K59" s="311"/>
      <c r="L59" s="311"/>
      <c r="M59" s="311"/>
      <c r="N59" s="311"/>
      <c r="O59" s="311"/>
      <c r="P59" s="311"/>
      <c r="Q59" s="311"/>
      <c r="R59" s="311"/>
      <c r="S59" s="311"/>
      <c r="T59" s="311"/>
      <c r="U59" s="311"/>
      <c r="V59" s="311"/>
      <c r="W59" s="311"/>
    </row>
    <row r="60" spans="1:23" s="123" customFormat="1" x14ac:dyDescent="0.25">
      <c r="A60" s="318"/>
      <c r="B60" s="311"/>
      <c r="C60" s="311"/>
      <c r="D60" s="311"/>
      <c r="E60" s="311"/>
      <c r="J60" s="311"/>
      <c r="K60" s="311"/>
      <c r="L60" s="311"/>
      <c r="M60" s="311"/>
      <c r="N60" s="311"/>
      <c r="O60" s="311"/>
      <c r="P60" s="311"/>
      <c r="Q60" s="311"/>
      <c r="R60" s="311"/>
      <c r="S60" s="311"/>
      <c r="T60" s="311"/>
      <c r="U60" s="311"/>
      <c r="V60" s="311"/>
      <c r="W60" s="311"/>
    </row>
    <row r="61" spans="1:23" s="123" customFormat="1" x14ac:dyDescent="0.25">
      <c r="A61" s="311"/>
      <c r="B61" s="311"/>
      <c r="C61" s="311"/>
      <c r="D61" s="311"/>
      <c r="E61" s="311"/>
      <c r="J61" s="311"/>
      <c r="K61" s="311"/>
      <c r="L61" s="311"/>
      <c r="M61" s="311"/>
      <c r="N61" s="311"/>
      <c r="O61" s="311"/>
      <c r="P61" s="311"/>
      <c r="Q61" s="311"/>
      <c r="R61" s="311"/>
      <c r="S61" s="311"/>
      <c r="T61" s="311"/>
      <c r="U61" s="311"/>
      <c r="V61" s="311"/>
      <c r="W61" s="311"/>
    </row>
    <row r="62" spans="1:23" s="123" customFormat="1" x14ac:dyDescent="0.25">
      <c r="A62" s="318"/>
      <c r="B62" s="311"/>
      <c r="C62" s="311"/>
      <c r="D62" s="311"/>
      <c r="E62" s="311"/>
      <c r="J62" s="311"/>
      <c r="K62" s="311"/>
      <c r="L62" s="311"/>
      <c r="M62" s="311"/>
      <c r="N62" s="311"/>
      <c r="O62" s="311"/>
      <c r="P62" s="311"/>
      <c r="Q62" s="311"/>
      <c r="R62" s="311"/>
      <c r="S62" s="311"/>
      <c r="T62" s="311"/>
      <c r="U62" s="311"/>
      <c r="V62" s="311"/>
      <c r="W62" s="311"/>
    </row>
    <row r="63" spans="1:23" s="123" customFormat="1" x14ac:dyDescent="0.25">
      <c r="A63" s="318"/>
      <c r="B63" s="311"/>
      <c r="C63" s="311"/>
      <c r="D63" s="311"/>
      <c r="E63" s="311"/>
      <c r="J63" s="311"/>
      <c r="K63" s="311"/>
      <c r="L63" s="311"/>
      <c r="M63" s="311"/>
      <c r="N63" s="311"/>
      <c r="O63" s="311"/>
      <c r="P63" s="311"/>
      <c r="Q63" s="311"/>
      <c r="R63" s="311"/>
      <c r="S63" s="311"/>
      <c r="T63" s="311"/>
      <c r="U63" s="311"/>
      <c r="V63" s="311"/>
      <c r="W63" s="311"/>
    </row>
    <row r="64" spans="1:23" s="123" customFormat="1" x14ac:dyDescent="0.25">
      <c r="A64" s="318"/>
      <c r="B64" s="311"/>
      <c r="C64" s="311"/>
      <c r="D64" s="311"/>
      <c r="E64" s="311"/>
      <c r="J64" s="311"/>
      <c r="K64" s="311"/>
      <c r="L64" s="311"/>
      <c r="M64" s="311"/>
      <c r="N64" s="311"/>
      <c r="O64" s="311"/>
      <c r="P64" s="311"/>
      <c r="Q64" s="311"/>
      <c r="R64" s="311"/>
      <c r="S64" s="311"/>
      <c r="T64" s="311"/>
      <c r="U64" s="311"/>
      <c r="V64" s="311"/>
      <c r="W64" s="311"/>
    </row>
    <row r="65" spans="1:23" s="123" customFormat="1" x14ac:dyDescent="0.25">
      <c r="A65" s="318"/>
      <c r="B65" s="311"/>
      <c r="C65" s="311"/>
      <c r="D65" s="311"/>
      <c r="E65" s="311"/>
      <c r="J65" s="311"/>
      <c r="K65" s="311"/>
      <c r="L65" s="311"/>
      <c r="M65" s="311"/>
      <c r="N65" s="311"/>
      <c r="O65" s="311"/>
      <c r="P65" s="311"/>
      <c r="Q65" s="311"/>
      <c r="R65" s="311"/>
      <c r="S65" s="311"/>
      <c r="T65" s="311"/>
      <c r="U65" s="311"/>
      <c r="V65" s="311"/>
      <c r="W65" s="311"/>
    </row>
    <row r="66" spans="1:23" s="123" customFormat="1" x14ac:dyDescent="0.25">
      <c r="A66" s="318"/>
      <c r="B66" s="311"/>
      <c r="C66" s="311"/>
      <c r="D66" s="311"/>
      <c r="E66" s="311"/>
      <c r="J66" s="311"/>
      <c r="K66" s="311"/>
      <c r="L66" s="311"/>
      <c r="M66" s="311"/>
      <c r="N66" s="311"/>
      <c r="O66" s="311"/>
      <c r="P66" s="311"/>
      <c r="Q66" s="311"/>
      <c r="R66" s="311"/>
      <c r="S66" s="311"/>
      <c r="T66" s="311"/>
      <c r="U66" s="311"/>
      <c r="V66" s="311"/>
      <c r="W66" s="311"/>
    </row>
    <row r="67" spans="1:23" s="123" customFormat="1" x14ac:dyDescent="0.25">
      <c r="A67" s="311"/>
      <c r="B67" s="311"/>
      <c r="C67" s="311"/>
      <c r="D67" s="311"/>
      <c r="E67" s="311"/>
      <c r="J67" s="311"/>
      <c r="K67" s="311"/>
      <c r="L67" s="311"/>
      <c r="M67" s="311"/>
      <c r="N67" s="311"/>
      <c r="O67" s="311"/>
      <c r="P67" s="311"/>
      <c r="Q67" s="311"/>
      <c r="R67" s="311"/>
      <c r="S67" s="311"/>
      <c r="T67" s="311"/>
      <c r="U67" s="311"/>
      <c r="V67" s="311"/>
      <c r="W67" s="311"/>
    </row>
    <row r="68" spans="1:23" s="123" customFormat="1" x14ac:dyDescent="0.25">
      <c r="A68" s="311"/>
      <c r="B68" s="311"/>
      <c r="C68" s="311"/>
      <c r="D68" s="311"/>
      <c r="E68" s="311"/>
      <c r="J68" s="311"/>
      <c r="K68" s="311"/>
      <c r="L68" s="311"/>
      <c r="M68" s="311"/>
      <c r="N68" s="311"/>
      <c r="O68" s="311"/>
      <c r="P68" s="311"/>
      <c r="Q68" s="311"/>
      <c r="R68" s="311"/>
      <c r="S68" s="311"/>
      <c r="T68" s="311"/>
      <c r="U68" s="311"/>
      <c r="V68" s="311"/>
      <c r="W68" s="311"/>
    </row>
    <row r="69" spans="1:23" s="123" customFormat="1" x14ac:dyDescent="0.25">
      <c r="A69" s="311"/>
      <c r="B69" s="311"/>
      <c r="C69" s="311"/>
      <c r="D69" s="311"/>
      <c r="E69" s="311"/>
      <c r="J69" s="311"/>
      <c r="K69" s="311"/>
      <c r="L69" s="311"/>
      <c r="M69" s="311"/>
      <c r="N69" s="311"/>
      <c r="O69" s="311"/>
      <c r="P69" s="311"/>
      <c r="Q69" s="311"/>
      <c r="R69" s="311"/>
      <c r="S69" s="311"/>
      <c r="T69" s="311"/>
      <c r="U69" s="311"/>
      <c r="V69" s="311"/>
      <c r="W69" s="311"/>
    </row>
    <row r="70" spans="1:23" s="123" customFormat="1" x14ac:dyDescent="0.25">
      <c r="A70" s="311"/>
      <c r="B70" s="311"/>
      <c r="C70" s="311"/>
      <c r="D70" s="311"/>
      <c r="E70" s="311"/>
      <c r="J70" s="311"/>
      <c r="K70" s="311"/>
      <c r="L70" s="311"/>
      <c r="M70" s="311"/>
      <c r="N70" s="311"/>
      <c r="O70" s="311"/>
      <c r="P70" s="311"/>
      <c r="Q70" s="311"/>
      <c r="R70" s="311"/>
      <c r="S70" s="311"/>
      <c r="T70" s="311"/>
      <c r="U70" s="311"/>
      <c r="V70" s="311"/>
      <c r="W70" s="311"/>
    </row>
    <row r="71" spans="1:23" s="123" customFormat="1" x14ac:dyDescent="0.25">
      <c r="A71" s="311"/>
      <c r="B71" s="311"/>
      <c r="C71" s="311"/>
      <c r="D71" s="311"/>
      <c r="E71" s="311"/>
      <c r="J71" s="311"/>
      <c r="K71" s="311"/>
      <c r="L71" s="311"/>
      <c r="M71" s="311"/>
      <c r="N71" s="311"/>
      <c r="O71" s="311"/>
      <c r="P71" s="311"/>
      <c r="Q71" s="311"/>
      <c r="R71" s="311"/>
      <c r="S71" s="311"/>
      <c r="T71" s="311"/>
      <c r="U71" s="311"/>
      <c r="V71" s="311"/>
      <c r="W71" s="311"/>
    </row>
    <row r="72" spans="1:23" s="123" customFormat="1" x14ac:dyDescent="0.25">
      <c r="A72" s="311"/>
      <c r="B72" s="311"/>
      <c r="C72" s="311"/>
      <c r="D72" s="311"/>
      <c r="E72" s="311"/>
      <c r="J72" s="311"/>
      <c r="K72" s="311"/>
      <c r="L72" s="311"/>
      <c r="M72" s="311"/>
      <c r="N72" s="311"/>
      <c r="O72" s="311"/>
      <c r="P72" s="311"/>
      <c r="Q72" s="311"/>
      <c r="R72" s="311"/>
      <c r="S72" s="311"/>
      <c r="T72" s="311"/>
      <c r="U72" s="311"/>
      <c r="V72" s="311"/>
      <c r="W72" s="311"/>
    </row>
    <row r="73" spans="1:23" s="123" customFormat="1" x14ac:dyDescent="0.25">
      <c r="A73" s="311"/>
      <c r="B73" s="311"/>
      <c r="C73" s="311"/>
      <c r="D73" s="311"/>
      <c r="E73" s="311"/>
      <c r="J73" s="311"/>
      <c r="K73" s="311"/>
      <c r="L73" s="311"/>
      <c r="M73" s="311"/>
      <c r="N73" s="311"/>
      <c r="O73" s="311"/>
      <c r="P73" s="311"/>
      <c r="Q73" s="311"/>
      <c r="R73" s="311"/>
      <c r="S73" s="311"/>
      <c r="T73" s="311"/>
      <c r="U73" s="311"/>
      <c r="V73" s="311"/>
      <c r="W73" s="311"/>
    </row>
    <row r="74" spans="1:23" s="123" customFormat="1" x14ac:dyDescent="0.25">
      <c r="A74" s="311"/>
      <c r="B74" s="311"/>
      <c r="C74" s="311"/>
      <c r="D74" s="311"/>
      <c r="E74" s="311"/>
      <c r="J74" s="311"/>
      <c r="K74" s="311"/>
      <c r="L74" s="311"/>
      <c r="M74" s="311"/>
      <c r="N74" s="311"/>
      <c r="O74" s="311"/>
      <c r="P74" s="311"/>
      <c r="Q74" s="311"/>
      <c r="R74" s="311"/>
      <c r="S74" s="311"/>
      <c r="T74" s="311"/>
      <c r="U74" s="311"/>
      <c r="V74" s="311"/>
      <c r="W74" s="311"/>
    </row>
    <row r="75" spans="1:23" s="123" customFormat="1" x14ac:dyDescent="0.25">
      <c r="A75" s="311"/>
      <c r="B75" s="311"/>
      <c r="C75" s="311"/>
      <c r="D75" s="311"/>
      <c r="E75" s="311"/>
      <c r="J75" s="311"/>
      <c r="K75" s="311"/>
      <c r="L75" s="311"/>
      <c r="M75" s="311"/>
      <c r="N75" s="311"/>
      <c r="O75" s="311"/>
      <c r="P75" s="311"/>
      <c r="Q75" s="311"/>
      <c r="R75" s="311"/>
      <c r="S75" s="311"/>
      <c r="T75" s="311"/>
      <c r="U75" s="311"/>
      <c r="V75" s="311"/>
      <c r="W75" s="311"/>
    </row>
    <row r="76" spans="1:23" s="123" customFormat="1" x14ac:dyDescent="0.25">
      <c r="A76" s="311"/>
      <c r="B76" s="311"/>
      <c r="C76" s="311"/>
      <c r="D76" s="311"/>
      <c r="E76" s="311"/>
      <c r="J76" s="311"/>
      <c r="K76" s="311"/>
      <c r="L76" s="311"/>
      <c r="M76" s="311"/>
      <c r="N76" s="311"/>
      <c r="O76" s="311"/>
      <c r="P76" s="311"/>
      <c r="Q76" s="311"/>
      <c r="R76" s="311"/>
      <c r="S76" s="311"/>
      <c r="T76" s="311"/>
      <c r="U76" s="311"/>
      <c r="V76" s="311"/>
      <c r="W76" s="311"/>
    </row>
    <row r="77" spans="1:23" s="123" customFormat="1" x14ac:dyDescent="0.25">
      <c r="A77" s="311"/>
      <c r="B77" s="311"/>
      <c r="C77" s="311"/>
      <c r="D77" s="311"/>
      <c r="E77" s="311"/>
      <c r="J77" s="311"/>
      <c r="K77" s="311"/>
      <c r="L77" s="311"/>
      <c r="M77" s="311"/>
      <c r="N77" s="311"/>
      <c r="O77" s="311"/>
      <c r="P77" s="311"/>
      <c r="Q77" s="311"/>
      <c r="R77" s="311"/>
      <c r="S77" s="311"/>
      <c r="T77" s="311"/>
      <c r="U77" s="311"/>
      <c r="V77" s="311"/>
      <c r="W77" s="311"/>
    </row>
    <row r="78" spans="1:23" s="123" customFormat="1" x14ac:dyDescent="0.25">
      <c r="A78" s="311"/>
      <c r="B78" s="311"/>
      <c r="C78" s="311"/>
      <c r="D78" s="311"/>
      <c r="E78" s="311"/>
      <c r="J78" s="311"/>
      <c r="K78" s="311"/>
      <c r="L78" s="311"/>
      <c r="M78" s="311"/>
      <c r="N78" s="311"/>
      <c r="O78" s="311"/>
      <c r="P78" s="311"/>
      <c r="Q78" s="311"/>
      <c r="R78" s="311"/>
      <c r="S78" s="311"/>
      <c r="T78" s="311"/>
      <c r="U78" s="311"/>
      <c r="V78" s="311"/>
      <c r="W78" s="311"/>
    </row>
    <row r="79" spans="1:23" s="123" customFormat="1" x14ac:dyDescent="0.25">
      <c r="A79" s="311"/>
      <c r="B79" s="311"/>
      <c r="C79" s="311"/>
      <c r="D79" s="311"/>
      <c r="E79" s="311"/>
      <c r="J79" s="311"/>
      <c r="K79" s="311"/>
      <c r="L79" s="311"/>
      <c r="M79" s="311"/>
      <c r="N79" s="311"/>
      <c r="O79" s="311"/>
      <c r="P79" s="311"/>
      <c r="Q79" s="311"/>
      <c r="R79" s="311"/>
      <c r="S79" s="311"/>
      <c r="T79" s="311"/>
      <c r="U79" s="311"/>
      <c r="V79" s="311"/>
      <c r="W79" s="311"/>
    </row>
    <row r="80" spans="1:23" s="123" customFormat="1" x14ac:dyDescent="0.25">
      <c r="A80" s="311"/>
      <c r="B80" s="311"/>
      <c r="C80" s="311"/>
      <c r="D80" s="311"/>
      <c r="E80" s="311"/>
      <c r="J80" s="311"/>
      <c r="K80" s="311"/>
      <c r="L80" s="311"/>
      <c r="M80" s="311"/>
      <c r="N80" s="311"/>
      <c r="O80" s="311"/>
      <c r="P80" s="311"/>
      <c r="Q80" s="311"/>
      <c r="R80" s="311"/>
      <c r="S80" s="311"/>
      <c r="T80" s="311"/>
      <c r="U80" s="311"/>
      <c r="V80" s="311"/>
      <c r="W80" s="311"/>
    </row>
    <row r="81" spans="1:23" s="123" customFormat="1" x14ac:dyDescent="0.25">
      <c r="A81" s="311"/>
      <c r="B81" s="311"/>
      <c r="C81" s="311"/>
      <c r="D81" s="311"/>
      <c r="E81" s="311"/>
      <c r="J81" s="311"/>
      <c r="K81" s="311"/>
      <c r="L81" s="311"/>
      <c r="M81" s="311"/>
      <c r="N81" s="311"/>
      <c r="O81" s="311"/>
      <c r="P81" s="311"/>
      <c r="Q81" s="311"/>
      <c r="R81" s="311"/>
      <c r="S81" s="311"/>
      <c r="T81" s="311"/>
      <c r="U81" s="311"/>
      <c r="V81" s="311"/>
      <c r="W81" s="311"/>
    </row>
    <row r="82" spans="1:23" s="123" customFormat="1" x14ac:dyDescent="0.25">
      <c r="A82" s="311"/>
      <c r="B82" s="311"/>
      <c r="C82" s="311"/>
      <c r="D82" s="311"/>
      <c r="E82" s="311"/>
      <c r="J82" s="311"/>
      <c r="K82" s="311"/>
      <c r="L82" s="311"/>
      <c r="M82" s="311"/>
      <c r="N82" s="311"/>
      <c r="O82" s="311"/>
      <c r="P82" s="311"/>
      <c r="Q82" s="311"/>
      <c r="R82" s="311"/>
      <c r="S82" s="311"/>
      <c r="T82" s="311"/>
      <c r="U82" s="311"/>
      <c r="V82" s="311"/>
      <c r="W82" s="311"/>
    </row>
    <row r="83" spans="1:23" s="123" customFormat="1" x14ac:dyDescent="0.25">
      <c r="A83" s="311"/>
      <c r="B83" s="311"/>
      <c r="C83" s="311"/>
      <c r="D83" s="311"/>
      <c r="E83" s="311"/>
      <c r="J83" s="311"/>
      <c r="K83" s="311"/>
      <c r="L83" s="311"/>
      <c r="M83" s="311"/>
      <c r="N83" s="311"/>
      <c r="O83" s="311"/>
      <c r="P83" s="311"/>
      <c r="Q83" s="311"/>
      <c r="R83" s="311"/>
      <c r="S83" s="311"/>
      <c r="T83" s="311"/>
      <c r="U83" s="311"/>
      <c r="V83" s="311"/>
      <c r="W83" s="311"/>
    </row>
    <row r="84" spans="1:23" s="123" customFormat="1" x14ac:dyDescent="0.25">
      <c r="A84" s="311"/>
      <c r="B84" s="311"/>
      <c r="C84" s="311"/>
      <c r="D84" s="311"/>
      <c r="E84" s="311"/>
      <c r="J84" s="311"/>
      <c r="K84" s="311"/>
      <c r="L84" s="311"/>
      <c r="M84" s="311"/>
      <c r="N84" s="311"/>
      <c r="O84" s="311"/>
      <c r="P84" s="311"/>
      <c r="Q84" s="311"/>
      <c r="R84" s="311"/>
      <c r="S84" s="311"/>
      <c r="T84" s="311"/>
      <c r="U84" s="311"/>
      <c r="V84" s="311"/>
      <c r="W84" s="311"/>
    </row>
    <row r="85" spans="1:23" s="123" customFormat="1" x14ac:dyDescent="0.25">
      <c r="A85" s="311"/>
      <c r="B85" s="311"/>
      <c r="C85" s="311"/>
      <c r="D85" s="311"/>
      <c r="E85" s="311"/>
      <c r="J85" s="311"/>
      <c r="K85" s="311"/>
      <c r="L85" s="311"/>
      <c r="M85" s="311"/>
      <c r="N85" s="311"/>
      <c r="O85" s="311"/>
      <c r="P85" s="311"/>
      <c r="Q85" s="311"/>
      <c r="R85" s="311"/>
      <c r="S85" s="311"/>
      <c r="T85" s="311"/>
      <c r="U85" s="311"/>
      <c r="V85" s="311"/>
      <c r="W85" s="311"/>
    </row>
    <row r="86" spans="1:23" s="123" customFormat="1" x14ac:dyDescent="0.25">
      <c r="A86" s="311"/>
      <c r="B86" s="311"/>
      <c r="C86" s="311"/>
      <c r="D86" s="311"/>
      <c r="E86" s="311"/>
      <c r="J86" s="311"/>
      <c r="K86" s="311"/>
      <c r="L86" s="311"/>
      <c r="M86" s="311"/>
      <c r="N86" s="311"/>
      <c r="O86" s="311"/>
      <c r="P86" s="311"/>
      <c r="Q86" s="311"/>
      <c r="R86" s="311"/>
      <c r="S86" s="311"/>
      <c r="T86" s="311"/>
      <c r="U86" s="311"/>
      <c r="V86" s="311"/>
      <c r="W86" s="311"/>
    </row>
    <row r="87" spans="1:23" s="123" customFormat="1" x14ac:dyDescent="0.25">
      <c r="A87" s="311"/>
      <c r="B87" s="311"/>
      <c r="C87" s="311"/>
      <c r="D87" s="311"/>
      <c r="E87" s="311"/>
      <c r="J87" s="311"/>
      <c r="K87" s="311"/>
      <c r="L87" s="311"/>
      <c r="M87" s="311"/>
      <c r="N87" s="311"/>
      <c r="O87" s="311"/>
      <c r="P87" s="311"/>
      <c r="Q87" s="311"/>
      <c r="R87" s="311"/>
      <c r="S87" s="311"/>
      <c r="T87" s="311"/>
      <c r="U87" s="311"/>
      <c r="V87" s="311"/>
      <c r="W87" s="311"/>
    </row>
    <row r="88" spans="1:23" s="123" customFormat="1" x14ac:dyDescent="0.25">
      <c r="A88" s="311"/>
      <c r="B88" s="311"/>
      <c r="C88" s="311"/>
      <c r="D88" s="311"/>
      <c r="E88" s="311"/>
      <c r="J88" s="311"/>
      <c r="K88" s="311"/>
      <c r="L88" s="311"/>
      <c r="M88" s="311"/>
      <c r="N88" s="311"/>
      <c r="O88" s="311"/>
      <c r="P88" s="311"/>
      <c r="Q88" s="311"/>
      <c r="R88" s="311"/>
      <c r="S88" s="311"/>
      <c r="T88" s="311"/>
      <c r="U88" s="311"/>
      <c r="V88" s="311"/>
      <c r="W88" s="311"/>
    </row>
    <row r="89" spans="1:23" s="123" customFormat="1" x14ac:dyDescent="0.25">
      <c r="A89" s="311"/>
      <c r="B89" s="311"/>
      <c r="C89" s="311"/>
      <c r="D89" s="311"/>
      <c r="E89" s="311"/>
      <c r="J89" s="311"/>
      <c r="K89" s="311"/>
      <c r="L89" s="311"/>
      <c r="M89" s="311"/>
      <c r="N89" s="311"/>
      <c r="O89" s="311"/>
      <c r="P89" s="311"/>
      <c r="Q89" s="311"/>
      <c r="R89" s="311"/>
      <c r="S89" s="311"/>
      <c r="T89" s="311"/>
      <c r="U89" s="311"/>
      <c r="V89" s="311"/>
      <c r="W89" s="311"/>
    </row>
    <row r="90" spans="1:23" s="123" customFormat="1" x14ac:dyDescent="0.25">
      <c r="A90" s="311"/>
      <c r="B90" s="311"/>
      <c r="C90" s="311"/>
      <c r="D90" s="311"/>
      <c r="E90" s="311"/>
      <c r="J90" s="311"/>
      <c r="K90" s="311"/>
      <c r="L90" s="311"/>
      <c r="M90" s="311"/>
      <c r="N90" s="311"/>
      <c r="O90" s="311"/>
      <c r="P90" s="311"/>
      <c r="Q90" s="311"/>
      <c r="R90" s="311"/>
      <c r="S90" s="311"/>
      <c r="T90" s="311"/>
      <c r="U90" s="311"/>
      <c r="V90" s="311"/>
      <c r="W90" s="311"/>
    </row>
    <row r="91" spans="1:23" s="123" customFormat="1" x14ac:dyDescent="0.25">
      <c r="A91" s="311"/>
      <c r="B91" s="311"/>
      <c r="C91" s="311"/>
      <c r="D91" s="311"/>
      <c r="E91" s="311"/>
      <c r="J91" s="311"/>
      <c r="K91" s="311"/>
      <c r="L91" s="311"/>
      <c r="M91" s="311"/>
      <c r="N91" s="311"/>
      <c r="O91" s="311"/>
      <c r="P91" s="311"/>
      <c r="Q91" s="311"/>
      <c r="R91" s="311"/>
      <c r="S91" s="311"/>
      <c r="T91" s="311"/>
      <c r="U91" s="311"/>
      <c r="V91" s="311"/>
      <c r="W91" s="311"/>
    </row>
    <row r="92" spans="1:23" s="123" customFormat="1" x14ac:dyDescent="0.25">
      <c r="J92" s="311"/>
      <c r="K92" s="311"/>
      <c r="L92" s="311"/>
      <c r="M92" s="311"/>
      <c r="N92" s="311"/>
      <c r="O92" s="311"/>
      <c r="P92" s="311"/>
      <c r="Q92" s="311"/>
      <c r="R92" s="311"/>
      <c r="S92" s="311"/>
      <c r="T92" s="311"/>
      <c r="U92" s="311"/>
      <c r="V92" s="311"/>
      <c r="W92" s="311"/>
    </row>
    <row r="93" spans="1:23" s="123" customFormat="1" x14ac:dyDescent="0.25">
      <c r="J93" s="311"/>
      <c r="K93" s="311"/>
      <c r="L93" s="311"/>
      <c r="M93" s="311"/>
      <c r="N93" s="311"/>
      <c r="O93" s="311"/>
      <c r="P93" s="311"/>
      <c r="Q93" s="311"/>
      <c r="R93" s="311"/>
      <c r="S93" s="311"/>
      <c r="T93" s="311"/>
      <c r="U93" s="311"/>
      <c r="V93" s="311"/>
      <c r="W93" s="311"/>
    </row>
    <row r="94" spans="1:23" s="123" customFormat="1" x14ac:dyDescent="0.25">
      <c r="J94" s="311"/>
      <c r="K94" s="311"/>
      <c r="L94" s="311"/>
      <c r="M94" s="311"/>
      <c r="N94" s="311"/>
      <c r="O94" s="311"/>
      <c r="P94" s="311"/>
      <c r="Q94" s="311"/>
      <c r="R94" s="311"/>
      <c r="S94" s="311"/>
      <c r="T94" s="311"/>
      <c r="U94" s="311"/>
      <c r="V94" s="311"/>
      <c r="W94" s="311"/>
    </row>
    <row r="95" spans="1:23" s="123" customFormat="1" x14ac:dyDescent="0.25">
      <c r="J95" s="311"/>
      <c r="K95" s="311"/>
      <c r="L95" s="311"/>
      <c r="M95" s="311"/>
      <c r="N95" s="311"/>
      <c r="O95" s="311"/>
      <c r="P95" s="311"/>
      <c r="Q95" s="311"/>
      <c r="R95" s="311"/>
      <c r="S95" s="311"/>
      <c r="T95" s="311"/>
      <c r="U95" s="311"/>
      <c r="V95" s="311"/>
      <c r="W95" s="311"/>
    </row>
    <row r="96" spans="1:23" s="123" customFormat="1" x14ac:dyDescent="0.25">
      <c r="J96" s="311"/>
      <c r="K96" s="311"/>
      <c r="L96" s="311"/>
      <c r="M96" s="311"/>
      <c r="N96" s="311"/>
      <c r="O96" s="311"/>
      <c r="P96" s="311"/>
      <c r="Q96" s="311"/>
      <c r="R96" s="311"/>
      <c r="S96" s="311"/>
      <c r="T96" s="311"/>
      <c r="U96" s="311"/>
      <c r="V96" s="311"/>
      <c r="W96" s="311"/>
    </row>
    <row r="97" spans="10:23" s="123" customFormat="1" x14ac:dyDescent="0.25">
      <c r="J97" s="311"/>
      <c r="K97" s="311"/>
      <c r="L97" s="311"/>
      <c r="M97" s="311"/>
      <c r="N97" s="311"/>
      <c r="O97" s="311"/>
      <c r="P97" s="311"/>
      <c r="Q97" s="311"/>
      <c r="R97" s="311"/>
      <c r="S97" s="311"/>
      <c r="T97" s="311"/>
      <c r="U97" s="311"/>
      <c r="V97" s="311"/>
      <c r="W97" s="311"/>
    </row>
    <row r="98" spans="10:23" s="123" customFormat="1" x14ac:dyDescent="0.25">
      <c r="J98" s="311"/>
      <c r="K98" s="311"/>
      <c r="L98" s="311"/>
      <c r="M98" s="311"/>
      <c r="N98" s="311"/>
      <c r="O98" s="311"/>
      <c r="P98" s="311"/>
      <c r="Q98" s="311"/>
      <c r="R98" s="311"/>
      <c r="S98" s="311"/>
      <c r="T98" s="311"/>
      <c r="U98" s="311"/>
      <c r="V98" s="311"/>
      <c r="W98" s="311"/>
    </row>
    <row r="99" spans="10:23" s="123" customFormat="1" x14ac:dyDescent="0.25">
      <c r="J99" s="311"/>
      <c r="K99" s="311"/>
      <c r="L99" s="311"/>
      <c r="M99" s="311"/>
      <c r="N99" s="311"/>
      <c r="O99" s="311"/>
      <c r="P99" s="311"/>
      <c r="Q99" s="311"/>
      <c r="R99" s="311"/>
      <c r="S99" s="311"/>
      <c r="T99" s="311"/>
      <c r="U99" s="311"/>
      <c r="V99" s="311"/>
      <c r="W99" s="311"/>
    </row>
    <row r="100" spans="10:23" s="123" customFormat="1" x14ac:dyDescent="0.25">
      <c r="J100" s="311"/>
      <c r="K100" s="311"/>
      <c r="L100" s="311"/>
      <c r="M100" s="311"/>
      <c r="N100" s="311"/>
      <c r="O100" s="311"/>
      <c r="P100" s="311"/>
      <c r="Q100" s="311"/>
      <c r="R100" s="311"/>
      <c r="S100" s="311"/>
      <c r="T100" s="311"/>
      <c r="U100" s="311"/>
      <c r="V100" s="311"/>
      <c r="W100" s="311"/>
    </row>
    <row r="101" spans="10:23" s="123" customFormat="1" x14ac:dyDescent="0.25">
      <c r="J101" s="311"/>
      <c r="K101" s="311"/>
      <c r="L101" s="311"/>
      <c r="M101" s="311"/>
      <c r="N101" s="311"/>
      <c r="O101" s="311"/>
      <c r="P101" s="311"/>
      <c r="Q101" s="311"/>
      <c r="R101" s="311"/>
      <c r="S101" s="311"/>
      <c r="T101" s="311"/>
      <c r="U101" s="311"/>
      <c r="V101" s="311"/>
      <c r="W101" s="311"/>
    </row>
    <row r="102" spans="10:23" s="123" customFormat="1" x14ac:dyDescent="0.25">
      <c r="J102" s="311"/>
      <c r="K102" s="311"/>
      <c r="L102" s="311"/>
      <c r="M102" s="311"/>
      <c r="N102" s="311"/>
      <c r="O102" s="311"/>
      <c r="P102" s="311"/>
      <c r="Q102" s="311"/>
      <c r="R102" s="311"/>
      <c r="S102" s="311"/>
      <c r="T102" s="311"/>
      <c r="U102" s="311"/>
      <c r="V102" s="311"/>
      <c r="W102" s="311"/>
    </row>
    <row r="103" spans="10:23" s="123" customFormat="1" x14ac:dyDescent="0.25">
      <c r="J103" s="311"/>
      <c r="K103" s="311"/>
      <c r="L103" s="311"/>
      <c r="M103" s="311"/>
      <c r="N103" s="311"/>
      <c r="O103" s="311"/>
      <c r="P103" s="311"/>
      <c r="Q103" s="311"/>
      <c r="R103" s="311"/>
      <c r="S103" s="311"/>
      <c r="T103" s="311"/>
      <c r="U103" s="311"/>
      <c r="V103" s="311"/>
      <c r="W103" s="311"/>
    </row>
    <row r="104" spans="10:23" s="123" customFormat="1" x14ac:dyDescent="0.25">
      <c r="J104" s="311"/>
      <c r="K104" s="311"/>
      <c r="L104" s="311"/>
      <c r="M104" s="311"/>
      <c r="N104" s="311"/>
      <c r="O104" s="311"/>
      <c r="P104" s="311"/>
      <c r="Q104" s="311"/>
      <c r="R104" s="311"/>
      <c r="S104" s="311"/>
      <c r="T104" s="311"/>
      <c r="U104" s="311"/>
      <c r="V104" s="311"/>
      <c r="W104" s="311"/>
    </row>
    <row r="105" spans="10:23" s="123" customFormat="1" x14ac:dyDescent="0.25">
      <c r="J105" s="311"/>
      <c r="K105" s="311"/>
      <c r="L105" s="311"/>
      <c r="M105" s="311"/>
      <c r="N105" s="311"/>
      <c r="O105" s="311"/>
      <c r="P105" s="311"/>
      <c r="Q105" s="311"/>
      <c r="R105" s="311"/>
      <c r="S105" s="311"/>
      <c r="T105" s="311"/>
      <c r="U105" s="311"/>
      <c r="V105" s="311"/>
      <c r="W105" s="311"/>
    </row>
    <row r="106" spans="10:23" s="123" customFormat="1" x14ac:dyDescent="0.25">
      <c r="J106" s="311"/>
      <c r="K106" s="311"/>
      <c r="L106" s="311"/>
      <c r="M106" s="311"/>
      <c r="N106" s="311"/>
      <c r="O106" s="311"/>
      <c r="P106" s="311"/>
      <c r="Q106" s="311"/>
      <c r="R106" s="311"/>
      <c r="S106" s="311"/>
      <c r="T106" s="311"/>
      <c r="U106" s="311"/>
      <c r="V106" s="311"/>
      <c r="W106" s="311"/>
    </row>
    <row r="107" spans="10:23" s="123" customFormat="1" x14ac:dyDescent="0.25">
      <c r="J107" s="311"/>
      <c r="K107" s="311"/>
      <c r="L107" s="311"/>
      <c r="M107" s="311"/>
      <c r="N107" s="311"/>
      <c r="O107" s="311"/>
      <c r="P107" s="311"/>
      <c r="Q107" s="311"/>
      <c r="R107" s="311"/>
      <c r="S107" s="311"/>
      <c r="T107" s="311"/>
      <c r="U107" s="311"/>
      <c r="V107" s="311"/>
      <c r="W107" s="311"/>
    </row>
    <row r="108" spans="10:23" s="123" customFormat="1" x14ac:dyDescent="0.25">
      <c r="J108" s="311"/>
      <c r="K108" s="311"/>
      <c r="L108" s="311"/>
      <c r="M108" s="311"/>
      <c r="N108" s="311"/>
      <c r="O108" s="311"/>
      <c r="P108" s="311"/>
      <c r="Q108" s="311"/>
      <c r="R108" s="311"/>
      <c r="S108" s="311"/>
      <c r="T108" s="311"/>
      <c r="U108" s="311"/>
      <c r="V108" s="311"/>
      <c r="W108" s="311"/>
    </row>
    <row r="109" spans="10:23" s="123" customFormat="1" x14ac:dyDescent="0.25">
      <c r="J109" s="311"/>
      <c r="K109" s="311"/>
      <c r="L109" s="311"/>
      <c r="M109" s="311"/>
      <c r="N109" s="311"/>
      <c r="O109" s="311"/>
      <c r="P109" s="311"/>
      <c r="Q109" s="311"/>
      <c r="R109" s="311"/>
      <c r="S109" s="311"/>
      <c r="T109" s="311"/>
      <c r="U109" s="311"/>
      <c r="V109" s="311"/>
      <c r="W109" s="311"/>
    </row>
    <row r="110" spans="10:23" s="123" customFormat="1" x14ac:dyDescent="0.25">
      <c r="J110" s="311"/>
      <c r="K110" s="311"/>
      <c r="L110" s="311"/>
      <c r="M110" s="311"/>
      <c r="N110" s="311"/>
      <c r="O110" s="311"/>
      <c r="P110" s="311"/>
      <c r="Q110" s="311"/>
      <c r="R110" s="311"/>
      <c r="S110" s="311"/>
      <c r="T110" s="311"/>
      <c r="U110" s="311"/>
      <c r="V110" s="311"/>
      <c r="W110" s="311"/>
    </row>
    <row r="111" spans="10:23" s="123" customFormat="1" x14ac:dyDescent="0.25">
      <c r="J111" s="311"/>
      <c r="K111" s="311"/>
      <c r="L111" s="311"/>
      <c r="M111" s="311"/>
      <c r="N111" s="311"/>
      <c r="O111" s="311"/>
      <c r="P111" s="311"/>
      <c r="Q111" s="311"/>
      <c r="R111" s="311"/>
      <c r="S111" s="311"/>
      <c r="T111" s="311"/>
      <c r="U111" s="311"/>
      <c r="V111" s="311"/>
      <c r="W111" s="311"/>
    </row>
    <row r="112" spans="10:23" s="123" customFormat="1" x14ac:dyDescent="0.25">
      <c r="J112" s="311"/>
      <c r="K112" s="311"/>
      <c r="L112" s="311"/>
      <c r="M112" s="311"/>
      <c r="N112" s="311"/>
      <c r="O112" s="311"/>
      <c r="P112" s="311"/>
      <c r="Q112" s="311"/>
      <c r="R112" s="311"/>
      <c r="S112" s="311"/>
      <c r="T112" s="311"/>
      <c r="U112" s="311"/>
      <c r="V112" s="311"/>
      <c r="W112" s="311"/>
    </row>
    <row r="113" spans="10:23" s="123" customFormat="1" x14ac:dyDescent="0.25">
      <c r="J113" s="311"/>
      <c r="K113" s="311"/>
      <c r="L113" s="311"/>
      <c r="M113" s="311"/>
      <c r="N113" s="311"/>
      <c r="O113" s="311"/>
      <c r="P113" s="311"/>
      <c r="Q113" s="311"/>
      <c r="R113" s="311"/>
      <c r="S113" s="311"/>
      <c r="T113" s="311"/>
      <c r="U113" s="311"/>
      <c r="V113" s="311"/>
      <c r="W113" s="311"/>
    </row>
    <row r="114" spans="10:23" s="123" customFormat="1" x14ac:dyDescent="0.25">
      <c r="J114" s="311"/>
      <c r="K114" s="311"/>
      <c r="L114" s="311"/>
      <c r="M114" s="311"/>
      <c r="N114" s="311"/>
      <c r="O114" s="311"/>
      <c r="P114" s="311"/>
      <c r="Q114" s="311"/>
      <c r="R114" s="311"/>
      <c r="S114" s="311"/>
      <c r="T114" s="311"/>
      <c r="U114" s="311"/>
      <c r="V114" s="311"/>
      <c r="W114" s="311"/>
    </row>
    <row r="115" spans="10:23" s="123" customFormat="1" x14ac:dyDescent="0.25">
      <c r="J115" s="311"/>
      <c r="K115" s="311"/>
      <c r="L115" s="311"/>
      <c r="M115" s="311"/>
      <c r="N115" s="311"/>
      <c r="O115" s="311"/>
      <c r="P115" s="311"/>
      <c r="Q115" s="311"/>
      <c r="R115" s="311"/>
      <c r="S115" s="311"/>
      <c r="T115" s="311"/>
      <c r="U115" s="311"/>
      <c r="V115" s="311"/>
      <c r="W115" s="311"/>
    </row>
    <row r="116" spans="10:23" s="123" customFormat="1" x14ac:dyDescent="0.25">
      <c r="J116" s="311"/>
      <c r="K116" s="311"/>
      <c r="L116" s="311"/>
      <c r="M116" s="311"/>
      <c r="N116" s="311"/>
      <c r="O116" s="311"/>
      <c r="P116" s="311"/>
      <c r="Q116" s="311"/>
      <c r="R116" s="311"/>
      <c r="S116" s="311"/>
      <c r="T116" s="311"/>
      <c r="U116" s="311"/>
      <c r="V116" s="311"/>
      <c r="W116" s="311"/>
    </row>
    <row r="117" spans="10:23" s="123" customFormat="1" x14ac:dyDescent="0.25">
      <c r="J117" s="311"/>
      <c r="K117" s="311"/>
      <c r="L117" s="311"/>
      <c r="M117" s="311"/>
      <c r="N117" s="311"/>
      <c r="O117" s="311"/>
      <c r="P117" s="311"/>
      <c r="Q117" s="311"/>
      <c r="R117" s="311"/>
      <c r="S117" s="311"/>
      <c r="T117" s="311"/>
      <c r="U117" s="311"/>
      <c r="V117" s="311"/>
      <c r="W117" s="311"/>
    </row>
    <row r="118" spans="10:23" s="123" customFormat="1" x14ac:dyDescent="0.25">
      <c r="J118" s="311"/>
      <c r="K118" s="311"/>
      <c r="L118" s="311"/>
      <c r="M118" s="311"/>
      <c r="N118" s="311"/>
      <c r="O118" s="311"/>
      <c r="P118" s="311"/>
      <c r="Q118" s="311"/>
      <c r="R118" s="311"/>
      <c r="S118" s="311"/>
      <c r="T118" s="311"/>
      <c r="U118" s="311"/>
      <c r="V118" s="311"/>
      <c r="W118" s="311"/>
    </row>
    <row r="119" spans="10:23" s="123" customFormat="1" x14ac:dyDescent="0.25">
      <c r="J119" s="311"/>
      <c r="K119" s="311"/>
      <c r="L119" s="311"/>
      <c r="M119" s="311"/>
      <c r="N119" s="311"/>
      <c r="O119" s="311"/>
      <c r="P119" s="311"/>
      <c r="Q119" s="311"/>
      <c r="R119" s="311"/>
      <c r="S119" s="311"/>
      <c r="T119" s="311"/>
      <c r="U119" s="311"/>
      <c r="V119" s="311"/>
      <c r="W119" s="311"/>
    </row>
    <row r="120" spans="10:23" s="123" customFormat="1" x14ac:dyDescent="0.25">
      <c r="J120" s="311"/>
      <c r="K120" s="311"/>
      <c r="L120" s="311"/>
      <c r="M120" s="311"/>
      <c r="N120" s="311"/>
      <c r="O120" s="311"/>
      <c r="P120" s="311"/>
      <c r="Q120" s="311"/>
      <c r="R120" s="311"/>
      <c r="S120" s="311"/>
      <c r="T120" s="311"/>
      <c r="U120" s="311"/>
      <c r="V120" s="311"/>
      <c r="W120" s="311"/>
    </row>
    <row r="121" spans="10:23" s="123" customFormat="1" x14ac:dyDescent="0.25">
      <c r="J121" s="311"/>
      <c r="K121" s="311"/>
      <c r="L121" s="311"/>
      <c r="M121" s="311"/>
      <c r="N121" s="311"/>
      <c r="O121" s="311"/>
      <c r="P121" s="311"/>
      <c r="Q121" s="311"/>
      <c r="R121" s="311"/>
      <c r="S121" s="311"/>
      <c r="T121" s="311"/>
      <c r="U121" s="311"/>
      <c r="V121" s="311"/>
      <c r="W121" s="311"/>
    </row>
    <row r="122" spans="10:23" s="123" customFormat="1" x14ac:dyDescent="0.25">
      <c r="J122" s="311"/>
      <c r="K122" s="311"/>
      <c r="L122" s="311"/>
      <c r="M122" s="311"/>
      <c r="N122" s="311"/>
      <c r="O122" s="311"/>
      <c r="P122" s="311"/>
      <c r="Q122" s="311"/>
      <c r="R122" s="311"/>
      <c r="S122" s="311"/>
      <c r="T122" s="311"/>
      <c r="U122" s="311"/>
      <c r="V122" s="311"/>
      <c r="W122" s="311"/>
    </row>
    <row r="123" spans="10:23" s="123" customFormat="1" x14ac:dyDescent="0.25">
      <c r="J123" s="311"/>
      <c r="K123" s="311"/>
      <c r="L123" s="311"/>
      <c r="M123" s="311"/>
      <c r="N123" s="311"/>
      <c r="O123" s="311"/>
      <c r="P123" s="311"/>
      <c r="Q123" s="311"/>
      <c r="R123" s="311"/>
      <c r="S123" s="311"/>
      <c r="T123" s="311"/>
      <c r="U123" s="311"/>
      <c r="V123" s="311"/>
      <c r="W123" s="311"/>
    </row>
    <row r="124" spans="10:23" s="123" customFormat="1" x14ac:dyDescent="0.25">
      <c r="J124" s="311"/>
      <c r="K124" s="311"/>
      <c r="L124" s="311"/>
      <c r="M124" s="311"/>
      <c r="N124" s="311"/>
      <c r="O124" s="311"/>
      <c r="P124" s="311"/>
      <c r="Q124" s="311"/>
      <c r="R124" s="311"/>
      <c r="S124" s="311"/>
      <c r="T124" s="311"/>
      <c r="U124" s="311"/>
      <c r="V124" s="311"/>
      <c r="W124" s="311"/>
    </row>
    <row r="125" spans="10:23" s="123" customFormat="1" x14ac:dyDescent="0.25">
      <c r="J125" s="311"/>
      <c r="K125" s="311"/>
      <c r="L125" s="311"/>
      <c r="M125" s="311"/>
      <c r="N125" s="311"/>
      <c r="O125" s="311"/>
      <c r="P125" s="311"/>
      <c r="Q125" s="311"/>
      <c r="R125" s="311"/>
      <c r="S125" s="311"/>
      <c r="T125" s="311"/>
      <c r="U125" s="311"/>
      <c r="V125" s="311"/>
      <c r="W125" s="311"/>
    </row>
    <row r="126" spans="10:23" s="123" customFormat="1" x14ac:dyDescent="0.25">
      <c r="J126" s="311"/>
      <c r="K126" s="311"/>
      <c r="L126" s="311"/>
      <c r="M126" s="311"/>
      <c r="N126" s="311"/>
      <c r="O126" s="311"/>
      <c r="P126" s="311"/>
      <c r="Q126" s="311"/>
      <c r="R126" s="311"/>
      <c r="S126" s="311"/>
      <c r="T126" s="311"/>
      <c r="U126" s="311"/>
      <c r="V126" s="311"/>
      <c r="W126" s="311"/>
    </row>
    <row r="127" spans="10:23" s="123" customFormat="1" x14ac:dyDescent="0.25">
      <c r="J127" s="311"/>
      <c r="K127" s="311"/>
      <c r="L127" s="311"/>
      <c r="M127" s="311"/>
      <c r="N127" s="311"/>
      <c r="O127" s="311"/>
      <c r="P127" s="311"/>
      <c r="Q127" s="311"/>
      <c r="R127" s="311"/>
      <c r="S127" s="311"/>
      <c r="T127" s="311"/>
      <c r="U127" s="311"/>
      <c r="V127" s="311"/>
      <c r="W127" s="311"/>
    </row>
    <row r="128" spans="10:23" s="123" customFormat="1" x14ac:dyDescent="0.25">
      <c r="J128" s="311"/>
      <c r="K128" s="311"/>
      <c r="L128" s="311"/>
      <c r="M128" s="311"/>
      <c r="N128" s="311"/>
      <c r="O128" s="311"/>
      <c r="P128" s="311"/>
      <c r="Q128" s="311"/>
      <c r="R128" s="311"/>
      <c r="S128" s="311"/>
      <c r="T128" s="311"/>
      <c r="U128" s="311"/>
      <c r="V128" s="311"/>
      <c r="W128" s="311"/>
    </row>
    <row r="129" spans="10:23" s="123" customFormat="1" x14ac:dyDescent="0.25">
      <c r="J129" s="311"/>
      <c r="K129" s="311"/>
      <c r="L129" s="311"/>
      <c r="M129" s="311"/>
      <c r="N129" s="311"/>
      <c r="O129" s="311"/>
      <c r="P129" s="311"/>
      <c r="Q129" s="311"/>
      <c r="R129" s="311"/>
      <c r="S129" s="311"/>
      <c r="T129" s="311"/>
      <c r="U129" s="311"/>
      <c r="V129" s="311"/>
      <c r="W129" s="311"/>
    </row>
    <row r="130" spans="10:23" s="123" customFormat="1" x14ac:dyDescent="0.25">
      <c r="J130" s="311"/>
      <c r="K130" s="311"/>
      <c r="L130" s="311"/>
      <c r="M130" s="311"/>
      <c r="N130" s="311"/>
      <c r="O130" s="311"/>
      <c r="P130" s="311"/>
      <c r="Q130" s="311"/>
      <c r="R130" s="311"/>
      <c r="S130" s="311"/>
      <c r="T130" s="311"/>
      <c r="U130" s="311"/>
      <c r="V130" s="311"/>
      <c r="W130" s="311"/>
    </row>
    <row r="131" spans="10:23" s="123" customFormat="1" x14ac:dyDescent="0.25">
      <c r="J131" s="311"/>
      <c r="K131" s="311"/>
      <c r="L131" s="311"/>
      <c r="M131" s="311"/>
      <c r="N131" s="311"/>
      <c r="O131" s="311"/>
      <c r="P131" s="311"/>
      <c r="Q131" s="311"/>
      <c r="R131" s="311"/>
      <c r="S131" s="311"/>
      <c r="T131" s="311"/>
      <c r="U131" s="311"/>
      <c r="V131" s="311"/>
      <c r="W131" s="311"/>
    </row>
    <row r="132" spans="10:23" s="123" customFormat="1" x14ac:dyDescent="0.25">
      <c r="J132" s="311"/>
      <c r="K132" s="311"/>
      <c r="L132" s="311"/>
      <c r="M132" s="311"/>
      <c r="N132" s="311"/>
      <c r="O132" s="311"/>
      <c r="P132" s="311"/>
      <c r="Q132" s="311"/>
      <c r="R132" s="311"/>
      <c r="S132" s="311"/>
      <c r="T132" s="311"/>
      <c r="U132" s="311"/>
      <c r="V132" s="311"/>
      <c r="W132" s="311"/>
    </row>
  </sheetData>
  <mergeCells count="4">
    <mergeCell ref="A18:I18"/>
    <mergeCell ref="A12:I12"/>
    <mergeCell ref="A27:I27"/>
    <mergeCell ref="A35:I35"/>
  </mergeCells>
  <dataValidations count="1">
    <dataValidation allowBlank="1" showInputMessage="1" showErrorMessage="1" promptTitle="Attention /!\ " prompt="Ne pas remplir !_x000a_" sqref="B5:E11 B14:E17 B29:E34 B37:E41 B20:E25"/>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8223" r:id="rId4" name="ToggleButton6">
          <controlPr defaultSize="0" autoLine="0" r:id="rId5">
            <anchor moveWithCells="1">
              <from>
                <xdr:col>2</xdr:col>
                <xdr:colOff>19050</xdr:colOff>
                <xdr:row>2</xdr:row>
                <xdr:rowOff>9525</xdr:rowOff>
              </from>
              <to>
                <xdr:col>3</xdr:col>
                <xdr:colOff>142875</xdr:colOff>
                <xdr:row>2</xdr:row>
                <xdr:rowOff>304800</xdr:rowOff>
              </to>
            </anchor>
          </controlPr>
        </control>
      </mc:Choice>
      <mc:Fallback>
        <control shapeId="8223" r:id="rId4" name="ToggleButton6"/>
      </mc:Fallback>
    </mc:AlternateContent>
    <mc:AlternateContent xmlns:mc="http://schemas.openxmlformats.org/markup-compatibility/2006">
      <mc:Choice Requires="x14">
        <control shapeId="8219" r:id="rId6" name="ToggleButton5">
          <controlPr defaultSize="0" autoLine="0" r:id="rId7">
            <anchor moveWithCells="1">
              <from>
                <xdr:col>1</xdr:col>
                <xdr:colOff>19050</xdr:colOff>
                <xdr:row>2</xdr:row>
                <xdr:rowOff>9525</xdr:rowOff>
              </from>
              <to>
                <xdr:col>2</xdr:col>
                <xdr:colOff>66675</xdr:colOff>
                <xdr:row>2</xdr:row>
                <xdr:rowOff>304800</xdr:rowOff>
              </to>
            </anchor>
          </controlPr>
        </control>
      </mc:Choice>
      <mc:Fallback>
        <control shapeId="8219" r:id="rId6" name="ToggleButton5"/>
      </mc:Fallback>
    </mc:AlternateContent>
    <mc:AlternateContent xmlns:mc="http://schemas.openxmlformats.org/markup-compatibility/2006">
      <mc:Choice Requires="x14">
        <control shapeId="8211" r:id="rId8" name="ToggleButton1">
          <controlPr defaultSize="0" autoLine="0" r:id="rId9">
            <anchor moveWithCells="1">
              <from>
                <xdr:col>0</xdr:col>
                <xdr:colOff>9525</xdr:colOff>
                <xdr:row>2</xdr:row>
                <xdr:rowOff>9525</xdr:rowOff>
              </from>
              <to>
                <xdr:col>0</xdr:col>
                <xdr:colOff>904875</xdr:colOff>
                <xdr:row>2</xdr:row>
                <xdr:rowOff>304800</xdr:rowOff>
              </to>
            </anchor>
          </controlPr>
        </control>
      </mc:Choice>
      <mc:Fallback>
        <control shapeId="8211" r:id="rId8" name="ToggleButton1"/>
      </mc:Fallback>
    </mc:AlternateContent>
    <mc:AlternateContent xmlns:mc="http://schemas.openxmlformats.org/markup-compatibility/2006">
      <mc:Choice Requires="x14">
        <control shapeId="8212" r:id="rId10" name="ToggleButton2">
          <controlPr defaultSize="0" autoLine="0" r:id="rId11">
            <anchor moveWithCells="1">
              <from>
                <xdr:col>0</xdr:col>
                <xdr:colOff>933450</xdr:colOff>
                <xdr:row>2</xdr:row>
                <xdr:rowOff>9525</xdr:rowOff>
              </from>
              <to>
                <xdr:col>0</xdr:col>
                <xdr:colOff>1685925</xdr:colOff>
                <xdr:row>2</xdr:row>
                <xdr:rowOff>304800</xdr:rowOff>
              </to>
            </anchor>
          </controlPr>
        </control>
      </mc:Choice>
      <mc:Fallback>
        <control shapeId="8212" r:id="rId10" name="ToggleButton2"/>
      </mc:Fallback>
    </mc:AlternateContent>
    <mc:AlternateContent xmlns:mc="http://schemas.openxmlformats.org/markup-compatibility/2006">
      <mc:Choice Requires="x14">
        <control shapeId="8213" r:id="rId12" name="ToggleButton3">
          <controlPr defaultSize="0" autoLine="0" r:id="rId13">
            <anchor moveWithCells="1">
              <from>
                <xdr:col>0</xdr:col>
                <xdr:colOff>1714500</xdr:colOff>
                <xdr:row>2</xdr:row>
                <xdr:rowOff>19050</xdr:rowOff>
              </from>
              <to>
                <xdr:col>0</xdr:col>
                <xdr:colOff>2505075</xdr:colOff>
                <xdr:row>2</xdr:row>
                <xdr:rowOff>304800</xdr:rowOff>
              </to>
            </anchor>
          </controlPr>
        </control>
      </mc:Choice>
      <mc:Fallback>
        <control shapeId="8213" r:id="rId12" name="ToggleButton3"/>
      </mc:Fallback>
    </mc:AlternateContent>
    <mc:AlternateContent xmlns:mc="http://schemas.openxmlformats.org/markup-compatibility/2006">
      <mc:Choice Requires="x14">
        <control shapeId="8214" r:id="rId14" name="ToggleButton4">
          <controlPr defaultSize="0" autoLine="0" r:id="rId15">
            <anchor moveWithCells="1">
              <from>
                <xdr:col>0</xdr:col>
                <xdr:colOff>2552700</xdr:colOff>
                <xdr:row>2</xdr:row>
                <xdr:rowOff>9525</xdr:rowOff>
              </from>
              <to>
                <xdr:col>1</xdr:col>
                <xdr:colOff>133350</xdr:colOff>
                <xdr:row>2</xdr:row>
                <xdr:rowOff>304800</xdr:rowOff>
              </to>
            </anchor>
          </controlPr>
        </control>
      </mc:Choice>
      <mc:Fallback>
        <control shapeId="8214" r:id="rId14" name="ToggleButton4"/>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1"/>
  </sheetPr>
  <dimension ref="B1:R151"/>
  <sheetViews>
    <sheetView zoomScale="70" zoomScaleNormal="70" workbookViewId="0">
      <selection activeCell="B11" sqref="B11"/>
    </sheetView>
  </sheetViews>
  <sheetFormatPr baseColWidth="10" defaultRowHeight="15" x14ac:dyDescent="0.25"/>
  <cols>
    <col min="1" max="1" width="17.42578125" customWidth="1"/>
    <col min="2" max="2" width="27.7109375" customWidth="1"/>
    <col min="11" max="11" width="23.42578125" customWidth="1"/>
    <col min="13" max="13" width="21.42578125" customWidth="1"/>
    <col min="15" max="15" width="56.7109375" customWidth="1"/>
    <col min="16" max="16" width="74.28515625" customWidth="1"/>
    <col min="18" max="18" width="56" customWidth="1"/>
  </cols>
  <sheetData>
    <row r="1" spans="2:18" x14ac:dyDescent="0.25">
      <c r="D1" s="186" t="s">
        <v>17</v>
      </c>
      <c r="E1" s="186" t="s">
        <v>15</v>
      </c>
      <c r="F1" s="186" t="s">
        <v>16</v>
      </c>
      <c r="H1" s="199" t="s">
        <v>51</v>
      </c>
      <c r="I1" s="186" t="s">
        <v>20</v>
      </c>
      <c r="K1" s="1" t="s">
        <v>97</v>
      </c>
      <c r="M1" s="215" t="s">
        <v>99</v>
      </c>
      <c r="O1" s="201" t="s">
        <v>257</v>
      </c>
      <c r="P1" s="202" t="s">
        <v>258</v>
      </c>
      <c r="R1" s="323" t="s">
        <v>584</v>
      </c>
    </row>
    <row r="2" spans="2:18" ht="18.75" x14ac:dyDescent="0.3">
      <c r="D2" s="205">
        <v>1</v>
      </c>
      <c r="E2" s="205">
        <v>1</v>
      </c>
      <c r="F2" s="205">
        <v>2013</v>
      </c>
      <c r="H2" s="206" t="s">
        <v>18</v>
      </c>
      <c r="I2" s="205">
        <v>1</v>
      </c>
      <c r="K2">
        <v>2014</v>
      </c>
      <c r="M2" s="214">
        <v>1</v>
      </c>
      <c r="O2" s="198" t="s">
        <v>284</v>
      </c>
      <c r="P2" s="200" t="s">
        <v>285</v>
      </c>
      <c r="R2" s="324" t="s">
        <v>21</v>
      </c>
    </row>
    <row r="3" spans="2:18" ht="18.75" x14ac:dyDescent="0.3">
      <c r="B3" s="261" t="s">
        <v>405</v>
      </c>
      <c r="D3" s="205">
        <f>D2+1</f>
        <v>2</v>
      </c>
      <c r="E3" s="205">
        <f>E2+1</f>
        <v>2</v>
      </c>
      <c r="F3" s="205">
        <f>F2+1</f>
        <v>2014</v>
      </c>
      <c r="H3" s="206" t="s">
        <v>19</v>
      </c>
      <c r="I3" s="205">
        <f>I2+1</f>
        <v>2</v>
      </c>
      <c r="K3">
        <v>2015</v>
      </c>
      <c r="M3" s="214">
        <f>M2+1</f>
        <v>2</v>
      </c>
      <c r="O3" s="198" t="s">
        <v>335</v>
      </c>
      <c r="P3" s="200" t="s">
        <v>334</v>
      </c>
      <c r="R3" s="325" t="s">
        <v>66</v>
      </c>
    </row>
    <row r="4" spans="2:18" ht="18.75" x14ac:dyDescent="0.3">
      <c r="B4" s="259" t="s">
        <v>419</v>
      </c>
      <c r="D4" s="205">
        <f t="shared" ref="D4:D31" si="0">D3+1</f>
        <v>3</v>
      </c>
      <c r="E4" s="205">
        <f t="shared" ref="E4:E13" si="1">E3+1</f>
        <v>3</v>
      </c>
      <c r="F4" s="205">
        <f>F3+1</f>
        <v>2015</v>
      </c>
      <c r="I4" s="205">
        <f t="shared" ref="I4:I12" si="2">I3+1</f>
        <v>3</v>
      </c>
      <c r="K4">
        <v>2016</v>
      </c>
      <c r="M4" s="214">
        <f t="shared" ref="M4:M13" si="3">M3+1</f>
        <v>3</v>
      </c>
      <c r="O4" s="198" t="s">
        <v>262</v>
      </c>
      <c r="P4" s="200" t="s">
        <v>403</v>
      </c>
      <c r="R4" s="325" t="s">
        <v>30</v>
      </c>
    </row>
    <row r="5" spans="2:18" ht="18.75" x14ac:dyDescent="0.3">
      <c r="B5" s="260" t="s">
        <v>453</v>
      </c>
      <c r="D5" s="205">
        <f t="shared" si="0"/>
        <v>4</v>
      </c>
      <c r="E5" s="205">
        <f t="shared" si="1"/>
        <v>4</v>
      </c>
      <c r="F5" s="205">
        <f>F4+1</f>
        <v>2016</v>
      </c>
      <c r="I5" s="205">
        <f t="shared" si="2"/>
        <v>4</v>
      </c>
      <c r="K5">
        <v>2017</v>
      </c>
      <c r="M5" s="214">
        <f t="shared" si="3"/>
        <v>4</v>
      </c>
      <c r="O5" s="198" t="s">
        <v>303</v>
      </c>
      <c r="P5" s="200" t="s">
        <v>402</v>
      </c>
      <c r="R5" s="324" t="s">
        <v>113</v>
      </c>
    </row>
    <row r="6" spans="2:18" ht="18.75" x14ac:dyDescent="0.3">
      <c r="B6" s="259" t="s">
        <v>420</v>
      </c>
      <c r="D6" s="205">
        <f t="shared" si="0"/>
        <v>5</v>
      </c>
      <c r="E6" s="205">
        <f t="shared" si="1"/>
        <v>5</v>
      </c>
      <c r="F6" s="205">
        <f>F5+1</f>
        <v>2017</v>
      </c>
      <c r="I6" s="205">
        <f t="shared" si="2"/>
        <v>5</v>
      </c>
      <c r="K6">
        <v>2018</v>
      </c>
      <c r="M6" s="214">
        <f t="shared" si="3"/>
        <v>5</v>
      </c>
      <c r="O6" s="198" t="s">
        <v>371</v>
      </c>
      <c r="P6" s="200" t="s">
        <v>372</v>
      </c>
      <c r="R6" s="325" t="s">
        <v>36</v>
      </c>
    </row>
    <row r="7" spans="2:18" ht="18.75" x14ac:dyDescent="0.3">
      <c r="B7" s="260" t="s">
        <v>515</v>
      </c>
      <c r="D7" s="205">
        <f t="shared" si="0"/>
        <v>6</v>
      </c>
      <c r="E7" s="205">
        <f t="shared" si="1"/>
        <v>6</v>
      </c>
      <c r="F7" s="205">
        <f>F6+1</f>
        <v>2018</v>
      </c>
      <c r="I7" s="205">
        <f t="shared" si="2"/>
        <v>6</v>
      </c>
      <c r="K7">
        <v>2019</v>
      </c>
      <c r="M7" s="214">
        <f t="shared" si="3"/>
        <v>6</v>
      </c>
      <c r="O7" s="198" t="s">
        <v>338</v>
      </c>
      <c r="P7" s="200" t="s">
        <v>334</v>
      </c>
      <c r="R7" s="324" t="s">
        <v>35</v>
      </c>
    </row>
    <row r="8" spans="2:18" ht="18.75" x14ac:dyDescent="0.3">
      <c r="B8" s="259" t="s">
        <v>580</v>
      </c>
      <c r="D8" s="205">
        <f t="shared" si="0"/>
        <v>7</v>
      </c>
      <c r="E8" s="205">
        <f t="shared" si="1"/>
        <v>7</v>
      </c>
      <c r="F8" s="205">
        <f>F7+1</f>
        <v>2019</v>
      </c>
      <c r="I8" s="205">
        <f t="shared" si="2"/>
        <v>7</v>
      </c>
      <c r="M8" s="214">
        <f t="shared" si="3"/>
        <v>7</v>
      </c>
      <c r="O8" s="198" t="s">
        <v>336</v>
      </c>
      <c r="P8" s="200" t="s">
        <v>334</v>
      </c>
      <c r="R8" s="325" t="s">
        <v>6</v>
      </c>
    </row>
    <row r="9" spans="2:18" ht="18.75" x14ac:dyDescent="0.3">
      <c r="B9" s="260" t="s">
        <v>600</v>
      </c>
      <c r="D9" s="205">
        <f t="shared" si="0"/>
        <v>8</v>
      </c>
      <c r="E9" s="205">
        <f t="shared" si="1"/>
        <v>8</v>
      </c>
      <c r="I9" s="205">
        <f t="shared" si="2"/>
        <v>8</v>
      </c>
      <c r="M9" s="214">
        <f t="shared" si="3"/>
        <v>8</v>
      </c>
      <c r="O9" s="198" t="s">
        <v>287</v>
      </c>
      <c r="P9" s="200" t="s">
        <v>289</v>
      </c>
      <c r="R9" s="324" t="s">
        <v>31</v>
      </c>
    </row>
    <row r="10" spans="2:18" ht="18.75" x14ac:dyDescent="0.3">
      <c r="B10" s="260"/>
      <c r="D10" s="205">
        <f t="shared" si="0"/>
        <v>9</v>
      </c>
      <c r="E10" s="205">
        <f t="shared" si="1"/>
        <v>9</v>
      </c>
      <c r="I10" s="205">
        <f t="shared" si="2"/>
        <v>9</v>
      </c>
      <c r="M10" s="214">
        <f t="shared" si="3"/>
        <v>9</v>
      </c>
      <c r="O10" s="198" t="s">
        <v>311</v>
      </c>
      <c r="P10" s="200" t="s">
        <v>305</v>
      </c>
      <c r="R10" s="325" t="s">
        <v>94</v>
      </c>
    </row>
    <row r="11" spans="2:18" ht="18.75" x14ac:dyDescent="0.3">
      <c r="D11" s="205">
        <f t="shared" si="0"/>
        <v>10</v>
      </c>
      <c r="E11" s="205">
        <f t="shared" si="1"/>
        <v>10</v>
      </c>
      <c r="I11" s="205">
        <f t="shared" si="2"/>
        <v>10</v>
      </c>
      <c r="M11" s="214">
        <f t="shared" si="3"/>
        <v>10</v>
      </c>
      <c r="O11" s="198" t="s">
        <v>295</v>
      </c>
      <c r="P11" s="200" t="s">
        <v>296</v>
      </c>
      <c r="R11" s="324" t="s">
        <v>123</v>
      </c>
    </row>
    <row r="12" spans="2:18" ht="18.75" x14ac:dyDescent="0.3">
      <c r="D12" s="205">
        <f t="shared" si="0"/>
        <v>11</v>
      </c>
      <c r="E12" s="205">
        <f t="shared" si="1"/>
        <v>11</v>
      </c>
      <c r="I12" s="205">
        <f t="shared" si="2"/>
        <v>11</v>
      </c>
      <c r="M12" s="214">
        <f t="shared" si="3"/>
        <v>11</v>
      </c>
      <c r="O12" s="198" t="s">
        <v>299</v>
      </c>
      <c r="P12" s="200" t="s">
        <v>297</v>
      </c>
      <c r="R12" s="325" t="s">
        <v>168</v>
      </c>
    </row>
    <row r="13" spans="2:18" ht="18.75" x14ac:dyDescent="0.3">
      <c r="D13" s="205">
        <f t="shared" si="0"/>
        <v>12</v>
      </c>
      <c r="E13" s="205">
        <f t="shared" si="1"/>
        <v>12</v>
      </c>
      <c r="I13" s="205">
        <f>I12+1</f>
        <v>12</v>
      </c>
      <c r="M13" s="214">
        <f t="shared" si="3"/>
        <v>12</v>
      </c>
      <c r="O13" s="198" t="s">
        <v>264</v>
      </c>
      <c r="P13" s="200" t="s">
        <v>403</v>
      </c>
      <c r="R13" s="324" t="s">
        <v>118</v>
      </c>
    </row>
    <row r="14" spans="2:18" ht="18.75" x14ac:dyDescent="0.3">
      <c r="D14" s="205">
        <f t="shared" si="0"/>
        <v>13</v>
      </c>
      <c r="I14" s="205">
        <f t="shared" ref="I14:I24" si="4">I13+1</f>
        <v>13</v>
      </c>
      <c r="M14" s="214">
        <v>13</v>
      </c>
      <c r="O14" s="198" t="s">
        <v>390</v>
      </c>
      <c r="P14" s="200" t="s">
        <v>334</v>
      </c>
      <c r="R14" s="325" t="s">
        <v>181</v>
      </c>
    </row>
    <row r="15" spans="2:18" ht="18.75" x14ac:dyDescent="0.3">
      <c r="D15" s="205">
        <f t="shared" si="0"/>
        <v>14</v>
      </c>
      <c r="I15" s="205">
        <f t="shared" si="4"/>
        <v>14</v>
      </c>
      <c r="M15" s="214">
        <v>14</v>
      </c>
      <c r="O15" s="198" t="s">
        <v>347</v>
      </c>
      <c r="P15" s="200" t="s">
        <v>341</v>
      </c>
      <c r="R15" s="324" t="s">
        <v>8</v>
      </c>
    </row>
    <row r="16" spans="2:18" ht="18.75" x14ac:dyDescent="0.3">
      <c r="D16" s="205">
        <f t="shared" si="0"/>
        <v>15</v>
      </c>
      <c r="I16" s="205">
        <f t="shared" si="4"/>
        <v>15</v>
      </c>
      <c r="M16" s="212">
        <v>15</v>
      </c>
      <c r="O16" s="198" t="s">
        <v>283</v>
      </c>
      <c r="P16" s="200" t="s">
        <v>285</v>
      </c>
      <c r="R16" s="325" t="s">
        <v>86</v>
      </c>
    </row>
    <row r="17" spans="4:18" ht="18.75" x14ac:dyDescent="0.3">
      <c r="D17" s="205">
        <f t="shared" si="0"/>
        <v>16</v>
      </c>
      <c r="I17" s="205">
        <f t="shared" si="4"/>
        <v>16</v>
      </c>
      <c r="M17" s="212">
        <v>16</v>
      </c>
      <c r="O17" s="198" t="s">
        <v>363</v>
      </c>
      <c r="P17" s="200" t="s">
        <v>361</v>
      </c>
      <c r="R17" s="324" t="s">
        <v>192</v>
      </c>
    </row>
    <row r="18" spans="4:18" ht="18.75" x14ac:dyDescent="0.3">
      <c r="D18" s="205">
        <f t="shared" si="0"/>
        <v>17</v>
      </c>
      <c r="I18" s="205">
        <f t="shared" si="4"/>
        <v>17</v>
      </c>
      <c r="M18" s="212">
        <v>17</v>
      </c>
      <c r="O18" s="198" t="s">
        <v>362</v>
      </c>
      <c r="P18" s="200" t="s">
        <v>361</v>
      </c>
      <c r="R18" s="325" t="s">
        <v>77</v>
      </c>
    </row>
    <row r="19" spans="4:18" ht="18.75" x14ac:dyDescent="0.3">
      <c r="D19" s="205">
        <f t="shared" si="0"/>
        <v>18</v>
      </c>
      <c r="I19" s="205">
        <f t="shared" si="4"/>
        <v>18</v>
      </c>
      <c r="M19" s="212">
        <v>18</v>
      </c>
      <c r="O19" s="198" t="s">
        <v>380</v>
      </c>
      <c r="P19" s="200" t="s">
        <v>383</v>
      </c>
      <c r="R19" s="324" t="s">
        <v>23</v>
      </c>
    </row>
    <row r="20" spans="4:18" ht="18.75" x14ac:dyDescent="0.3">
      <c r="D20" s="205">
        <f t="shared" si="0"/>
        <v>19</v>
      </c>
      <c r="I20" s="205">
        <f>I19+1</f>
        <v>19</v>
      </c>
      <c r="M20" s="212">
        <v>19</v>
      </c>
      <c r="O20" s="198" t="s">
        <v>381</v>
      </c>
      <c r="P20" s="200" t="s">
        <v>384</v>
      </c>
      <c r="R20" s="325" t="s">
        <v>131</v>
      </c>
    </row>
    <row r="21" spans="4:18" ht="18.75" x14ac:dyDescent="0.3">
      <c r="D21" s="205">
        <f t="shared" si="0"/>
        <v>20</v>
      </c>
      <c r="I21" s="205">
        <f t="shared" si="4"/>
        <v>20</v>
      </c>
      <c r="M21" s="212">
        <v>20</v>
      </c>
      <c r="O21" s="198" t="s">
        <v>368</v>
      </c>
      <c r="P21" s="200" t="s">
        <v>369</v>
      </c>
      <c r="R21" s="324" t="s">
        <v>5</v>
      </c>
    </row>
    <row r="22" spans="4:18" ht="18.75" x14ac:dyDescent="0.3">
      <c r="D22" s="205">
        <f t="shared" si="0"/>
        <v>21</v>
      </c>
      <c r="I22" s="205">
        <f t="shared" si="4"/>
        <v>21</v>
      </c>
      <c r="M22" s="212">
        <v>21</v>
      </c>
      <c r="O22" s="198" t="s">
        <v>274</v>
      </c>
      <c r="P22" s="200" t="s">
        <v>46</v>
      </c>
      <c r="R22" s="325" t="s">
        <v>211</v>
      </c>
    </row>
    <row r="23" spans="4:18" ht="18.75" x14ac:dyDescent="0.3">
      <c r="D23" s="205">
        <f t="shared" si="0"/>
        <v>22</v>
      </c>
      <c r="I23" s="205">
        <f>I22+1</f>
        <v>22</v>
      </c>
      <c r="M23" s="212">
        <v>22</v>
      </c>
      <c r="O23" s="198" t="s">
        <v>329</v>
      </c>
      <c r="P23" s="200" t="s">
        <v>328</v>
      </c>
      <c r="R23" s="324" t="s">
        <v>88</v>
      </c>
    </row>
    <row r="24" spans="4:18" ht="18.75" x14ac:dyDescent="0.3">
      <c r="D24" s="205">
        <f t="shared" si="0"/>
        <v>23</v>
      </c>
      <c r="I24" s="205">
        <f t="shared" si="4"/>
        <v>23</v>
      </c>
      <c r="M24" s="212">
        <v>23</v>
      </c>
      <c r="O24" s="198" t="s">
        <v>330</v>
      </c>
      <c r="P24" s="200" t="s">
        <v>328</v>
      </c>
      <c r="R24" s="325" t="s">
        <v>81</v>
      </c>
    </row>
    <row r="25" spans="4:18" ht="18.75" x14ac:dyDescent="0.3">
      <c r="D25" s="205">
        <f t="shared" si="0"/>
        <v>24</v>
      </c>
      <c r="I25" s="205">
        <f>I24+1</f>
        <v>24</v>
      </c>
      <c r="O25" s="198" t="s">
        <v>294</v>
      </c>
      <c r="P25" s="200" t="s">
        <v>296</v>
      </c>
      <c r="R25" s="324" t="s">
        <v>92</v>
      </c>
    </row>
    <row r="26" spans="4:18" ht="18.75" x14ac:dyDescent="0.3">
      <c r="D26" s="205">
        <f t="shared" si="0"/>
        <v>25</v>
      </c>
      <c r="O26" s="198" t="s">
        <v>298</v>
      </c>
      <c r="P26" s="200" t="s">
        <v>297</v>
      </c>
      <c r="R26" s="325" t="s">
        <v>93</v>
      </c>
    </row>
    <row r="27" spans="4:18" ht="18.75" x14ac:dyDescent="0.3">
      <c r="D27" s="205">
        <f t="shared" si="0"/>
        <v>26</v>
      </c>
      <c r="O27" s="198" t="s">
        <v>263</v>
      </c>
      <c r="P27" s="200" t="s">
        <v>403</v>
      </c>
      <c r="R27" s="324" t="s">
        <v>126</v>
      </c>
    </row>
    <row r="28" spans="4:18" ht="18.75" x14ac:dyDescent="0.3">
      <c r="D28" s="205">
        <f t="shared" si="0"/>
        <v>27</v>
      </c>
      <c r="O28" s="198" t="s">
        <v>267</v>
      </c>
      <c r="P28" s="200" t="s">
        <v>404</v>
      </c>
      <c r="R28" s="325" t="s">
        <v>9</v>
      </c>
    </row>
    <row r="29" spans="4:18" ht="18.75" x14ac:dyDescent="0.3">
      <c r="D29" s="205">
        <f t="shared" si="0"/>
        <v>28</v>
      </c>
      <c r="O29" s="198" t="s">
        <v>286</v>
      </c>
      <c r="P29" s="200" t="s">
        <v>285</v>
      </c>
      <c r="R29" s="324" t="s">
        <v>216</v>
      </c>
    </row>
    <row r="30" spans="4:18" ht="18.75" x14ac:dyDescent="0.3">
      <c r="D30" s="205">
        <f t="shared" si="0"/>
        <v>29</v>
      </c>
      <c r="O30" s="198" t="s">
        <v>356</v>
      </c>
      <c r="P30" s="200" t="s">
        <v>366</v>
      </c>
      <c r="R30" s="325" t="s">
        <v>179</v>
      </c>
    </row>
    <row r="31" spans="4:18" ht="18.75" x14ac:dyDescent="0.3">
      <c r="D31" s="205">
        <f t="shared" si="0"/>
        <v>30</v>
      </c>
      <c r="O31" s="198" t="s">
        <v>365</v>
      </c>
      <c r="P31" s="200" t="s">
        <v>361</v>
      </c>
      <c r="R31" s="324" t="s">
        <v>178</v>
      </c>
    </row>
    <row r="32" spans="4:18" ht="18.75" x14ac:dyDescent="0.3">
      <c r="D32" s="205">
        <v>31</v>
      </c>
      <c r="O32" s="198" t="s">
        <v>375</v>
      </c>
      <c r="P32" s="200" t="s">
        <v>377</v>
      </c>
      <c r="R32" s="325" t="s">
        <v>162</v>
      </c>
    </row>
    <row r="33" spans="15:18" ht="18.75" x14ac:dyDescent="0.3">
      <c r="O33" s="198" t="s">
        <v>360</v>
      </c>
      <c r="P33" s="200" t="s">
        <v>361</v>
      </c>
      <c r="R33" s="324" t="s">
        <v>199</v>
      </c>
    </row>
    <row r="34" spans="15:18" ht="18.75" x14ac:dyDescent="0.3">
      <c r="O34" s="198" t="s">
        <v>413</v>
      </c>
      <c r="P34" s="200" t="s">
        <v>412</v>
      </c>
      <c r="R34" s="325" t="s">
        <v>200</v>
      </c>
    </row>
    <row r="35" spans="15:18" ht="18.75" x14ac:dyDescent="0.3">
      <c r="O35" s="198" t="s">
        <v>382</v>
      </c>
      <c r="P35" s="200" t="s">
        <v>385</v>
      </c>
      <c r="R35" s="324" t="s">
        <v>135</v>
      </c>
    </row>
    <row r="36" spans="15:18" ht="18.75" x14ac:dyDescent="0.3">
      <c r="O36" s="198" t="s">
        <v>370</v>
      </c>
      <c r="P36" s="200" t="s">
        <v>406</v>
      </c>
      <c r="R36" s="325" t="s">
        <v>79</v>
      </c>
    </row>
    <row r="37" spans="15:18" ht="18.75" x14ac:dyDescent="0.3">
      <c r="O37" s="198" t="s">
        <v>373</v>
      </c>
      <c r="P37" s="200" t="s">
        <v>377</v>
      </c>
      <c r="R37" s="324" t="s">
        <v>164</v>
      </c>
    </row>
    <row r="38" spans="15:18" ht="18.75" x14ac:dyDescent="0.3">
      <c r="O38" s="198" t="s">
        <v>306</v>
      </c>
      <c r="P38" s="200" t="s">
        <v>305</v>
      </c>
      <c r="R38" s="325" t="s">
        <v>191</v>
      </c>
    </row>
    <row r="39" spans="15:18" ht="18.75" x14ac:dyDescent="0.3">
      <c r="O39" s="198" t="s">
        <v>307</v>
      </c>
      <c r="P39" s="200" t="s">
        <v>305</v>
      </c>
      <c r="R39" s="324" t="s">
        <v>193</v>
      </c>
    </row>
    <row r="40" spans="15:18" ht="18.75" x14ac:dyDescent="0.3">
      <c r="O40" s="198" t="s">
        <v>309</v>
      </c>
      <c r="P40" s="200" t="s">
        <v>305</v>
      </c>
      <c r="R40" s="325" t="s">
        <v>84</v>
      </c>
    </row>
    <row r="41" spans="15:18" ht="18.75" x14ac:dyDescent="0.3">
      <c r="O41" s="198" t="s">
        <v>321</v>
      </c>
      <c r="P41" s="200" t="s">
        <v>407</v>
      </c>
      <c r="R41" s="324" t="s">
        <v>206</v>
      </c>
    </row>
    <row r="42" spans="15:18" ht="18.75" x14ac:dyDescent="0.3">
      <c r="O42" s="198" t="s">
        <v>318</v>
      </c>
      <c r="P42" s="200" t="s">
        <v>408</v>
      </c>
      <c r="R42" s="325" t="s">
        <v>44</v>
      </c>
    </row>
    <row r="43" spans="15:18" ht="18.75" x14ac:dyDescent="0.3">
      <c r="O43" s="198" t="s">
        <v>319</v>
      </c>
      <c r="P43" s="200" t="s">
        <v>408</v>
      </c>
      <c r="R43" s="324" t="s">
        <v>167</v>
      </c>
    </row>
    <row r="44" spans="15:18" ht="18.75" x14ac:dyDescent="0.3">
      <c r="O44" s="198" t="s">
        <v>320</v>
      </c>
      <c r="P44" s="200" t="s">
        <v>407</v>
      </c>
      <c r="R44" s="325" t="s">
        <v>203</v>
      </c>
    </row>
    <row r="45" spans="15:18" ht="18.75" x14ac:dyDescent="0.3">
      <c r="O45" s="198" t="s">
        <v>346</v>
      </c>
      <c r="P45" s="200" t="s">
        <v>341</v>
      </c>
      <c r="R45" s="324" t="s">
        <v>105</v>
      </c>
    </row>
    <row r="46" spans="15:18" ht="18.75" x14ac:dyDescent="0.3">
      <c r="O46" s="198" t="s">
        <v>357</v>
      </c>
      <c r="P46" s="200" t="s">
        <v>409</v>
      </c>
      <c r="R46" s="325" t="s">
        <v>119</v>
      </c>
    </row>
    <row r="47" spans="15:18" ht="18.75" x14ac:dyDescent="0.3">
      <c r="O47" s="198" t="s">
        <v>202</v>
      </c>
      <c r="P47" s="200" t="s">
        <v>305</v>
      </c>
      <c r="R47" s="324" t="s">
        <v>57</v>
      </c>
    </row>
    <row r="48" spans="15:18" ht="18.75" x14ac:dyDescent="0.3">
      <c r="O48" s="198" t="s">
        <v>312</v>
      </c>
      <c r="P48" s="200" t="s">
        <v>305</v>
      </c>
      <c r="R48" s="325" t="s">
        <v>58</v>
      </c>
    </row>
    <row r="49" spans="15:18" ht="18.75" x14ac:dyDescent="0.3">
      <c r="O49" s="198" t="s">
        <v>333</v>
      </c>
      <c r="P49" s="200" t="s">
        <v>328</v>
      </c>
      <c r="R49" s="324" t="s">
        <v>55</v>
      </c>
    </row>
    <row r="50" spans="15:18" ht="18.75" x14ac:dyDescent="0.3">
      <c r="O50" s="198" t="s">
        <v>342</v>
      </c>
      <c r="P50" s="200" t="s">
        <v>341</v>
      </c>
      <c r="R50" s="325" t="s">
        <v>60</v>
      </c>
    </row>
    <row r="51" spans="15:18" ht="18.75" x14ac:dyDescent="0.3">
      <c r="O51" s="198" t="s">
        <v>273</v>
      </c>
      <c r="P51" s="200" t="s">
        <v>46</v>
      </c>
      <c r="R51" s="324" t="s">
        <v>59</v>
      </c>
    </row>
    <row r="52" spans="15:18" ht="18.75" x14ac:dyDescent="0.3">
      <c r="O52" s="198" t="s">
        <v>344</v>
      </c>
      <c r="P52" s="200" t="s">
        <v>341</v>
      </c>
      <c r="R52" s="325" t="s">
        <v>210</v>
      </c>
    </row>
    <row r="53" spans="15:18" ht="18.75" x14ac:dyDescent="0.3">
      <c r="O53" s="198" t="s">
        <v>339</v>
      </c>
      <c r="P53" s="200" t="s">
        <v>340</v>
      </c>
      <c r="R53" s="324" t="s">
        <v>1</v>
      </c>
    </row>
    <row r="54" spans="15:18" ht="18.75" x14ac:dyDescent="0.3">
      <c r="O54" s="198" t="s">
        <v>353</v>
      </c>
      <c r="P54" s="200" t="s">
        <v>355</v>
      </c>
      <c r="R54" s="325" t="s">
        <v>76</v>
      </c>
    </row>
    <row r="55" spans="15:18" ht="18.75" x14ac:dyDescent="0.3">
      <c r="O55" s="198" t="s">
        <v>308</v>
      </c>
      <c r="P55" s="200" t="s">
        <v>305</v>
      </c>
      <c r="R55" s="324" t="s">
        <v>43</v>
      </c>
    </row>
    <row r="56" spans="15:18" ht="18.75" x14ac:dyDescent="0.3">
      <c r="O56" s="198" t="s">
        <v>331</v>
      </c>
      <c r="P56" s="200" t="s">
        <v>328</v>
      </c>
      <c r="R56" s="325" t="s">
        <v>202</v>
      </c>
    </row>
    <row r="57" spans="15:18" ht="18.75" x14ac:dyDescent="0.3">
      <c r="O57" s="198" t="s">
        <v>332</v>
      </c>
      <c r="P57" s="200" t="s">
        <v>328</v>
      </c>
      <c r="R57" s="324" t="s">
        <v>194</v>
      </c>
    </row>
    <row r="58" spans="15:18" ht="18.75" x14ac:dyDescent="0.3">
      <c r="O58" s="198" t="s">
        <v>386</v>
      </c>
      <c r="P58" s="200" t="s">
        <v>387</v>
      </c>
      <c r="R58" s="325" t="s">
        <v>64</v>
      </c>
    </row>
    <row r="59" spans="15:18" ht="18.75" x14ac:dyDescent="0.3">
      <c r="O59" s="198" t="s">
        <v>378</v>
      </c>
      <c r="P59" s="200" t="s">
        <v>379</v>
      </c>
      <c r="R59" s="324" t="s">
        <v>585</v>
      </c>
    </row>
    <row r="60" spans="15:18" ht="18.75" x14ac:dyDescent="0.3">
      <c r="O60" s="198" t="s">
        <v>349</v>
      </c>
      <c r="P60" s="200" t="s">
        <v>352</v>
      </c>
      <c r="R60" s="325" t="s">
        <v>111</v>
      </c>
    </row>
    <row r="61" spans="15:18" ht="18.75" x14ac:dyDescent="0.3">
      <c r="O61" s="198" t="s">
        <v>302</v>
      </c>
      <c r="P61" s="200" t="s">
        <v>402</v>
      </c>
      <c r="R61" s="324" t="s">
        <v>213</v>
      </c>
    </row>
    <row r="62" spans="15:18" ht="18.75" x14ac:dyDescent="0.3">
      <c r="O62" s="198" t="s">
        <v>275</v>
      </c>
      <c r="P62" s="200" t="s">
        <v>46</v>
      </c>
      <c r="R62" s="325" t="s">
        <v>69</v>
      </c>
    </row>
    <row r="63" spans="15:18" ht="18.75" x14ac:dyDescent="0.3">
      <c r="O63" s="198" t="s">
        <v>345</v>
      </c>
      <c r="P63" s="200" t="s">
        <v>341</v>
      </c>
      <c r="R63" s="324" t="s">
        <v>72</v>
      </c>
    </row>
    <row r="64" spans="15:18" ht="18.75" x14ac:dyDescent="0.3">
      <c r="O64" s="198" t="s">
        <v>314</v>
      </c>
      <c r="P64" s="200" t="s">
        <v>410</v>
      </c>
      <c r="R64" s="325" t="s">
        <v>138</v>
      </c>
    </row>
    <row r="65" spans="15:18" ht="18.75" x14ac:dyDescent="0.3">
      <c r="O65" s="198" t="s">
        <v>315</v>
      </c>
      <c r="P65" s="200" t="s">
        <v>410</v>
      </c>
      <c r="R65" s="324" t="s">
        <v>67</v>
      </c>
    </row>
    <row r="66" spans="15:18" ht="18.75" x14ac:dyDescent="0.3">
      <c r="O66" s="198" t="s">
        <v>316</v>
      </c>
      <c r="P66" s="200" t="s">
        <v>410</v>
      </c>
      <c r="R66" s="325" t="s">
        <v>68</v>
      </c>
    </row>
    <row r="67" spans="15:18" ht="18.75" x14ac:dyDescent="0.3">
      <c r="O67" s="198" t="s">
        <v>304</v>
      </c>
      <c r="P67" s="200" t="s">
        <v>402</v>
      </c>
      <c r="R67" s="324" t="s">
        <v>75</v>
      </c>
    </row>
    <row r="68" spans="15:18" ht="18.75" x14ac:dyDescent="0.3">
      <c r="O68" s="198" t="s">
        <v>389</v>
      </c>
      <c r="P68" s="200" t="s">
        <v>411</v>
      </c>
      <c r="R68" s="324" t="s">
        <v>386</v>
      </c>
    </row>
    <row r="69" spans="15:18" ht="18.75" x14ac:dyDescent="0.3">
      <c r="O69" s="198" t="s">
        <v>300</v>
      </c>
      <c r="P69" s="200" t="s">
        <v>297</v>
      </c>
      <c r="R69" s="325" t="s">
        <v>74</v>
      </c>
    </row>
    <row r="70" spans="15:18" ht="18.75" x14ac:dyDescent="0.3">
      <c r="O70" s="198" t="s">
        <v>265</v>
      </c>
      <c r="P70" s="200" t="s">
        <v>261</v>
      </c>
      <c r="R70" s="324" t="s">
        <v>90</v>
      </c>
    </row>
    <row r="71" spans="15:18" ht="18.75" x14ac:dyDescent="0.3">
      <c r="O71" s="198" t="s">
        <v>324</v>
      </c>
      <c r="P71" s="200" t="s">
        <v>322</v>
      </c>
      <c r="R71" s="325" t="s">
        <v>10</v>
      </c>
    </row>
    <row r="72" spans="15:18" ht="18.75" x14ac:dyDescent="0.3">
      <c r="O72" s="198" t="s">
        <v>323</v>
      </c>
      <c r="P72" s="200" t="s">
        <v>322</v>
      </c>
      <c r="R72" s="324" t="s">
        <v>41</v>
      </c>
    </row>
    <row r="73" spans="15:18" ht="18.75" x14ac:dyDescent="0.3">
      <c r="O73" s="198" t="s">
        <v>343</v>
      </c>
      <c r="P73" s="200" t="s">
        <v>341</v>
      </c>
      <c r="R73" s="325" t="s">
        <v>33</v>
      </c>
    </row>
    <row r="74" spans="15:18" ht="18.75" x14ac:dyDescent="0.3">
      <c r="O74" s="198" t="s">
        <v>317</v>
      </c>
      <c r="P74" s="200" t="s">
        <v>408</v>
      </c>
      <c r="R74" s="324" t="s">
        <v>117</v>
      </c>
    </row>
    <row r="75" spans="15:18" ht="18.75" x14ac:dyDescent="0.3">
      <c r="O75" s="198" t="s">
        <v>177</v>
      </c>
      <c r="P75" s="200" t="s">
        <v>326</v>
      </c>
      <c r="R75" s="325" t="s">
        <v>166</v>
      </c>
    </row>
    <row r="76" spans="15:18" ht="18.75" x14ac:dyDescent="0.3">
      <c r="O76" s="198" t="s">
        <v>310</v>
      </c>
      <c r="P76" s="200" t="s">
        <v>305</v>
      </c>
      <c r="R76" s="324" t="s">
        <v>53</v>
      </c>
    </row>
    <row r="77" spans="15:18" ht="18.75" x14ac:dyDescent="0.3">
      <c r="O77" s="198" t="s">
        <v>351</v>
      </c>
      <c r="P77" s="200" t="s">
        <v>352</v>
      </c>
      <c r="R77" s="325" t="s">
        <v>197</v>
      </c>
    </row>
    <row r="78" spans="15:18" ht="18.75" x14ac:dyDescent="0.3">
      <c r="O78" s="198" t="s">
        <v>391</v>
      </c>
      <c r="P78" s="200" t="s">
        <v>334</v>
      </c>
      <c r="R78" s="324" t="s">
        <v>116</v>
      </c>
    </row>
    <row r="79" spans="15:18" ht="18.75" x14ac:dyDescent="0.3">
      <c r="O79" s="198" t="s">
        <v>269</v>
      </c>
      <c r="P79" s="200" t="s">
        <v>404</v>
      </c>
      <c r="R79" s="325" t="s">
        <v>586</v>
      </c>
    </row>
    <row r="80" spans="15:18" ht="18.75" x14ac:dyDescent="0.3">
      <c r="O80" s="198" t="s">
        <v>325</v>
      </c>
      <c r="P80" s="200" t="s">
        <v>412</v>
      </c>
      <c r="R80" s="324" t="s">
        <v>52</v>
      </c>
    </row>
    <row r="81" spans="14:18" ht="18.75" x14ac:dyDescent="0.3">
      <c r="O81" s="198" t="s">
        <v>290</v>
      </c>
      <c r="P81" s="200" t="s">
        <v>414</v>
      </c>
      <c r="R81" s="325" t="s">
        <v>54</v>
      </c>
    </row>
    <row r="82" spans="14:18" ht="18.75" x14ac:dyDescent="0.3">
      <c r="N82" t="s">
        <v>354</v>
      </c>
      <c r="O82" s="198" t="s">
        <v>291</v>
      </c>
      <c r="P82" s="200" t="s">
        <v>415</v>
      </c>
      <c r="R82" s="324" t="s">
        <v>61</v>
      </c>
    </row>
    <row r="83" spans="14:18" ht="18.75" x14ac:dyDescent="0.3">
      <c r="O83" s="198" t="s">
        <v>27</v>
      </c>
      <c r="P83" s="200" t="s">
        <v>416</v>
      </c>
      <c r="R83" s="325" t="s">
        <v>42</v>
      </c>
    </row>
    <row r="84" spans="14:18" ht="18.75" x14ac:dyDescent="0.3">
      <c r="O84" s="198" t="s">
        <v>288</v>
      </c>
      <c r="P84" s="200" t="s">
        <v>289</v>
      </c>
      <c r="R84" s="324" t="s">
        <v>204</v>
      </c>
    </row>
    <row r="85" spans="14:18" ht="18.75" x14ac:dyDescent="0.3">
      <c r="O85" s="198" t="s">
        <v>301</v>
      </c>
      <c r="P85" s="200" t="s">
        <v>402</v>
      </c>
      <c r="R85" s="325" t="s">
        <v>56</v>
      </c>
    </row>
    <row r="86" spans="14:18" ht="18.75" x14ac:dyDescent="0.3">
      <c r="O86" s="198" t="s">
        <v>337</v>
      </c>
      <c r="P86" s="200" t="s">
        <v>334</v>
      </c>
      <c r="R86" s="324" t="s">
        <v>0</v>
      </c>
    </row>
    <row r="87" spans="14:18" ht="18.75" x14ac:dyDescent="0.3">
      <c r="O87" s="198" t="s">
        <v>276</v>
      </c>
      <c r="P87" s="200" t="s">
        <v>46</v>
      </c>
      <c r="R87" s="325" t="s">
        <v>177</v>
      </c>
    </row>
    <row r="88" spans="14:18" ht="18.75" x14ac:dyDescent="0.3">
      <c r="O88" s="198" t="s">
        <v>581</v>
      </c>
      <c r="P88" s="200" t="s">
        <v>341</v>
      </c>
      <c r="R88" s="324" t="s">
        <v>65</v>
      </c>
    </row>
    <row r="89" spans="14:18" ht="18.75" x14ac:dyDescent="0.3">
      <c r="O89" s="198" t="s">
        <v>272</v>
      </c>
      <c r="P89" s="200" t="s">
        <v>404</v>
      </c>
      <c r="R89" s="325" t="s">
        <v>593</v>
      </c>
    </row>
    <row r="90" spans="14:18" ht="18.75" x14ac:dyDescent="0.3">
      <c r="O90" s="198" t="s">
        <v>271</v>
      </c>
      <c r="P90" s="200" t="s">
        <v>404</v>
      </c>
      <c r="R90" s="324" t="s">
        <v>134</v>
      </c>
    </row>
    <row r="91" spans="14:18" ht="18.75" x14ac:dyDescent="0.3">
      <c r="O91" s="198" t="s">
        <v>266</v>
      </c>
      <c r="P91" s="200" t="s">
        <v>404</v>
      </c>
      <c r="R91" s="325" t="s">
        <v>40</v>
      </c>
    </row>
    <row r="92" spans="14:18" ht="18.75" x14ac:dyDescent="0.3">
      <c r="O92" s="198" t="s">
        <v>525</v>
      </c>
      <c r="P92" s="200" t="s">
        <v>526</v>
      </c>
      <c r="R92" s="324" t="s">
        <v>62</v>
      </c>
    </row>
    <row r="93" spans="14:18" ht="18.75" x14ac:dyDescent="0.3">
      <c r="O93" s="198" t="s">
        <v>278</v>
      </c>
      <c r="P93" s="200" t="s">
        <v>281</v>
      </c>
      <c r="R93" s="325" t="s">
        <v>190</v>
      </c>
    </row>
    <row r="94" spans="14:18" ht="18.75" x14ac:dyDescent="0.3">
      <c r="O94" s="198" t="s">
        <v>293</v>
      </c>
      <c r="P94" s="200" t="s">
        <v>417</v>
      </c>
      <c r="R94" s="324" t="s">
        <v>32</v>
      </c>
    </row>
    <row r="95" spans="14:18" ht="18.75" x14ac:dyDescent="0.3">
      <c r="O95" s="198" t="s">
        <v>374</v>
      </c>
      <c r="P95" s="200" t="s">
        <v>377</v>
      </c>
      <c r="R95" s="325" t="s">
        <v>26</v>
      </c>
    </row>
    <row r="96" spans="14:18" ht="18.75" x14ac:dyDescent="0.3">
      <c r="O96" s="198" t="s">
        <v>367</v>
      </c>
      <c r="P96" s="200" t="s">
        <v>369</v>
      </c>
      <c r="R96" s="324" t="s">
        <v>24</v>
      </c>
    </row>
    <row r="97" spans="15:18" ht="18.75" x14ac:dyDescent="0.3">
      <c r="O97" s="198" t="s">
        <v>327</v>
      </c>
      <c r="P97" s="200" t="s">
        <v>326</v>
      </c>
      <c r="R97" s="325" t="s">
        <v>130</v>
      </c>
    </row>
    <row r="98" spans="15:18" ht="18.75" x14ac:dyDescent="0.3">
      <c r="O98" s="198" t="s">
        <v>392</v>
      </c>
      <c r="P98" s="200" t="s">
        <v>355</v>
      </c>
      <c r="R98" s="324" t="s">
        <v>25</v>
      </c>
    </row>
    <row r="99" spans="15:18" ht="18.75" x14ac:dyDescent="0.3">
      <c r="O99" s="198" t="s">
        <v>313</v>
      </c>
      <c r="P99" s="200" t="s">
        <v>410</v>
      </c>
      <c r="R99" s="325" t="s">
        <v>27</v>
      </c>
    </row>
    <row r="100" spans="15:18" ht="18.75" x14ac:dyDescent="0.3">
      <c r="O100" s="198" t="s">
        <v>376</v>
      </c>
      <c r="P100" s="200" t="s">
        <v>377</v>
      </c>
      <c r="R100" s="324" t="s">
        <v>127</v>
      </c>
    </row>
    <row r="101" spans="15:18" ht="18.75" x14ac:dyDescent="0.3">
      <c r="O101" s="198" t="s">
        <v>277</v>
      </c>
      <c r="P101" s="200" t="s">
        <v>280</v>
      </c>
      <c r="R101" s="325" t="s">
        <v>133</v>
      </c>
    </row>
    <row r="102" spans="15:18" ht="18.75" x14ac:dyDescent="0.3">
      <c r="O102" s="198" t="s">
        <v>292</v>
      </c>
      <c r="P102" s="200" t="s">
        <v>418</v>
      </c>
      <c r="R102" s="324" t="s">
        <v>98</v>
      </c>
    </row>
    <row r="103" spans="15:18" ht="17.100000000000001" customHeight="1" x14ac:dyDescent="0.3">
      <c r="O103" s="198" t="s">
        <v>268</v>
      </c>
      <c r="P103" s="200" t="s">
        <v>404</v>
      </c>
      <c r="R103" s="325" t="s">
        <v>34</v>
      </c>
    </row>
    <row r="104" spans="15:18" ht="18.75" x14ac:dyDescent="0.3">
      <c r="O104" s="198" t="s">
        <v>358</v>
      </c>
      <c r="P104" s="200" t="s">
        <v>409</v>
      </c>
      <c r="R104" s="324" t="s">
        <v>63</v>
      </c>
    </row>
    <row r="105" spans="15:18" ht="18.75" x14ac:dyDescent="0.3">
      <c r="O105" s="198" t="s">
        <v>364</v>
      </c>
      <c r="P105" s="200" t="s">
        <v>361</v>
      </c>
      <c r="R105" s="325" t="s">
        <v>270</v>
      </c>
    </row>
    <row r="106" spans="15:18" ht="18.75" x14ac:dyDescent="0.3">
      <c r="O106" s="198" t="s">
        <v>359</v>
      </c>
      <c r="P106" s="200" t="s">
        <v>409</v>
      </c>
      <c r="R106" s="324" t="s">
        <v>173</v>
      </c>
    </row>
    <row r="107" spans="15:18" ht="18.75" x14ac:dyDescent="0.3">
      <c r="O107" s="198" t="s">
        <v>350</v>
      </c>
      <c r="P107" s="200" t="s">
        <v>352</v>
      </c>
      <c r="R107" s="325" t="s">
        <v>219</v>
      </c>
    </row>
    <row r="108" spans="15:18" ht="18.75" x14ac:dyDescent="0.3">
      <c r="O108" s="198" t="s">
        <v>348</v>
      </c>
      <c r="P108" s="200" t="s">
        <v>352</v>
      </c>
      <c r="R108" s="324" t="s">
        <v>106</v>
      </c>
    </row>
    <row r="109" spans="15:18" ht="18.75" x14ac:dyDescent="0.3">
      <c r="O109" s="203" t="s">
        <v>393</v>
      </c>
      <c r="P109" s="204" t="s">
        <v>409</v>
      </c>
      <c r="R109" s="325" t="s">
        <v>195</v>
      </c>
    </row>
    <row r="110" spans="15:18" ht="18.75" x14ac:dyDescent="0.3">
      <c r="O110" s="203" t="s">
        <v>282</v>
      </c>
      <c r="P110" s="204" t="s">
        <v>285</v>
      </c>
      <c r="R110" s="324" t="s">
        <v>218</v>
      </c>
    </row>
    <row r="111" spans="15:18" ht="18.75" x14ac:dyDescent="0.3">
      <c r="O111" s="203" t="s">
        <v>279</v>
      </c>
      <c r="P111" s="204" t="s">
        <v>281</v>
      </c>
      <c r="R111" s="325" t="s">
        <v>4</v>
      </c>
    </row>
    <row r="112" spans="15:18" ht="18.75" x14ac:dyDescent="0.3">
      <c r="O112" s="185"/>
      <c r="P112" s="185"/>
      <c r="R112" s="324" t="s">
        <v>137</v>
      </c>
    </row>
    <row r="113" spans="15:18" ht="18.75" x14ac:dyDescent="0.3">
      <c r="O113" s="185"/>
      <c r="P113" s="185"/>
      <c r="R113" s="325" t="s">
        <v>165</v>
      </c>
    </row>
    <row r="114" spans="15:18" ht="18.75" x14ac:dyDescent="0.3">
      <c r="O114" s="185"/>
      <c r="P114" s="185"/>
      <c r="R114" s="324" t="s">
        <v>82</v>
      </c>
    </row>
    <row r="115" spans="15:18" x14ac:dyDescent="0.25">
      <c r="R115" s="325" t="s">
        <v>104</v>
      </c>
    </row>
    <row r="116" spans="15:18" x14ac:dyDescent="0.25">
      <c r="R116" s="324" t="s">
        <v>221</v>
      </c>
    </row>
    <row r="117" spans="15:18" x14ac:dyDescent="0.25">
      <c r="R117" s="325" t="s">
        <v>172</v>
      </c>
    </row>
    <row r="118" spans="15:18" x14ac:dyDescent="0.25">
      <c r="R118" s="324" t="s">
        <v>582</v>
      </c>
    </row>
    <row r="119" spans="15:18" x14ac:dyDescent="0.25">
      <c r="R119" s="325" t="s">
        <v>71</v>
      </c>
    </row>
    <row r="120" spans="15:18" x14ac:dyDescent="0.25">
      <c r="R120" s="324" t="s">
        <v>128</v>
      </c>
    </row>
    <row r="121" spans="15:18" x14ac:dyDescent="0.25">
      <c r="R121" s="325" t="s">
        <v>140</v>
      </c>
    </row>
    <row r="122" spans="15:18" x14ac:dyDescent="0.25">
      <c r="R122" s="324" t="s">
        <v>163</v>
      </c>
    </row>
    <row r="123" spans="15:18" x14ac:dyDescent="0.25">
      <c r="R123" s="325" t="s">
        <v>87</v>
      </c>
    </row>
    <row r="124" spans="15:18" x14ac:dyDescent="0.25">
      <c r="R124" s="324" t="s">
        <v>136</v>
      </c>
    </row>
    <row r="125" spans="15:18" x14ac:dyDescent="0.25">
      <c r="R125" s="325" t="s">
        <v>139</v>
      </c>
    </row>
    <row r="126" spans="15:18" x14ac:dyDescent="0.25">
      <c r="R126" s="324" t="s">
        <v>3</v>
      </c>
    </row>
    <row r="127" spans="15:18" x14ac:dyDescent="0.25">
      <c r="R127" s="325" t="s">
        <v>115</v>
      </c>
    </row>
    <row r="128" spans="15:18" x14ac:dyDescent="0.25">
      <c r="R128" s="324" t="s">
        <v>129</v>
      </c>
    </row>
    <row r="129" spans="18:18" x14ac:dyDescent="0.25">
      <c r="R129" s="325" t="s">
        <v>11</v>
      </c>
    </row>
    <row r="130" spans="18:18" x14ac:dyDescent="0.25">
      <c r="R130" s="324" t="s">
        <v>78</v>
      </c>
    </row>
    <row r="131" spans="18:18" x14ac:dyDescent="0.25">
      <c r="R131" s="325" t="s">
        <v>196</v>
      </c>
    </row>
    <row r="132" spans="18:18" x14ac:dyDescent="0.25">
      <c r="R132" s="324" t="s">
        <v>70</v>
      </c>
    </row>
    <row r="133" spans="18:18" x14ac:dyDescent="0.25">
      <c r="R133" s="325" t="s">
        <v>201</v>
      </c>
    </row>
    <row r="134" spans="18:18" x14ac:dyDescent="0.25">
      <c r="R134" s="324" t="s">
        <v>171</v>
      </c>
    </row>
    <row r="135" spans="18:18" x14ac:dyDescent="0.25">
      <c r="R135" s="325" t="s">
        <v>89</v>
      </c>
    </row>
    <row r="136" spans="18:18" x14ac:dyDescent="0.25">
      <c r="R136" s="324" t="s">
        <v>29</v>
      </c>
    </row>
    <row r="137" spans="18:18" x14ac:dyDescent="0.25">
      <c r="R137" s="325" t="s">
        <v>217</v>
      </c>
    </row>
    <row r="138" spans="18:18" x14ac:dyDescent="0.25">
      <c r="R138" s="324" t="s">
        <v>170</v>
      </c>
    </row>
    <row r="139" spans="18:18" x14ac:dyDescent="0.25">
      <c r="R139" s="325" t="s">
        <v>110</v>
      </c>
    </row>
    <row r="140" spans="18:18" x14ac:dyDescent="0.25">
      <c r="R140" s="324" t="s">
        <v>114</v>
      </c>
    </row>
    <row r="141" spans="18:18" x14ac:dyDescent="0.25">
      <c r="R141" s="325" t="s">
        <v>208</v>
      </c>
    </row>
    <row r="142" spans="18:18" x14ac:dyDescent="0.25">
      <c r="R142" s="324" t="s">
        <v>169</v>
      </c>
    </row>
    <row r="143" spans="18:18" x14ac:dyDescent="0.25">
      <c r="R143" s="325" t="s">
        <v>7</v>
      </c>
    </row>
    <row r="144" spans="18:18" x14ac:dyDescent="0.25">
      <c r="R144" s="324" t="s">
        <v>38</v>
      </c>
    </row>
    <row r="145" spans="18:18" x14ac:dyDescent="0.25">
      <c r="R145" s="325" t="s">
        <v>37</v>
      </c>
    </row>
    <row r="146" spans="18:18" x14ac:dyDescent="0.25">
      <c r="R146" s="324" t="s">
        <v>39</v>
      </c>
    </row>
    <row r="147" spans="18:18" x14ac:dyDescent="0.25">
      <c r="R147" s="325" t="s">
        <v>214</v>
      </c>
    </row>
    <row r="148" spans="18:18" x14ac:dyDescent="0.25">
      <c r="R148" s="324" t="s">
        <v>174</v>
      </c>
    </row>
    <row r="149" spans="18:18" x14ac:dyDescent="0.25">
      <c r="R149" s="325" t="s">
        <v>175</v>
      </c>
    </row>
    <row r="150" spans="18:18" x14ac:dyDescent="0.25">
      <c r="R150" s="324" t="s">
        <v>176</v>
      </c>
    </row>
    <row r="151" spans="18:18" x14ac:dyDescent="0.25">
      <c r="R151" s="325" t="s">
        <v>161</v>
      </c>
    </row>
  </sheetData>
  <autoFilter ref="R1:R151">
    <sortState ref="R2:R151">
      <sortCondition ref="R1:R151"/>
    </sortState>
  </autoFilter>
  <pageMargins left="0.7" right="0.7" top="0.75" bottom="0.75" header="0.3" footer="0.3"/>
  <pageSetup paperSize="9" orientation="portrait" r:id="rId1"/>
  <legacyDrawing r:id="rId2"/>
  <tableParts count="4">
    <tablePart r:id="rId3"/>
    <tablePart r:id="rId4"/>
    <tablePart r:id="rId5"/>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Base_Données</vt:lpstr>
      <vt:lpstr>corrélation_ratio</vt:lpstr>
      <vt:lpstr>SIG</vt:lpstr>
      <vt:lpstr>informations_SIG</vt:lpstr>
      <vt:lpstr>compte_résultat_sectoriels</vt:lpstr>
      <vt:lpstr>ratio__sectoriels</vt:lpstr>
      <vt:lpstr>liste_forme</vt:lpstr>
      <vt:lpstr>ge</vt:lpstr>
      <vt:lpstr>information_SIG</vt:lpstr>
      <vt:lpstr>tableau_date</vt:lpstr>
      <vt:lpstr>Tableau3</vt:lpstr>
      <vt:lpstr>tableaux_SIG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lair</dc:creator>
  <cp:lastModifiedBy>Jean-Eric Pelouas</cp:lastModifiedBy>
  <dcterms:created xsi:type="dcterms:W3CDTF">2018-04-24T07:44:07Z</dcterms:created>
  <dcterms:modified xsi:type="dcterms:W3CDTF">2018-06-06T15:32:46Z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386e1227-c0e0-40a8-b1ec-fbf06271e56c</vt:lpwstr>
  </property>
</Properties>
</file>