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4"/>
  </bookViews>
  <sheets>
    <sheet name="Clients" sheetId="20" r:id="rId1"/>
    <sheet name="Produits" sheetId="2" r:id="rId2"/>
    <sheet name="Fichier des commandes" sheetId="7" r:id="rId3"/>
    <sheet name="Commandes passées" sheetId="5" r:id="rId4"/>
    <sheet name="Matrice Facture" sheetId="8" r:id="rId5"/>
  </sheets>
  <definedNames>
    <definedName name="Commande_passée">OFFSET('Commandes passées'!$A$3,,,COUNTA('Commandes passées'!$A:$A)-2)</definedName>
    <definedName name="f_commande">OFFSET(p_commande,0,0,COUNTA(l_commande),1)</definedName>
    <definedName name="l_commande">'Fichier des commandes'!$A:$A</definedName>
    <definedName name="p_commande">'Fichier des commandes'!$A$3</definedName>
  </definedNames>
  <calcPr calcId="162913"/>
</workbook>
</file>

<file path=xl/calcChain.xml><?xml version="1.0" encoding="utf-8"?>
<calcChain xmlns="http://schemas.openxmlformats.org/spreadsheetml/2006/main">
  <c r="D22" i="8" l="1"/>
  <c r="D21" i="8"/>
  <c r="A22" i="8"/>
  <c r="C22" i="8" s="1"/>
  <c r="E22" i="8" s="1"/>
  <c r="A21" i="8"/>
  <c r="B21" i="8" s="1"/>
  <c r="E3" i="8"/>
  <c r="E32" i="8"/>
  <c r="D20" i="8"/>
  <c r="D19" i="8"/>
  <c r="D18" i="8"/>
  <c r="D17" i="8"/>
  <c r="A20" i="8"/>
  <c r="A19" i="8"/>
  <c r="A18" i="8"/>
  <c r="A17" i="8"/>
  <c r="E6" i="8"/>
  <c r="E14" i="8"/>
  <c r="D14" i="8"/>
  <c r="C14" i="8"/>
  <c r="B22" i="8" l="1"/>
  <c r="C21" i="8"/>
  <c r="B20" i="8"/>
  <c r="C19" i="8"/>
  <c r="B19" i="8" s="1"/>
  <c r="B18" i="8"/>
  <c r="B17" i="8"/>
  <c r="D26" i="8"/>
  <c r="F8" i="8"/>
  <c r="C20" i="8" l="1"/>
  <c r="E20" i="8" s="1"/>
  <c r="E8" i="8"/>
  <c r="E7" i="8" s="1"/>
  <c r="C18" i="8"/>
  <c r="E18" i="8" s="1"/>
  <c r="E10" i="8"/>
  <c r="E9" i="8"/>
  <c r="C17" i="8"/>
  <c r="E17" i="8" s="1"/>
  <c r="E19" i="8"/>
  <c r="E21" i="8" l="1"/>
  <c r="E23" i="8" l="1"/>
  <c r="D24" i="8" s="1"/>
  <c r="E28" i="8"/>
  <c r="E24" i="8"/>
  <c r="E25" i="8" s="1"/>
  <c r="E26" i="8" l="1"/>
  <c r="E27" i="8" s="1"/>
  <c r="E29" i="8" s="1"/>
  <c r="A35" i="8" l="1"/>
  <c r="A34" i="8"/>
  <c r="E30" i="8"/>
  <c r="D30" i="8" s="1"/>
  <c r="E31" i="8" l="1"/>
  <c r="E33" i="8" s="1"/>
</calcChain>
</file>

<file path=xl/sharedStrings.xml><?xml version="1.0" encoding="utf-8"?>
<sst xmlns="http://schemas.openxmlformats.org/spreadsheetml/2006/main" count="305" uniqueCount="197">
  <si>
    <t>Société</t>
  </si>
  <si>
    <t>Adresse</t>
  </si>
  <si>
    <t>CP</t>
  </si>
  <si>
    <t>Ville</t>
  </si>
  <si>
    <t>Pays</t>
  </si>
  <si>
    <t>N° Intracommunautaire communiqué</t>
  </si>
  <si>
    <t>Amoranzoni</t>
  </si>
  <si>
    <t>115 via Luigi</t>
  </si>
  <si>
    <t>Roma</t>
  </si>
  <si>
    <t>Italie</t>
  </si>
  <si>
    <t>IT 09 568 741 258</t>
  </si>
  <si>
    <t>Amiral</t>
  </si>
  <si>
    <t>22 rue Jean Jaurès</t>
  </si>
  <si>
    <t>Catero</t>
  </si>
  <si>
    <t>111 cale Réal</t>
  </si>
  <si>
    <t>Madrid</t>
  </si>
  <si>
    <t>Espagne</t>
  </si>
  <si>
    <t>ES 02 336 480 030</t>
  </si>
  <si>
    <t>Cattia</t>
  </si>
  <si>
    <t>43 calle de Sporto</t>
  </si>
  <si>
    <t>Valencia</t>
  </si>
  <si>
    <t>ES 02 559 663 411</t>
  </si>
  <si>
    <t>Constructil</t>
  </si>
  <si>
    <t>Zolligerstrasse 27</t>
  </si>
  <si>
    <t>Zurich</t>
  </si>
  <si>
    <t>Suisse</t>
  </si>
  <si>
    <t>Elan</t>
  </si>
  <si>
    <t>16 rue de la Jonchère</t>
  </si>
  <si>
    <t>France</t>
  </si>
  <si>
    <t>Faezza</t>
  </si>
  <si>
    <t>101 calle de Flore</t>
  </si>
  <si>
    <t>Guibier</t>
  </si>
  <si>
    <t xml:space="preserve">8 Place de l’hôtel de ville </t>
  </si>
  <si>
    <t>Kariste</t>
  </si>
  <si>
    <t>19 Avenue François Mitterand</t>
  </si>
  <si>
    <t>Klaper-Bau</t>
  </si>
  <si>
    <t>Bergstrasse 22</t>
  </si>
  <si>
    <t>Autriche</t>
  </si>
  <si>
    <t>Mounier</t>
  </si>
  <si>
    <t>15 rue Lavalles</t>
  </si>
  <si>
    <t>Paris</t>
  </si>
  <si>
    <t>Nascito</t>
  </si>
  <si>
    <t>52 calle Inzi</t>
  </si>
  <si>
    <t>Padzekas</t>
  </si>
  <si>
    <t>Prossomo</t>
  </si>
  <si>
    <t>Siprava</t>
  </si>
  <si>
    <t>413 via Primavera</t>
  </si>
  <si>
    <t>IT 11 658 442 154</t>
  </si>
  <si>
    <t>Vancetel</t>
  </si>
  <si>
    <t>169 rue Baudoin</t>
  </si>
  <si>
    <t>Bruges</t>
  </si>
  <si>
    <t>Belgique</t>
  </si>
  <si>
    <t>Vandemol</t>
  </si>
  <si>
    <t>Bergplatz 52</t>
  </si>
  <si>
    <t>Antwerp</t>
  </si>
  <si>
    <t>Vitari</t>
  </si>
  <si>
    <t>65 rue de Soissons</t>
  </si>
  <si>
    <t>Zinnani</t>
  </si>
  <si>
    <t>79 via Marana</t>
  </si>
  <si>
    <t>Napoli</t>
  </si>
  <si>
    <t>Hamburg</t>
  </si>
  <si>
    <t>Allemagne</t>
  </si>
  <si>
    <t>DE 45 542 136 994</t>
  </si>
  <si>
    <t>Impasse du Berger</t>
  </si>
  <si>
    <t>L-9142</t>
  </si>
  <si>
    <t xml:space="preserve">Burden </t>
  </si>
  <si>
    <t>LU 15 669 995 520</t>
  </si>
  <si>
    <t>La Spezia</t>
  </si>
  <si>
    <t>Salsburg</t>
  </si>
  <si>
    <t>Leogang</t>
  </si>
  <si>
    <t>AT 22 336 669 885</t>
  </si>
  <si>
    <t>BE 21 447 852 236</t>
  </si>
  <si>
    <t>Liège</t>
  </si>
  <si>
    <t>Dessenheim</t>
  </si>
  <si>
    <t>Munch House</t>
  </si>
  <si>
    <t>Munwiller</t>
  </si>
  <si>
    <t>Bantzenheim</t>
  </si>
  <si>
    <t>Particulier</t>
  </si>
  <si>
    <t>Matrice produits</t>
  </si>
  <si>
    <t>Référence Produit</t>
  </si>
  <si>
    <t>Désignation</t>
  </si>
  <si>
    <t>Rondin gris 6*25*100</t>
  </si>
  <si>
    <t>Rondin jaune 6*20*50</t>
  </si>
  <si>
    <t>Rondin rouge 6*20*50</t>
  </si>
  <si>
    <t>P001</t>
  </si>
  <si>
    <t>P002</t>
  </si>
  <si>
    <t>P003</t>
  </si>
  <si>
    <t>P004</t>
  </si>
  <si>
    <t>CHB01</t>
  </si>
  <si>
    <t>CHG02</t>
  </si>
  <si>
    <t>C001</t>
  </si>
  <si>
    <t>C002</t>
  </si>
  <si>
    <t>C003</t>
  </si>
  <si>
    <t>PREL1</t>
  </si>
  <si>
    <t>PREL2</t>
  </si>
  <si>
    <t>PREL3</t>
  </si>
  <si>
    <t>Chaux blanche sac 25 kgs</t>
  </si>
  <si>
    <t>Chaux grise sac 25 kgs</t>
  </si>
  <si>
    <t>Mortier sac 35 kgs</t>
  </si>
  <si>
    <t>Ciment prompt sac 25 kgs</t>
  </si>
  <si>
    <t>Ciment gris sac 25 kgs</t>
  </si>
  <si>
    <t>Ciment blanc sac 25 kgs</t>
  </si>
  <si>
    <t>Prélinteau béton en 1m</t>
  </si>
  <si>
    <t>Prélinteau béton en 1m30</t>
  </si>
  <si>
    <t>Prélinteau béton en 1m50</t>
  </si>
  <si>
    <t>Rondin  sable 6*25*100</t>
  </si>
  <si>
    <t>Prix Unitaire H.T.</t>
  </si>
  <si>
    <t>P005</t>
  </si>
  <si>
    <t>P006</t>
  </si>
  <si>
    <t>P007</t>
  </si>
  <si>
    <t>P008</t>
  </si>
  <si>
    <t>Parpaings creux 10*20*50</t>
  </si>
  <si>
    <t>Parpaings creux 15*20*50</t>
  </si>
  <si>
    <t>Parpaings creux 20*20*50</t>
  </si>
  <si>
    <t>Parpaings creux 25*20*50</t>
  </si>
  <si>
    <t>Parpaings poteaux 15*20*50</t>
  </si>
  <si>
    <t>Parpaings poteaux 20*20*50</t>
  </si>
  <si>
    <t>Parpaings chainage 15*20*50</t>
  </si>
  <si>
    <t>Parpaings chainage 20*20*50</t>
  </si>
  <si>
    <t>Date de la commande</t>
  </si>
  <si>
    <t>Date de la facture</t>
  </si>
  <si>
    <t>Numéro commande</t>
  </si>
  <si>
    <t>Acompte versé à la commande (en €)</t>
  </si>
  <si>
    <t>Réf. Pdt 1</t>
  </si>
  <si>
    <t>Q</t>
  </si>
  <si>
    <t>Réf. Pdt 2</t>
  </si>
  <si>
    <t>Réf. Pdt 3</t>
  </si>
  <si>
    <t>Réf. Pdt 4</t>
  </si>
  <si>
    <t>Réf. Pdt 5</t>
  </si>
  <si>
    <t>MR03</t>
  </si>
  <si>
    <t>RN001</t>
  </si>
  <si>
    <t>RN002</t>
  </si>
  <si>
    <t>RN003</t>
  </si>
  <si>
    <t>RN004</t>
  </si>
  <si>
    <t>C1112-1</t>
  </si>
  <si>
    <t>C1112-2</t>
  </si>
  <si>
    <t>C1112-3</t>
  </si>
  <si>
    <t>C1112-4</t>
  </si>
  <si>
    <t>C1112-5</t>
  </si>
  <si>
    <t>C1112-6</t>
  </si>
  <si>
    <t>C1112-7</t>
  </si>
  <si>
    <t>C1112-8</t>
  </si>
  <si>
    <t>C1112-9</t>
  </si>
  <si>
    <t>C1112-10</t>
  </si>
  <si>
    <t>C1112-11</t>
  </si>
  <si>
    <t>C1112-12</t>
  </si>
  <si>
    <t>C1112-13</t>
  </si>
  <si>
    <t>C1112-14</t>
  </si>
  <si>
    <t>C1112-15</t>
  </si>
  <si>
    <t>Comptant</t>
  </si>
  <si>
    <t>Paiement</t>
  </si>
  <si>
    <t>30 jours</t>
  </si>
  <si>
    <t>Date commande</t>
  </si>
  <si>
    <t>Échéance</t>
  </si>
  <si>
    <t>Référence produit</t>
  </si>
  <si>
    <t>Quantité</t>
  </si>
  <si>
    <t>Montant</t>
  </si>
  <si>
    <t>Net commercial</t>
  </si>
  <si>
    <t>Net financier</t>
  </si>
  <si>
    <t>Frais de port</t>
  </si>
  <si>
    <t>Net HT</t>
  </si>
  <si>
    <t>Net TTC</t>
  </si>
  <si>
    <t>Acompte</t>
  </si>
  <si>
    <t>Matrice commandes</t>
  </si>
  <si>
    <t>Détail des commandes du mois</t>
  </si>
  <si>
    <t>Luxembourg</t>
  </si>
  <si>
    <t>GOTHAM BATIMENT</t>
  </si>
  <si>
    <t>Numéro de facture</t>
  </si>
  <si>
    <t>1112-1</t>
  </si>
  <si>
    <t>1112-2</t>
  </si>
  <si>
    <t>1112-3</t>
  </si>
  <si>
    <t>1112-4</t>
  </si>
  <si>
    <t>1112-5</t>
  </si>
  <si>
    <t>1112-6</t>
  </si>
  <si>
    <t>1112-7</t>
  </si>
  <si>
    <t>1112-8</t>
  </si>
  <si>
    <t>1112-9</t>
  </si>
  <si>
    <t>1112-10</t>
  </si>
  <si>
    <t>1112-11</t>
  </si>
  <si>
    <t>1112-12</t>
  </si>
  <si>
    <t>1112-13</t>
  </si>
  <si>
    <t>1112-14</t>
  </si>
  <si>
    <t>1112-15</t>
  </si>
  <si>
    <t>FACTURE N°</t>
  </si>
  <si>
    <t>Total Brut HT</t>
  </si>
  <si>
    <t>30 jours fin de mois</t>
  </si>
  <si>
    <t>60 jours fin de mois</t>
  </si>
  <si>
    <t>Date</t>
  </si>
  <si>
    <t xml:space="preserve">N° TVA Intracommunautaire FR19225663258 - Code NAF 4120B </t>
  </si>
  <si>
    <t xml:space="preserve">GOTHAM BATIMENT - SARL au capital de 30 000€ - Siret 536 842 741 009 - RCS FESSEINHEIM 536 842 741 009 </t>
  </si>
  <si>
    <t>Zone Industrielle Koechlin</t>
  </si>
  <si>
    <t>Rue Colonel Tulla</t>
  </si>
  <si>
    <t>68740 FESSENHEIM</t>
  </si>
  <si>
    <r>
      <rPr>
        <b/>
        <sz val="12"/>
        <color theme="1"/>
        <rFont val="System"/>
        <family val="2"/>
      </rPr>
      <t>Construction - Rénovation - Extension 
    Accessoires - Matériel</t>
    </r>
    <r>
      <rPr>
        <b/>
        <sz val="12"/>
        <color theme="1"/>
        <rFont val="Sylfaen"/>
        <family val="1"/>
      </rPr>
      <t xml:space="preserve">
</t>
    </r>
  </si>
  <si>
    <t>Tél 03 89 42 56 78</t>
  </si>
  <si>
    <t xml:space="preserve">NET A PAYER </t>
  </si>
  <si>
    <t>P.U H.T
( EUR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</si>
</sst>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#,##0.00\ &quot;€&quot;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mbria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sz val="8"/>
      <color theme="1"/>
      <name val="Arial"/>
      <family val="2"/>
    </font>
    <font>
      <b/>
      <sz val="12"/>
      <color theme="1"/>
      <name val="Times New Roman"/>
      <family val="1"/>
    </font>
    <font>
      <sz val="12"/>
      <color theme="4" tint="-0.249977111117893"/>
      <name val="Times New Roman"/>
      <family val="1"/>
    </font>
    <font>
      <b/>
      <sz val="16"/>
      <color theme="1"/>
      <name val="Times New Roman"/>
      <family val="1"/>
    </font>
    <font>
      <sz val="9"/>
      <color theme="1"/>
      <name val="Arial"/>
      <family val="2"/>
    </font>
    <font>
      <sz val="9"/>
      <color theme="1"/>
      <name val="Times New Roman"/>
      <family val="1"/>
    </font>
    <font>
      <b/>
      <sz val="18"/>
      <color theme="1"/>
      <name val="Times New Roman"/>
      <family val="1"/>
    </font>
    <font>
      <b/>
      <sz val="13"/>
      <color theme="1"/>
      <name val="Times New Roman"/>
      <family val="1"/>
    </font>
    <font>
      <b/>
      <sz val="12"/>
      <color theme="1"/>
      <name val="Sylfaen"/>
      <family val="1"/>
    </font>
    <font>
      <b/>
      <sz val="12"/>
      <color theme="1"/>
      <name val="System"/>
      <family val="2"/>
    </font>
    <font>
      <sz val="13"/>
      <color theme="1"/>
      <name val="Times New Roman"/>
      <family val="1"/>
    </font>
    <font>
      <sz val="1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4" tint="0.59999389629810485"/>
      </left>
      <right/>
      <top style="thin">
        <color theme="4" tint="0.59999389629810485"/>
      </top>
      <bottom/>
      <diagonal/>
    </border>
    <border>
      <left/>
      <right style="thin">
        <color theme="4" tint="0.59999389629810485"/>
      </right>
      <top style="thin">
        <color theme="4" tint="0.59999389629810485"/>
      </top>
      <bottom/>
      <diagonal/>
    </border>
    <border>
      <left style="thin">
        <color theme="4" tint="0.59999389629810485"/>
      </left>
      <right/>
      <top/>
      <bottom/>
      <diagonal/>
    </border>
    <border>
      <left/>
      <right style="thin">
        <color theme="4" tint="0.59999389629810485"/>
      </right>
      <top/>
      <bottom/>
      <diagonal/>
    </border>
    <border>
      <left style="thin">
        <color theme="4" tint="0.59999389629810485"/>
      </left>
      <right/>
      <top/>
      <bottom style="thin">
        <color theme="4" tint="0.59999389629810485"/>
      </bottom>
      <diagonal/>
    </border>
    <border>
      <left/>
      <right style="thin">
        <color theme="4" tint="0.59999389629810485"/>
      </right>
      <top/>
      <bottom style="thin">
        <color theme="4" tint="0.59999389629810485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2" fillId="0" borderId="0" xfId="0" applyFont="1" applyFill="1" applyBorder="1" applyAlignment="1">
      <alignment horizontal="center" vertical="top" wrapText="1"/>
    </xf>
    <xf numFmtId="0" fontId="0" fillId="0" borderId="0" xfId="0"/>
    <xf numFmtId="0" fontId="0" fillId="0" borderId="0" xfId="0" applyBorder="1" applyAlignment="1">
      <alignment horizontal="center"/>
    </xf>
    <xf numFmtId="0" fontId="3" fillId="2" borderId="4" xfId="0" applyFont="1" applyFill="1" applyBorder="1" applyAlignment="1">
      <alignment horizontal="justify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0" borderId="0" xfId="0" applyFont="1" applyBorder="1"/>
    <xf numFmtId="0" fontId="3" fillId="0" borderId="0" xfId="0" applyFont="1"/>
    <xf numFmtId="0" fontId="3" fillId="0" borderId="0" xfId="0" applyFont="1" applyBorder="1" applyAlignment="1"/>
    <xf numFmtId="0" fontId="4" fillId="0" borderId="0" xfId="0" applyFont="1" applyBorder="1" applyAlignment="1"/>
    <xf numFmtId="0" fontId="7" fillId="0" borderId="0" xfId="0" applyFont="1" applyBorder="1" applyAlignment="1">
      <alignment horizontal="right"/>
    </xf>
    <xf numFmtId="0" fontId="4" fillId="0" borderId="0" xfId="0" applyFont="1" applyBorder="1" applyAlignment="1">
      <alignment horizontal="right"/>
    </xf>
    <xf numFmtId="0" fontId="4" fillId="0" borderId="0" xfId="0" applyFont="1" applyBorder="1"/>
    <xf numFmtId="0" fontId="4" fillId="0" borderId="0" xfId="0" applyFont="1" applyBorder="1" applyAlignment="1">
      <alignment wrapText="1"/>
    </xf>
    <xf numFmtId="0" fontId="4" fillId="0" borderId="0" xfId="0" applyFont="1" applyFill="1" applyBorder="1" applyAlignment="1">
      <alignment vertical="center"/>
    </xf>
    <xf numFmtId="0" fontId="4" fillId="0" borderId="5" xfId="0" applyFont="1" applyBorder="1"/>
    <xf numFmtId="0" fontId="4" fillId="0" borderId="9" xfId="0" applyFont="1" applyBorder="1"/>
    <xf numFmtId="14" fontId="4" fillId="0" borderId="0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3" fillId="0" borderId="8" xfId="0" applyFont="1" applyBorder="1"/>
    <xf numFmtId="0" fontId="3" fillId="0" borderId="0" xfId="0" applyNumberFormat="1" applyFont="1" applyBorder="1"/>
    <xf numFmtId="0" fontId="3" fillId="0" borderId="0" xfId="0" applyNumberFormat="1" applyFont="1" applyBorder="1" applyAlignment="1">
      <alignment horizontal="left"/>
    </xf>
    <xf numFmtId="0" fontId="5" fillId="0" borderId="0" xfId="0" applyFont="1" applyBorder="1"/>
    <xf numFmtId="0" fontId="9" fillId="0" borderId="0" xfId="0" applyFont="1" applyBorder="1" applyAlignment="1">
      <alignment horizontal="right"/>
    </xf>
    <xf numFmtId="14" fontId="9" fillId="0" borderId="0" xfId="0" applyNumberFormat="1" applyFont="1" applyBorder="1" applyAlignment="1">
      <alignment horizontal="left"/>
    </xf>
    <xf numFmtId="0" fontId="4" fillId="0" borderId="10" xfId="0" applyFont="1" applyBorder="1" applyAlignment="1">
      <alignment horizontal="center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165" fontId="4" fillId="2" borderId="13" xfId="0" applyNumberFormat="1" applyFont="1" applyFill="1" applyBorder="1" applyAlignment="1">
      <alignment horizontal="center" vertical="center"/>
    </xf>
    <xf numFmtId="165" fontId="4" fillId="2" borderId="14" xfId="0" applyNumberFormat="1" applyFont="1" applyFill="1" applyBorder="1" applyAlignment="1">
      <alignment horizontal="center" vertical="center"/>
    </xf>
    <xf numFmtId="165" fontId="4" fillId="2" borderId="12" xfId="0" applyNumberFormat="1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11" fillId="0" borderId="0" xfId="0" applyFont="1"/>
    <xf numFmtId="0" fontId="8" fillId="0" borderId="12" xfId="0" applyFont="1" applyFill="1" applyBorder="1" applyAlignment="1"/>
    <xf numFmtId="0" fontId="4" fillId="0" borderId="14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right"/>
    </xf>
    <xf numFmtId="14" fontId="12" fillId="0" borderId="0" xfId="0" applyNumberFormat="1" applyFont="1" applyBorder="1" applyAlignment="1">
      <alignment horizontal="left"/>
    </xf>
    <xf numFmtId="0" fontId="4" fillId="0" borderId="0" xfId="0" applyFont="1" applyFill="1" applyBorder="1"/>
    <xf numFmtId="0" fontId="4" fillId="0" borderId="0" xfId="0" applyNumberFormat="1" applyFont="1" applyBorder="1" applyAlignment="1">
      <alignment horizontal="left"/>
    </xf>
    <xf numFmtId="0" fontId="4" fillId="0" borderId="17" xfId="0" applyFont="1" applyBorder="1" applyAlignment="1">
      <alignment horizontal="left"/>
    </xf>
    <xf numFmtId="0" fontId="4" fillId="0" borderId="18" xfId="0" applyFont="1" applyBorder="1" applyAlignment="1">
      <alignment horizontal="left"/>
    </xf>
    <xf numFmtId="14" fontId="4" fillId="0" borderId="5" xfId="0" applyNumberFormat="1" applyFont="1" applyBorder="1" applyAlignment="1">
      <alignment horizontal="center"/>
    </xf>
    <xf numFmtId="14" fontId="4" fillId="0" borderId="12" xfId="0" applyNumberFormat="1" applyFont="1" applyBorder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4" fillId="0" borderId="5" xfId="0" applyFont="1" applyFill="1" applyBorder="1" applyAlignment="1">
      <alignment vertical="center"/>
    </xf>
    <xf numFmtId="0" fontId="17" fillId="0" borderId="0" xfId="0" applyFont="1" applyFill="1"/>
    <xf numFmtId="0" fontId="4" fillId="0" borderId="7" xfId="0" applyFont="1" applyBorder="1"/>
    <xf numFmtId="2" fontId="4" fillId="0" borderId="10" xfId="0" applyNumberFormat="1" applyFont="1" applyBorder="1" applyAlignment="1">
      <alignment horizontal="right"/>
    </xf>
    <xf numFmtId="2" fontId="4" fillId="0" borderId="9" xfId="0" applyNumberFormat="1" applyFont="1" applyBorder="1" applyAlignment="1">
      <alignment horizontal="right"/>
    </xf>
    <xf numFmtId="0" fontId="7" fillId="0" borderId="0" xfId="0" applyFont="1" applyFill="1" applyBorder="1" applyAlignment="1">
      <alignment horizontal="left"/>
    </xf>
    <xf numFmtId="0" fontId="7" fillId="0" borderId="8" xfId="0" applyFont="1" applyFill="1" applyBorder="1" applyAlignment="1">
      <alignment horizontal="left"/>
    </xf>
    <xf numFmtId="0" fontId="7" fillId="0" borderId="8" xfId="0" applyFont="1" applyBorder="1" applyAlignment="1">
      <alignment horizontal="left"/>
    </xf>
    <xf numFmtId="0" fontId="7" fillId="0" borderId="6" xfId="0" applyFont="1" applyBorder="1" applyAlignment="1">
      <alignment horizontal="left"/>
    </xf>
    <xf numFmtId="0" fontId="7" fillId="0" borderId="1" xfId="0" applyFont="1" applyFill="1" applyBorder="1" applyAlignment="1">
      <alignment horizontal="left"/>
    </xf>
    <xf numFmtId="2" fontId="7" fillId="0" borderId="9" xfId="0" applyNumberFormat="1" applyFont="1" applyBorder="1" applyAlignment="1">
      <alignment horizontal="right"/>
    </xf>
    <xf numFmtId="165" fontId="7" fillId="0" borderId="3" xfId="0" applyNumberFormat="1" applyFont="1" applyFill="1" applyBorder="1" applyAlignment="1">
      <alignment horizontal="right"/>
    </xf>
    <xf numFmtId="0" fontId="7" fillId="3" borderId="7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left"/>
    </xf>
    <xf numFmtId="0" fontId="14" fillId="0" borderId="0" xfId="0" applyNumberFormat="1" applyFont="1" applyBorder="1" applyAlignment="1">
      <alignment horizontal="center" vertical="center" wrapText="1"/>
    </xf>
    <xf numFmtId="0" fontId="14" fillId="0" borderId="0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10" fillId="0" borderId="0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10" fillId="0" borderId="11" xfId="0" applyFont="1" applyBorder="1" applyAlignment="1">
      <alignment horizontal="left"/>
    </xf>
    <xf numFmtId="0" fontId="16" fillId="0" borderId="0" xfId="0" applyFont="1" applyBorder="1" applyAlignment="1">
      <alignment horizontal="center" wrapText="1"/>
    </xf>
    <xf numFmtId="0" fontId="16" fillId="0" borderId="0" xfId="0" applyFont="1" applyBorder="1" applyAlignment="1">
      <alignment horizontal="center"/>
    </xf>
    <xf numFmtId="0" fontId="4" fillId="0" borderId="17" xfId="0" applyFont="1" applyBorder="1" applyAlignment="1">
      <alignment horizontal="left"/>
    </xf>
    <xf numFmtId="0" fontId="4" fillId="0" borderId="18" xfId="0" applyFont="1" applyBorder="1" applyAlignment="1">
      <alignment horizontal="left"/>
    </xf>
    <xf numFmtId="0" fontId="7" fillId="0" borderId="15" xfId="0" applyFont="1" applyBorder="1" applyAlignment="1">
      <alignment horizontal="left"/>
    </xf>
    <xf numFmtId="0" fontId="7" fillId="0" borderId="16" xfId="0" applyFont="1" applyBorder="1" applyAlignment="1">
      <alignment horizontal="left"/>
    </xf>
    <xf numFmtId="0" fontId="4" fillId="0" borderId="19" xfId="0" applyFont="1" applyBorder="1" applyAlignment="1">
      <alignment horizontal="left"/>
    </xf>
    <xf numFmtId="0" fontId="4" fillId="0" borderId="20" xfId="0" applyFont="1" applyBorder="1" applyAlignment="1">
      <alignment horizontal="left"/>
    </xf>
    <xf numFmtId="0" fontId="1" fillId="0" borderId="5" xfId="0" applyFont="1" applyBorder="1" applyAlignment="1"/>
    <xf numFmtId="0" fontId="0" fillId="0" borderId="0" xfId="0" applyAlignment="1"/>
    <xf numFmtId="0" fontId="3" fillId="2" borderId="4" xfId="0" applyFont="1" applyFill="1" applyBorder="1" applyAlignment="1">
      <alignment vertical="center" wrapText="1"/>
    </xf>
    <xf numFmtId="14" fontId="3" fillId="2" borderId="4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581025</xdr:colOff>
      <xdr:row>0</xdr:row>
      <xdr:rowOff>0</xdr:rowOff>
    </xdr:from>
    <xdr:to>
      <xdr:col>1</xdr:col>
      <xdr:colOff>1333500</xdr:colOff>
      <xdr:row>6</xdr:row>
      <xdr:rowOff>57149</xdr:rowOff>
    </xdr:to>
    <xdr:pic>
      <xdr:nvPicPr>
        <xdr:cNvPr id="2" name="Image 1" descr="7eda6932-3079-4716-8c56-c9298853ba90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81025" y="0"/>
          <a:ext cx="2181225" cy="178117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10" workbookViewId="0">
      <selection activeCell="F2" sqref="F2"/>
    </sheetView>
  </sheetViews>
  <sheetFormatPr baseColWidth="10" defaultRowHeight="15" x14ac:dyDescent="0.25"/>
  <cols>
    <col min="1" max="1" width="23.7109375" customWidth="1"/>
    <col min="2" max="2" width="34" customWidth="1"/>
    <col min="3" max="3" width="13" customWidth="1"/>
    <col min="4" max="4" width="17.7109375" customWidth="1"/>
    <col min="5" max="5" width="23.7109375" customWidth="1"/>
    <col min="6" max="6" width="32.140625" customWidth="1"/>
  </cols>
  <sheetData>
    <row r="1" spans="1:6" ht="29.2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6" t="s">
        <v>5</v>
      </c>
    </row>
    <row r="2" spans="1:6" ht="16.5" customHeight="1" x14ac:dyDescent="0.25">
      <c r="A2" s="4" t="s">
        <v>6</v>
      </c>
      <c r="B2" s="4" t="s">
        <v>7</v>
      </c>
      <c r="C2" s="4">
        <v>5407</v>
      </c>
      <c r="D2" s="4" t="s">
        <v>8</v>
      </c>
      <c r="E2" s="4" t="s">
        <v>9</v>
      </c>
      <c r="F2" s="4" t="s">
        <v>10</v>
      </c>
    </row>
    <row r="3" spans="1:6" ht="16.5" customHeight="1" x14ac:dyDescent="0.25">
      <c r="A3" s="4" t="s">
        <v>11</v>
      </c>
      <c r="B3" s="4" t="s">
        <v>12</v>
      </c>
      <c r="C3" s="4">
        <v>68600</v>
      </c>
      <c r="D3" s="4" t="s">
        <v>73</v>
      </c>
      <c r="E3" s="4" t="s">
        <v>28</v>
      </c>
      <c r="F3" s="4" t="s">
        <v>77</v>
      </c>
    </row>
    <row r="4" spans="1:6" ht="16.5" customHeight="1" x14ac:dyDescent="0.25">
      <c r="A4" s="4" t="s">
        <v>13</v>
      </c>
      <c r="B4" s="4" t="s">
        <v>14</v>
      </c>
      <c r="C4" s="4">
        <v>11000</v>
      </c>
      <c r="D4" s="4" t="s">
        <v>15</v>
      </c>
      <c r="E4" s="4" t="s">
        <v>16</v>
      </c>
      <c r="F4" s="4" t="s">
        <v>17</v>
      </c>
    </row>
    <row r="5" spans="1:6" ht="16.5" customHeight="1" x14ac:dyDescent="0.25">
      <c r="A5" s="4" t="s">
        <v>18</v>
      </c>
      <c r="B5" s="4" t="s">
        <v>19</v>
      </c>
      <c r="C5" s="4">
        <v>11200</v>
      </c>
      <c r="D5" s="4" t="s">
        <v>20</v>
      </c>
      <c r="E5" s="4" t="s">
        <v>16</v>
      </c>
      <c r="F5" s="4" t="s">
        <v>21</v>
      </c>
    </row>
    <row r="6" spans="1:6" ht="16.5" customHeight="1" x14ac:dyDescent="0.25">
      <c r="A6" s="4" t="s">
        <v>22</v>
      </c>
      <c r="B6" s="4" t="s">
        <v>23</v>
      </c>
      <c r="C6" s="4">
        <v>8032</v>
      </c>
      <c r="D6" s="4" t="s">
        <v>24</v>
      </c>
      <c r="E6" s="4" t="s">
        <v>25</v>
      </c>
      <c r="F6" s="4"/>
    </row>
    <row r="7" spans="1:6" ht="16.5" customHeight="1" x14ac:dyDescent="0.25">
      <c r="A7" s="4" t="s">
        <v>26</v>
      </c>
      <c r="B7" s="4" t="s">
        <v>27</v>
      </c>
      <c r="C7" s="4">
        <v>68740</v>
      </c>
      <c r="D7" s="4" t="s">
        <v>74</v>
      </c>
      <c r="E7" s="4" t="s">
        <v>28</v>
      </c>
      <c r="F7" s="4"/>
    </row>
    <row r="8" spans="1:6" ht="16.5" customHeight="1" x14ac:dyDescent="0.25">
      <c r="A8" s="4" t="s">
        <v>29</v>
      </c>
      <c r="B8" s="4" t="s">
        <v>30</v>
      </c>
      <c r="C8" s="4">
        <v>4000</v>
      </c>
      <c r="D8" s="4" t="s">
        <v>72</v>
      </c>
      <c r="E8" s="4" t="s">
        <v>51</v>
      </c>
      <c r="F8" s="4" t="s">
        <v>71</v>
      </c>
    </row>
    <row r="9" spans="1:6" ht="16.5" customHeight="1" x14ac:dyDescent="0.25">
      <c r="A9" s="4" t="s">
        <v>31</v>
      </c>
      <c r="B9" s="4" t="s">
        <v>32</v>
      </c>
      <c r="C9" s="4">
        <v>68250</v>
      </c>
      <c r="D9" s="4" t="s">
        <v>75</v>
      </c>
      <c r="E9" s="4" t="s">
        <v>28</v>
      </c>
      <c r="F9" s="4"/>
    </row>
    <row r="10" spans="1:6" ht="16.5" customHeight="1" x14ac:dyDescent="0.25">
      <c r="A10" s="4" t="s">
        <v>33</v>
      </c>
      <c r="B10" s="4" t="s">
        <v>34</v>
      </c>
      <c r="C10" s="4">
        <v>68490</v>
      </c>
      <c r="D10" s="4" t="s">
        <v>76</v>
      </c>
      <c r="E10" s="4" t="s">
        <v>28</v>
      </c>
      <c r="F10" s="4" t="s">
        <v>77</v>
      </c>
    </row>
    <row r="11" spans="1:6" ht="16.5" customHeight="1" x14ac:dyDescent="0.25">
      <c r="A11" s="4" t="s">
        <v>35</v>
      </c>
      <c r="B11" s="4" t="s">
        <v>36</v>
      </c>
      <c r="C11" s="4">
        <v>20253</v>
      </c>
      <c r="D11" s="4" t="s">
        <v>60</v>
      </c>
      <c r="E11" s="4" t="s">
        <v>61</v>
      </c>
      <c r="F11" s="4" t="s">
        <v>62</v>
      </c>
    </row>
    <row r="12" spans="1:6" ht="16.5" customHeight="1" x14ac:dyDescent="0.25">
      <c r="A12" s="4" t="s">
        <v>38</v>
      </c>
      <c r="B12" s="4" t="s">
        <v>39</v>
      </c>
      <c r="C12" s="4">
        <v>75000</v>
      </c>
      <c r="D12" s="4" t="s">
        <v>40</v>
      </c>
      <c r="E12" s="4" t="s">
        <v>28</v>
      </c>
      <c r="F12" s="4"/>
    </row>
    <row r="13" spans="1:6" x14ac:dyDescent="0.25">
      <c r="A13" s="4" t="s">
        <v>41</v>
      </c>
      <c r="B13" s="4" t="s">
        <v>42</v>
      </c>
      <c r="C13" s="4">
        <v>19121</v>
      </c>
      <c r="D13" s="4" t="s">
        <v>67</v>
      </c>
      <c r="E13" s="4" t="s">
        <v>9</v>
      </c>
      <c r="F13" s="4" t="s">
        <v>77</v>
      </c>
    </row>
    <row r="14" spans="1:6" ht="16.5" customHeight="1" x14ac:dyDescent="0.25">
      <c r="A14" s="4" t="s">
        <v>43</v>
      </c>
      <c r="B14" s="4" t="s">
        <v>68</v>
      </c>
      <c r="C14" s="4">
        <v>5771</v>
      </c>
      <c r="D14" s="4" t="s">
        <v>69</v>
      </c>
      <c r="E14" s="4" t="s">
        <v>37</v>
      </c>
      <c r="F14" s="4" t="s">
        <v>70</v>
      </c>
    </row>
    <row r="15" spans="1:6" ht="16.5" customHeight="1" x14ac:dyDescent="0.25">
      <c r="A15" s="4" t="s">
        <v>44</v>
      </c>
      <c r="B15" s="4" t="s">
        <v>63</v>
      </c>
      <c r="C15" s="4" t="s">
        <v>64</v>
      </c>
      <c r="D15" s="4" t="s">
        <v>65</v>
      </c>
      <c r="E15" s="4" t="s">
        <v>165</v>
      </c>
      <c r="F15" s="4" t="s">
        <v>66</v>
      </c>
    </row>
    <row r="16" spans="1:6" ht="16.5" customHeight="1" x14ac:dyDescent="0.25">
      <c r="A16" s="4" t="s">
        <v>45</v>
      </c>
      <c r="B16" s="4" t="s">
        <v>46</v>
      </c>
      <c r="C16" s="4">
        <v>9000</v>
      </c>
      <c r="D16" s="4" t="s">
        <v>8</v>
      </c>
      <c r="E16" s="4" t="s">
        <v>9</v>
      </c>
      <c r="F16" s="4" t="s">
        <v>47</v>
      </c>
    </row>
    <row r="17" spans="1:6" ht="16.5" customHeight="1" x14ac:dyDescent="0.25">
      <c r="A17" s="4" t="s">
        <v>48</v>
      </c>
      <c r="B17" s="4" t="s">
        <v>49</v>
      </c>
      <c r="C17" s="4">
        <v>1500</v>
      </c>
      <c r="D17" s="4" t="s">
        <v>50</v>
      </c>
      <c r="E17" s="4" t="s">
        <v>51</v>
      </c>
      <c r="F17" s="4" t="s">
        <v>77</v>
      </c>
    </row>
    <row r="18" spans="1:6" ht="16.5" customHeight="1" x14ac:dyDescent="0.25">
      <c r="A18" s="4" t="s">
        <v>52</v>
      </c>
      <c r="B18" s="4" t="s">
        <v>53</v>
      </c>
      <c r="C18" s="4">
        <v>5520</v>
      </c>
      <c r="D18" s="4" t="s">
        <v>54</v>
      </c>
      <c r="E18" s="4" t="s">
        <v>51</v>
      </c>
      <c r="F18" s="4" t="s">
        <v>77</v>
      </c>
    </row>
    <row r="19" spans="1:6" ht="16.5" customHeight="1" x14ac:dyDescent="0.25">
      <c r="A19" s="4" t="s">
        <v>55</v>
      </c>
      <c r="B19" s="4" t="s">
        <v>56</v>
      </c>
      <c r="C19" s="4">
        <v>68740</v>
      </c>
      <c r="D19" s="4" t="s">
        <v>74</v>
      </c>
      <c r="E19" s="4" t="s">
        <v>28</v>
      </c>
      <c r="F19" s="4"/>
    </row>
    <row r="20" spans="1:6" ht="16.5" customHeight="1" x14ac:dyDescent="0.25">
      <c r="A20" s="4" t="s">
        <v>57</v>
      </c>
      <c r="B20" s="4" t="s">
        <v>58</v>
      </c>
      <c r="C20" s="4">
        <v>6650</v>
      </c>
      <c r="D20" s="4" t="s">
        <v>59</v>
      </c>
      <c r="E20" s="4" t="s">
        <v>9</v>
      </c>
      <c r="F20" s="4" t="s">
        <v>77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topLeftCell="A10" workbookViewId="0">
      <selection activeCell="B5" sqref="B5"/>
    </sheetView>
  </sheetViews>
  <sheetFormatPr baseColWidth="10" defaultRowHeight="15" x14ac:dyDescent="0.25"/>
  <cols>
    <col min="1" max="1" width="29" style="2" customWidth="1"/>
    <col min="2" max="2" width="27.5703125" style="2" customWidth="1"/>
    <col min="3" max="3" width="31.85546875" style="2" customWidth="1"/>
    <col min="4" max="16384" width="11.42578125" style="2"/>
  </cols>
  <sheetData>
    <row r="1" spans="1:3" x14ac:dyDescent="0.25">
      <c r="A1" s="65" t="s">
        <v>78</v>
      </c>
      <c r="B1" s="66"/>
      <c r="C1" s="67"/>
    </row>
    <row r="2" spans="1:3" x14ac:dyDescent="0.25">
      <c r="A2" s="4" t="s">
        <v>79</v>
      </c>
      <c r="B2" s="4" t="s">
        <v>80</v>
      </c>
      <c r="C2" s="4" t="s">
        <v>106</v>
      </c>
    </row>
    <row r="3" spans="1:3" x14ac:dyDescent="0.25">
      <c r="A3" s="4" t="s">
        <v>84</v>
      </c>
      <c r="B3" s="4" t="s">
        <v>111</v>
      </c>
      <c r="C3" s="4">
        <v>0.9</v>
      </c>
    </row>
    <row r="4" spans="1:3" ht="15.75" customHeight="1" x14ac:dyDescent="0.25">
      <c r="A4" s="4" t="s">
        <v>85</v>
      </c>
      <c r="B4" s="4" t="s">
        <v>112</v>
      </c>
      <c r="C4" s="4">
        <v>1.1499999999999999</v>
      </c>
    </row>
    <row r="5" spans="1:3" ht="15.75" customHeight="1" x14ac:dyDescent="0.25">
      <c r="A5" s="4" t="s">
        <v>86</v>
      </c>
      <c r="B5" s="4" t="s">
        <v>113</v>
      </c>
      <c r="C5" s="4">
        <v>1.25</v>
      </c>
    </row>
    <row r="6" spans="1:3" ht="15.75" customHeight="1" x14ac:dyDescent="0.25">
      <c r="A6" s="4" t="s">
        <v>87</v>
      </c>
      <c r="B6" s="4" t="s">
        <v>114</v>
      </c>
      <c r="C6" s="4">
        <v>1.9</v>
      </c>
    </row>
    <row r="7" spans="1:3" ht="15.75" customHeight="1" x14ac:dyDescent="0.25">
      <c r="A7" s="4" t="s">
        <v>107</v>
      </c>
      <c r="B7" s="4" t="s">
        <v>115</v>
      </c>
      <c r="C7" s="4">
        <v>1.55</v>
      </c>
    </row>
    <row r="8" spans="1:3" ht="15.75" customHeight="1" x14ac:dyDescent="0.25">
      <c r="A8" s="4" t="s">
        <v>108</v>
      </c>
      <c r="B8" s="4" t="s">
        <v>116</v>
      </c>
      <c r="C8" s="4">
        <v>1.6</v>
      </c>
    </row>
    <row r="9" spans="1:3" ht="15.75" customHeight="1" x14ac:dyDescent="0.25">
      <c r="A9" s="4" t="s">
        <v>109</v>
      </c>
      <c r="B9" s="4" t="s">
        <v>117</v>
      </c>
      <c r="C9" s="4">
        <v>1.55</v>
      </c>
    </row>
    <row r="10" spans="1:3" ht="15.75" customHeight="1" x14ac:dyDescent="0.25">
      <c r="A10" s="4" t="s">
        <v>110</v>
      </c>
      <c r="B10" s="4" t="s">
        <v>118</v>
      </c>
      <c r="C10" s="4">
        <v>1.65</v>
      </c>
    </row>
    <row r="11" spans="1:3" ht="15.75" customHeight="1" x14ac:dyDescent="0.25">
      <c r="A11" s="4" t="s">
        <v>88</v>
      </c>
      <c r="B11" s="4" t="s">
        <v>96</v>
      </c>
      <c r="C11" s="4">
        <v>12.5</v>
      </c>
    </row>
    <row r="12" spans="1:3" ht="15.75" customHeight="1" x14ac:dyDescent="0.25">
      <c r="A12" s="4" t="s">
        <v>89</v>
      </c>
      <c r="B12" s="4" t="s">
        <v>97</v>
      </c>
      <c r="C12" s="4">
        <v>10.55</v>
      </c>
    </row>
    <row r="13" spans="1:3" ht="15.75" customHeight="1" x14ac:dyDescent="0.25">
      <c r="A13" s="4" t="s">
        <v>129</v>
      </c>
      <c r="B13" s="4" t="s">
        <v>98</v>
      </c>
      <c r="C13" s="4">
        <v>8.65</v>
      </c>
    </row>
    <row r="14" spans="1:3" ht="15.75" customHeight="1" x14ac:dyDescent="0.25">
      <c r="A14" s="4" t="s">
        <v>90</v>
      </c>
      <c r="B14" s="4" t="s">
        <v>99</v>
      </c>
      <c r="C14" s="4">
        <v>17.27</v>
      </c>
    </row>
    <row r="15" spans="1:3" ht="15.75" customHeight="1" x14ac:dyDescent="0.25">
      <c r="A15" s="4" t="s">
        <v>91</v>
      </c>
      <c r="B15" s="4" t="s">
        <v>100</v>
      </c>
      <c r="C15" s="4">
        <v>4.38</v>
      </c>
    </row>
    <row r="16" spans="1:3" ht="15.75" customHeight="1" x14ac:dyDescent="0.25">
      <c r="A16" s="4" t="s">
        <v>92</v>
      </c>
      <c r="B16" s="4" t="s">
        <v>101</v>
      </c>
      <c r="C16" s="4">
        <v>15.5</v>
      </c>
    </row>
    <row r="17" spans="1:3" ht="15.75" customHeight="1" x14ac:dyDescent="0.25">
      <c r="A17" s="4" t="s">
        <v>93</v>
      </c>
      <c r="B17" s="4" t="s">
        <v>102</v>
      </c>
      <c r="C17" s="4">
        <v>11.85</v>
      </c>
    </row>
    <row r="18" spans="1:3" ht="15.75" customHeight="1" x14ac:dyDescent="0.25">
      <c r="A18" s="4" t="s">
        <v>94</v>
      </c>
      <c r="B18" s="4" t="s">
        <v>103</v>
      </c>
      <c r="C18" s="4">
        <v>14.73</v>
      </c>
    </row>
    <row r="19" spans="1:3" ht="15.75" customHeight="1" x14ac:dyDescent="0.25">
      <c r="A19" s="4" t="s">
        <v>95</v>
      </c>
      <c r="B19" s="4" t="s">
        <v>104</v>
      </c>
      <c r="C19" s="4">
        <v>17</v>
      </c>
    </row>
    <row r="20" spans="1:3" ht="15.75" customHeight="1" x14ac:dyDescent="0.25">
      <c r="A20" s="4" t="s">
        <v>130</v>
      </c>
      <c r="B20" s="4" t="s">
        <v>81</v>
      </c>
      <c r="C20" s="4">
        <v>4.9000000000000004</v>
      </c>
    </row>
    <row r="21" spans="1:3" ht="15.75" customHeight="1" x14ac:dyDescent="0.25">
      <c r="A21" s="4" t="s">
        <v>131</v>
      </c>
      <c r="B21" s="4" t="s">
        <v>105</v>
      </c>
      <c r="C21" s="4">
        <v>4.9000000000000004</v>
      </c>
    </row>
    <row r="22" spans="1:3" ht="15.75" customHeight="1" x14ac:dyDescent="0.25">
      <c r="A22" s="4" t="s">
        <v>132</v>
      </c>
      <c r="B22" s="4" t="s">
        <v>82</v>
      </c>
      <c r="C22" s="4">
        <v>2.2000000000000002</v>
      </c>
    </row>
    <row r="23" spans="1:3" ht="15.75" customHeight="1" x14ac:dyDescent="0.25">
      <c r="A23" s="4" t="s">
        <v>133</v>
      </c>
      <c r="B23" s="4" t="s">
        <v>83</v>
      </c>
      <c r="C23" s="4">
        <v>2.2000000000000002</v>
      </c>
    </row>
    <row r="24" spans="1:3" ht="15.75" customHeight="1" x14ac:dyDescent="0.25"/>
    <row r="25" spans="1:3" x14ac:dyDescent="0.25">
      <c r="A25" s="3"/>
      <c r="B25" s="1"/>
      <c r="C25" s="1"/>
    </row>
  </sheetData>
  <mergeCells count="1">
    <mergeCell ref="A1:C1"/>
  </mergeCells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workbookViewId="0">
      <selection activeCell="G3" sqref="G3"/>
    </sheetView>
  </sheetViews>
  <sheetFormatPr baseColWidth="10" defaultRowHeight="15" x14ac:dyDescent="0.25"/>
  <cols>
    <col min="1" max="1" width="13.85546875" style="90" customWidth="1"/>
    <col min="2" max="2" width="14" style="90" customWidth="1"/>
    <col min="3" max="3" width="13.7109375" style="90" customWidth="1"/>
    <col min="4" max="4" width="13" style="90" customWidth="1"/>
    <col min="5" max="5" width="17.5703125" style="90" customWidth="1"/>
    <col min="6" max="6" width="14" style="90" customWidth="1"/>
    <col min="7" max="16384" width="11.42578125" style="90"/>
  </cols>
  <sheetData>
    <row r="1" spans="1:7" x14ac:dyDescent="0.25">
      <c r="A1" s="89" t="s">
        <v>163</v>
      </c>
      <c r="B1" s="89"/>
      <c r="C1" s="89"/>
      <c r="D1" s="89"/>
      <c r="E1" s="89"/>
      <c r="F1" s="89"/>
    </row>
    <row r="2" spans="1:7" ht="45" x14ac:dyDescent="0.25">
      <c r="A2" s="91" t="s">
        <v>121</v>
      </c>
      <c r="B2" s="91" t="s">
        <v>119</v>
      </c>
      <c r="C2" s="91" t="s">
        <v>120</v>
      </c>
      <c r="D2" s="91" t="s">
        <v>0</v>
      </c>
      <c r="E2" s="91" t="s">
        <v>150</v>
      </c>
      <c r="F2" s="91" t="s">
        <v>122</v>
      </c>
      <c r="G2" s="91" t="s">
        <v>167</v>
      </c>
    </row>
    <row r="3" spans="1:7" x14ac:dyDescent="0.25">
      <c r="A3" s="91" t="s">
        <v>134</v>
      </c>
      <c r="B3" s="92">
        <v>43374</v>
      </c>
      <c r="C3" s="92">
        <v>43407</v>
      </c>
      <c r="D3" s="91" t="s">
        <v>35</v>
      </c>
      <c r="E3" s="91" t="s">
        <v>185</v>
      </c>
      <c r="F3" s="91">
        <v>100</v>
      </c>
      <c r="G3" s="91" t="s">
        <v>168</v>
      </c>
    </row>
    <row r="4" spans="1:7" x14ac:dyDescent="0.25">
      <c r="A4" s="91" t="s">
        <v>135</v>
      </c>
      <c r="B4" s="92">
        <v>43388</v>
      </c>
      <c r="C4" s="92">
        <v>43409</v>
      </c>
      <c r="D4" s="91" t="s">
        <v>22</v>
      </c>
      <c r="E4" s="91" t="s">
        <v>185</v>
      </c>
      <c r="F4" s="91">
        <v>800</v>
      </c>
      <c r="G4" s="91" t="s">
        <v>169</v>
      </c>
    </row>
    <row r="5" spans="1:7" x14ac:dyDescent="0.25">
      <c r="A5" s="91" t="s">
        <v>136</v>
      </c>
      <c r="B5" s="92">
        <v>43407</v>
      </c>
      <c r="C5" s="92">
        <v>43409</v>
      </c>
      <c r="D5" s="91" t="s">
        <v>41</v>
      </c>
      <c r="E5" s="91" t="s">
        <v>186</v>
      </c>
      <c r="F5" s="91">
        <v>0</v>
      </c>
      <c r="G5" s="91" t="s">
        <v>170</v>
      </c>
    </row>
    <row r="6" spans="1:7" x14ac:dyDescent="0.25">
      <c r="A6" s="91" t="s">
        <v>137</v>
      </c>
      <c r="B6" s="92">
        <v>43398</v>
      </c>
      <c r="C6" s="92">
        <v>43411</v>
      </c>
      <c r="D6" s="91" t="s">
        <v>11</v>
      </c>
      <c r="E6" s="91" t="s">
        <v>149</v>
      </c>
      <c r="F6" s="91">
        <v>100</v>
      </c>
      <c r="G6" s="91" t="s">
        <v>171</v>
      </c>
    </row>
    <row r="7" spans="1:7" x14ac:dyDescent="0.25">
      <c r="A7" s="91" t="s">
        <v>138</v>
      </c>
      <c r="B7" s="92">
        <v>43398</v>
      </c>
      <c r="C7" s="92">
        <v>43411</v>
      </c>
      <c r="D7" s="91" t="s">
        <v>33</v>
      </c>
      <c r="E7" s="91" t="s">
        <v>149</v>
      </c>
      <c r="F7" s="91">
        <v>1200</v>
      </c>
      <c r="G7" s="91" t="s">
        <v>172</v>
      </c>
    </row>
    <row r="8" spans="1:7" x14ac:dyDescent="0.25">
      <c r="A8" s="91" t="s">
        <v>139</v>
      </c>
      <c r="B8" s="92">
        <v>43413</v>
      </c>
      <c r="C8" s="92">
        <v>43415</v>
      </c>
      <c r="D8" s="91" t="s">
        <v>41</v>
      </c>
      <c r="E8" s="91" t="s">
        <v>149</v>
      </c>
      <c r="F8" s="91">
        <v>0</v>
      </c>
      <c r="G8" s="91" t="s">
        <v>173</v>
      </c>
    </row>
    <row r="9" spans="1:7" x14ac:dyDescent="0.25">
      <c r="A9" s="91" t="s">
        <v>140</v>
      </c>
      <c r="B9" s="92">
        <v>43405</v>
      </c>
      <c r="C9" s="92">
        <v>43415</v>
      </c>
      <c r="D9" s="91" t="s">
        <v>31</v>
      </c>
      <c r="E9" s="91" t="s">
        <v>151</v>
      </c>
      <c r="F9" s="91">
        <v>50</v>
      </c>
      <c r="G9" s="91" t="s">
        <v>174</v>
      </c>
    </row>
    <row r="10" spans="1:7" x14ac:dyDescent="0.25">
      <c r="A10" s="91" t="s">
        <v>141</v>
      </c>
      <c r="B10" s="92">
        <v>43412</v>
      </c>
      <c r="C10" s="92">
        <v>43419</v>
      </c>
      <c r="D10" s="91" t="s">
        <v>52</v>
      </c>
      <c r="E10" s="91" t="s">
        <v>149</v>
      </c>
      <c r="F10" s="91">
        <v>100</v>
      </c>
      <c r="G10" s="91" t="s">
        <v>175</v>
      </c>
    </row>
    <row r="11" spans="1:7" x14ac:dyDescent="0.25">
      <c r="A11" s="91" t="s">
        <v>142</v>
      </c>
      <c r="B11" s="92">
        <v>43415</v>
      </c>
      <c r="C11" s="92">
        <v>43419</v>
      </c>
      <c r="D11" s="91" t="s">
        <v>13</v>
      </c>
      <c r="E11" s="92">
        <v>43434</v>
      </c>
      <c r="F11" s="91">
        <v>0</v>
      </c>
      <c r="G11" s="91" t="s">
        <v>176</v>
      </c>
    </row>
    <row r="12" spans="1:7" x14ac:dyDescent="0.25">
      <c r="A12" s="91" t="s">
        <v>143</v>
      </c>
      <c r="B12" s="92">
        <v>43419</v>
      </c>
      <c r="C12" s="92">
        <v>43424</v>
      </c>
      <c r="D12" s="91" t="s">
        <v>55</v>
      </c>
      <c r="E12" s="92">
        <v>43434</v>
      </c>
      <c r="F12" s="91">
        <v>150</v>
      </c>
      <c r="G12" s="91" t="s">
        <v>177</v>
      </c>
    </row>
    <row r="13" spans="1:7" x14ac:dyDescent="0.25">
      <c r="A13" s="91" t="s">
        <v>144</v>
      </c>
      <c r="B13" s="92">
        <v>43419</v>
      </c>
      <c r="C13" s="92">
        <v>43424</v>
      </c>
      <c r="D13" s="91" t="s">
        <v>55</v>
      </c>
      <c r="E13" s="92">
        <v>43434</v>
      </c>
      <c r="F13" s="91">
        <v>250</v>
      </c>
      <c r="G13" s="91" t="s">
        <v>178</v>
      </c>
    </row>
    <row r="14" spans="1:7" x14ac:dyDescent="0.25">
      <c r="A14" s="91" t="s">
        <v>145</v>
      </c>
      <c r="B14" s="92">
        <v>43419</v>
      </c>
      <c r="C14" s="92">
        <v>43430</v>
      </c>
      <c r="D14" s="91" t="s">
        <v>57</v>
      </c>
      <c r="E14" s="91" t="s">
        <v>149</v>
      </c>
      <c r="F14" s="91">
        <v>0</v>
      </c>
      <c r="G14" s="91" t="s">
        <v>179</v>
      </c>
    </row>
    <row r="15" spans="1:7" x14ac:dyDescent="0.25">
      <c r="A15" s="91" t="s">
        <v>146</v>
      </c>
      <c r="B15" s="92">
        <v>43419</v>
      </c>
      <c r="C15" s="92">
        <v>43430</v>
      </c>
      <c r="D15" s="91" t="s">
        <v>33</v>
      </c>
      <c r="E15" s="91" t="s">
        <v>149</v>
      </c>
      <c r="F15" s="91">
        <v>0</v>
      </c>
      <c r="G15" s="91" t="s">
        <v>180</v>
      </c>
    </row>
    <row r="16" spans="1:7" x14ac:dyDescent="0.25">
      <c r="A16" s="91" t="s">
        <v>147</v>
      </c>
      <c r="B16" s="92">
        <v>43419</v>
      </c>
      <c r="C16" s="92">
        <v>43432</v>
      </c>
      <c r="D16" s="91" t="s">
        <v>33</v>
      </c>
      <c r="E16" s="91" t="s">
        <v>149</v>
      </c>
      <c r="F16" s="91">
        <v>400</v>
      </c>
      <c r="G16" s="91" t="s">
        <v>181</v>
      </c>
    </row>
    <row r="17" spans="1:7" x14ac:dyDescent="0.25">
      <c r="A17" s="91" t="s">
        <v>148</v>
      </c>
      <c r="B17" s="92">
        <v>43420</v>
      </c>
      <c r="C17" s="92">
        <v>43434</v>
      </c>
      <c r="D17" s="91" t="s">
        <v>41</v>
      </c>
      <c r="E17" s="91" t="s">
        <v>149</v>
      </c>
      <c r="F17" s="91">
        <v>100</v>
      </c>
      <c r="G17" s="91" t="s">
        <v>182</v>
      </c>
    </row>
  </sheetData>
  <mergeCells count="1">
    <mergeCell ref="A1:F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workbookViewId="0">
      <selection activeCell="B19" sqref="B19"/>
    </sheetView>
  </sheetViews>
  <sheetFormatPr baseColWidth="10" defaultRowHeight="15" x14ac:dyDescent="0.25"/>
  <cols>
    <col min="1" max="1" width="13.28515625" style="2" customWidth="1"/>
    <col min="2" max="2" width="13.42578125" style="2" customWidth="1"/>
    <col min="3" max="3" width="14" style="2" customWidth="1"/>
    <col min="4" max="4" width="13.28515625" style="2" customWidth="1"/>
    <col min="5" max="5" width="13.42578125" style="2" customWidth="1"/>
    <col min="6" max="6" width="13.28515625" style="2" customWidth="1"/>
    <col min="7" max="7" width="14.140625" style="2" customWidth="1"/>
    <col min="8" max="8" width="13.28515625" style="2" customWidth="1"/>
    <col min="9" max="9" width="13.42578125" style="2" customWidth="1"/>
    <col min="10" max="10" width="13.140625" style="2" customWidth="1"/>
    <col min="11" max="11" width="13.85546875" style="2" customWidth="1"/>
    <col min="12" max="16384" width="11.42578125" style="2"/>
  </cols>
  <sheetData>
    <row r="1" spans="1:11" x14ac:dyDescent="0.25">
      <c r="A1" s="68" t="s">
        <v>164</v>
      </c>
      <c r="B1" s="68"/>
      <c r="C1" s="68"/>
      <c r="D1" s="68"/>
      <c r="E1" s="68"/>
      <c r="F1" s="68"/>
      <c r="G1" s="68"/>
      <c r="H1" s="68"/>
      <c r="I1" s="68"/>
      <c r="J1" s="68"/>
      <c r="K1" s="68"/>
    </row>
    <row r="2" spans="1:11" ht="31.5" x14ac:dyDescent="0.25">
      <c r="A2" s="5" t="s">
        <v>121</v>
      </c>
      <c r="B2" s="5" t="s">
        <v>123</v>
      </c>
      <c r="C2" s="5" t="s">
        <v>124</v>
      </c>
      <c r="D2" s="5" t="s">
        <v>125</v>
      </c>
      <c r="E2" s="5" t="s">
        <v>124</v>
      </c>
      <c r="F2" s="6" t="s">
        <v>126</v>
      </c>
      <c r="G2" s="5" t="s">
        <v>124</v>
      </c>
      <c r="H2" s="5" t="s">
        <v>127</v>
      </c>
      <c r="I2" s="5" t="s">
        <v>124</v>
      </c>
      <c r="J2" s="5" t="s">
        <v>128</v>
      </c>
      <c r="K2" s="5" t="s">
        <v>124</v>
      </c>
    </row>
    <row r="3" spans="1:11" x14ac:dyDescent="0.25">
      <c r="A3" s="4" t="s">
        <v>134</v>
      </c>
      <c r="B3" s="4" t="s">
        <v>84</v>
      </c>
      <c r="C3" s="4">
        <v>260</v>
      </c>
      <c r="D3" s="4" t="s">
        <v>91</v>
      </c>
      <c r="E3" s="4">
        <v>10</v>
      </c>
      <c r="F3" s="4"/>
      <c r="G3" s="4"/>
      <c r="H3" s="4"/>
      <c r="I3" s="4"/>
      <c r="J3" s="4"/>
      <c r="K3" s="4"/>
    </row>
    <row r="4" spans="1:11" x14ac:dyDescent="0.25">
      <c r="A4" s="4" t="s">
        <v>135</v>
      </c>
      <c r="B4" s="4" t="s">
        <v>86</v>
      </c>
      <c r="C4" s="4">
        <v>850</v>
      </c>
      <c r="D4" s="4" t="s">
        <v>109</v>
      </c>
      <c r="E4" s="4">
        <v>100</v>
      </c>
      <c r="F4" s="4" t="s">
        <v>129</v>
      </c>
      <c r="G4" s="4">
        <v>8</v>
      </c>
      <c r="H4" s="4" t="s">
        <v>93</v>
      </c>
      <c r="I4" s="4">
        <v>22</v>
      </c>
      <c r="J4" s="4" t="s">
        <v>88</v>
      </c>
      <c r="K4" s="4">
        <v>2</v>
      </c>
    </row>
    <row r="5" spans="1:11" x14ac:dyDescent="0.25">
      <c r="A5" s="4" t="s">
        <v>136</v>
      </c>
      <c r="B5" s="4" t="s">
        <v>110</v>
      </c>
      <c r="C5" s="4">
        <v>12</v>
      </c>
      <c r="D5" s="4" t="s">
        <v>85</v>
      </c>
      <c r="E5" s="4">
        <v>80</v>
      </c>
      <c r="F5" s="4"/>
      <c r="G5" s="4"/>
      <c r="H5" s="4"/>
      <c r="I5" s="4"/>
      <c r="J5" s="4"/>
      <c r="K5" s="4"/>
    </row>
    <row r="6" spans="1:11" x14ac:dyDescent="0.25">
      <c r="A6" s="4" t="s">
        <v>137</v>
      </c>
      <c r="B6" s="4" t="s">
        <v>130</v>
      </c>
      <c r="C6" s="4">
        <v>50</v>
      </c>
      <c r="D6" s="4" t="s">
        <v>131</v>
      </c>
      <c r="E6" s="4">
        <v>100</v>
      </c>
      <c r="F6" s="4"/>
      <c r="G6" s="4"/>
      <c r="H6" s="4"/>
      <c r="I6" s="4"/>
      <c r="J6" s="4"/>
      <c r="K6" s="4"/>
    </row>
    <row r="7" spans="1:11" x14ac:dyDescent="0.25">
      <c r="A7" s="4" t="s">
        <v>138</v>
      </c>
      <c r="B7" s="4" t="s">
        <v>86</v>
      </c>
      <c r="C7" s="4">
        <v>2500</v>
      </c>
      <c r="D7" s="4" t="s">
        <v>109</v>
      </c>
      <c r="E7" s="4">
        <v>500</v>
      </c>
      <c r="F7" s="4" t="s">
        <v>91</v>
      </c>
      <c r="G7" s="4">
        <v>300</v>
      </c>
      <c r="H7" s="4"/>
      <c r="I7" s="4"/>
      <c r="J7" s="4"/>
      <c r="K7" s="4"/>
    </row>
    <row r="8" spans="1:11" x14ac:dyDescent="0.25">
      <c r="A8" s="4" t="s">
        <v>139</v>
      </c>
      <c r="B8" s="4" t="s">
        <v>88</v>
      </c>
      <c r="C8" s="4">
        <v>8</v>
      </c>
      <c r="D8" s="4" t="s">
        <v>89</v>
      </c>
      <c r="E8" s="4">
        <v>8</v>
      </c>
      <c r="F8" s="4"/>
      <c r="G8" s="4"/>
      <c r="H8" s="4"/>
      <c r="I8" s="4"/>
      <c r="J8" s="4"/>
      <c r="K8" s="4"/>
    </row>
    <row r="9" spans="1:11" x14ac:dyDescent="0.25">
      <c r="A9" s="4" t="s">
        <v>140</v>
      </c>
      <c r="B9" s="4" t="s">
        <v>92</v>
      </c>
      <c r="C9" s="4">
        <v>3</v>
      </c>
      <c r="D9" s="4" t="s">
        <v>133</v>
      </c>
      <c r="E9" s="4">
        <v>25</v>
      </c>
      <c r="F9" s="4"/>
      <c r="G9" s="4"/>
      <c r="H9" s="4"/>
      <c r="I9" s="4"/>
      <c r="J9" s="4"/>
      <c r="K9" s="4"/>
    </row>
    <row r="10" spans="1:11" x14ac:dyDescent="0.25">
      <c r="A10" s="4" t="s">
        <v>141</v>
      </c>
      <c r="B10" s="4" t="s">
        <v>130</v>
      </c>
      <c r="C10" s="4">
        <v>10</v>
      </c>
      <c r="D10" s="4" t="s">
        <v>131</v>
      </c>
      <c r="E10" s="4">
        <v>10</v>
      </c>
      <c r="F10" s="4" t="s">
        <v>132</v>
      </c>
      <c r="G10" s="4">
        <v>10</v>
      </c>
      <c r="H10" s="4" t="s">
        <v>133</v>
      </c>
      <c r="I10" s="4">
        <v>10</v>
      </c>
      <c r="J10" s="4" t="s">
        <v>109</v>
      </c>
      <c r="K10" s="4">
        <v>10</v>
      </c>
    </row>
    <row r="11" spans="1:11" x14ac:dyDescent="0.25">
      <c r="A11" s="4" t="s">
        <v>142</v>
      </c>
      <c r="B11" s="4" t="s">
        <v>93</v>
      </c>
      <c r="C11" s="4">
        <v>50</v>
      </c>
      <c r="D11" s="4"/>
      <c r="E11" s="4"/>
      <c r="F11" s="4"/>
      <c r="G11" s="4"/>
      <c r="H11" s="4"/>
      <c r="I11" s="4"/>
      <c r="J11" s="4"/>
      <c r="K11" s="4"/>
    </row>
    <row r="12" spans="1:11" x14ac:dyDescent="0.25">
      <c r="A12" s="4" t="s">
        <v>143</v>
      </c>
      <c r="B12" s="4" t="s">
        <v>90</v>
      </c>
      <c r="C12" s="4">
        <v>12</v>
      </c>
      <c r="D12" s="4" t="s">
        <v>91</v>
      </c>
      <c r="E12" s="4">
        <v>12</v>
      </c>
      <c r="F12" s="4" t="s">
        <v>92</v>
      </c>
      <c r="G12" s="4">
        <v>12</v>
      </c>
      <c r="H12" s="4"/>
      <c r="I12" s="4"/>
      <c r="J12" s="4"/>
      <c r="K12" s="4"/>
    </row>
    <row r="13" spans="1:11" x14ac:dyDescent="0.25">
      <c r="A13" s="4" t="s">
        <v>144</v>
      </c>
      <c r="B13" s="4" t="s">
        <v>86</v>
      </c>
      <c r="C13" s="4">
        <v>560</v>
      </c>
      <c r="D13" s="4" t="s">
        <v>109</v>
      </c>
      <c r="E13" s="4">
        <v>85</v>
      </c>
      <c r="F13" s="4" t="s">
        <v>129</v>
      </c>
      <c r="G13" s="4">
        <v>60</v>
      </c>
      <c r="H13" s="4" t="s">
        <v>93</v>
      </c>
      <c r="I13" s="4">
        <v>12</v>
      </c>
      <c r="J13" s="4" t="s">
        <v>88</v>
      </c>
      <c r="K13" s="4">
        <v>4</v>
      </c>
    </row>
    <row r="14" spans="1:11" x14ac:dyDescent="0.25">
      <c r="A14" s="4" t="s">
        <v>145</v>
      </c>
      <c r="B14" s="4" t="s">
        <v>110</v>
      </c>
      <c r="C14" s="4">
        <v>8</v>
      </c>
      <c r="D14" s="4" t="s">
        <v>93</v>
      </c>
      <c r="E14" s="4">
        <v>10</v>
      </c>
      <c r="F14" s="4"/>
      <c r="G14" s="4"/>
      <c r="H14" s="4"/>
      <c r="I14" s="4"/>
      <c r="J14" s="4"/>
      <c r="K14" s="4"/>
    </row>
    <row r="15" spans="1:11" x14ac:dyDescent="0.25">
      <c r="A15" s="4" t="s">
        <v>146</v>
      </c>
      <c r="B15" s="4" t="s">
        <v>85</v>
      </c>
      <c r="C15" s="4">
        <v>500</v>
      </c>
      <c r="D15" s="4" t="s">
        <v>109</v>
      </c>
      <c r="E15" s="4">
        <v>80</v>
      </c>
      <c r="F15" s="4" t="s">
        <v>89</v>
      </c>
      <c r="G15" s="4">
        <v>4</v>
      </c>
      <c r="H15" s="4"/>
      <c r="I15" s="4"/>
      <c r="J15" s="4"/>
      <c r="K15" s="4"/>
    </row>
    <row r="16" spans="1:11" x14ac:dyDescent="0.25">
      <c r="A16" s="4" t="s">
        <v>147</v>
      </c>
      <c r="B16" s="4" t="s">
        <v>133</v>
      </c>
      <c r="C16" s="4">
        <v>100</v>
      </c>
      <c r="D16" s="4" t="s">
        <v>84</v>
      </c>
      <c r="E16" s="4">
        <v>100</v>
      </c>
      <c r="F16" s="4" t="s">
        <v>85</v>
      </c>
      <c r="G16" s="4">
        <v>50</v>
      </c>
      <c r="H16" s="4" t="s">
        <v>89</v>
      </c>
      <c r="I16" s="4">
        <v>12</v>
      </c>
      <c r="J16" s="4"/>
      <c r="K16" s="4"/>
    </row>
    <row r="17" spans="1:11" x14ac:dyDescent="0.25">
      <c r="A17" s="4" t="s">
        <v>148</v>
      </c>
      <c r="B17" s="4" t="s">
        <v>133</v>
      </c>
      <c r="C17" s="4">
        <v>120</v>
      </c>
      <c r="D17" s="4" t="s">
        <v>132</v>
      </c>
      <c r="E17" s="4">
        <v>120</v>
      </c>
      <c r="F17" s="4"/>
      <c r="G17" s="4"/>
      <c r="H17" s="4"/>
      <c r="I17" s="4"/>
      <c r="J17" s="4"/>
      <c r="K17" s="4"/>
    </row>
  </sheetData>
  <mergeCells count="1">
    <mergeCell ref="A1:K1"/>
  </mergeCells>
  <pageMargins left="0.7" right="0.7" top="0.75" bottom="0.75" header="0.3" footer="0.3"/>
  <pageSetup paperSize="9" orientation="landscape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"/>
  <sheetViews>
    <sheetView showZeros="0" tabSelected="1" zoomScaleNormal="100" workbookViewId="0">
      <selection activeCell="B14" sqref="B14"/>
    </sheetView>
  </sheetViews>
  <sheetFormatPr baseColWidth="10" defaultRowHeight="15" x14ac:dyDescent="0.25"/>
  <cols>
    <col min="1" max="1" width="21.42578125" style="8" customWidth="1"/>
    <col min="2" max="2" width="27.140625" style="8" customWidth="1"/>
    <col min="3" max="3" width="21.42578125" style="8" customWidth="1"/>
    <col min="4" max="4" width="21.5703125" style="8" customWidth="1"/>
    <col min="5" max="5" width="20" style="8" customWidth="1"/>
    <col min="6" max="6" width="23.42578125" style="8" customWidth="1"/>
    <col min="7" max="7" width="25.7109375" style="8" customWidth="1"/>
    <col min="8" max="8" width="37.5703125" style="8" customWidth="1"/>
    <col min="9" max="16384" width="11.42578125" style="8"/>
  </cols>
  <sheetData>
    <row r="1" spans="1:9" ht="15" customHeight="1" x14ac:dyDescent="0.25">
      <c r="A1" s="73"/>
      <c r="B1" s="73"/>
      <c r="C1" s="13"/>
      <c r="D1" s="69"/>
      <c r="E1" s="69"/>
      <c r="F1" s="7"/>
      <c r="G1" s="7"/>
    </row>
    <row r="2" spans="1:9" ht="41.25" customHeight="1" x14ac:dyDescent="0.25">
      <c r="A2" s="70"/>
      <c r="B2" s="70"/>
      <c r="C2" s="10"/>
      <c r="D2" s="11"/>
      <c r="E2" s="74" t="s">
        <v>193</v>
      </c>
      <c r="F2" s="75"/>
      <c r="G2" s="7"/>
    </row>
    <row r="3" spans="1:9" ht="37.5" customHeight="1" x14ac:dyDescent="0.3">
      <c r="A3" s="71"/>
      <c r="B3" s="71"/>
      <c r="C3" s="10"/>
      <c r="D3" s="40" t="s">
        <v>183</v>
      </c>
      <c r="E3" s="41" t="str">
        <f>VLOOKUP(B14,'Fichier des commandes'!A2:G17,7,FALSE)</f>
        <v>1112-10</v>
      </c>
      <c r="F3" s="22"/>
      <c r="G3" s="7"/>
    </row>
    <row r="4" spans="1:9" ht="11.25" customHeight="1" x14ac:dyDescent="0.3">
      <c r="A4" s="71"/>
      <c r="B4" s="71"/>
      <c r="C4" s="10"/>
      <c r="D4" s="24"/>
      <c r="E4" s="25"/>
      <c r="F4" s="23"/>
      <c r="G4" s="7"/>
    </row>
    <row r="5" spans="1:9" ht="15.75" customHeight="1" x14ac:dyDescent="0.25">
      <c r="A5" s="72"/>
      <c r="B5" s="72"/>
      <c r="C5" s="10"/>
      <c r="D5" s="13"/>
      <c r="E5" s="43"/>
      <c r="F5" s="21"/>
      <c r="G5" s="7"/>
    </row>
    <row r="6" spans="1:9" ht="15" customHeight="1" x14ac:dyDescent="0.25">
      <c r="A6" s="72" t="s">
        <v>166</v>
      </c>
      <c r="B6" s="72"/>
      <c r="C6" s="10"/>
      <c r="D6" s="13"/>
      <c r="E6" s="85" t="str">
        <f>VLOOKUP(B14,'Fichier des commandes'!A3:F1000,4,FALSE)</f>
        <v>Vitari</v>
      </c>
      <c r="F6" s="86"/>
      <c r="G6" s="7"/>
    </row>
    <row r="7" spans="1:9" ht="15" customHeight="1" x14ac:dyDescent="0.25">
      <c r="A7" s="81" t="s">
        <v>190</v>
      </c>
      <c r="B7" s="81"/>
      <c r="C7" s="10"/>
      <c r="D7" s="10"/>
      <c r="E7" s="83" t="str">
        <f>VLOOKUP(E6,Clients!A1:F20,2,FALSE)</f>
        <v>65 rue de Soissons</v>
      </c>
      <c r="F7" s="84"/>
    </row>
    <row r="8" spans="1:9" ht="16.5" x14ac:dyDescent="0.25">
      <c r="A8" s="82" t="s">
        <v>191</v>
      </c>
      <c r="B8" s="82"/>
      <c r="C8" s="10"/>
      <c r="D8" s="13"/>
      <c r="E8" s="44">
        <f>VLOOKUP($E$6,Clients!A1:F20,3,FALSE)</f>
        <v>68740</v>
      </c>
      <c r="F8" s="45" t="str">
        <f>VLOOKUP($E$6,Clients!A1:F20,4,FALSE)</f>
        <v>Munch House</v>
      </c>
      <c r="G8" s="9"/>
    </row>
    <row r="9" spans="1:9" ht="16.5" x14ac:dyDescent="0.25">
      <c r="A9" s="82" t="s">
        <v>192</v>
      </c>
      <c r="B9" s="82"/>
      <c r="C9" s="13"/>
      <c r="D9" s="42"/>
      <c r="E9" s="83" t="str">
        <f>VLOOKUP($E$6,Clients!A1:F20,5,FALSE)</f>
        <v>France</v>
      </c>
      <c r="F9" s="84"/>
      <c r="H9" s="9"/>
    </row>
    <row r="10" spans="1:9" ht="15.75" x14ac:dyDescent="0.25">
      <c r="A10" s="77" t="s">
        <v>194</v>
      </c>
      <c r="B10" s="77"/>
      <c r="C10" s="13"/>
      <c r="D10" s="42"/>
      <c r="E10" s="87">
        <f>VLOOKUP($E$6,Clients!A1:F20,6,FALSE)</f>
        <v>0</v>
      </c>
      <c r="F10" s="88"/>
      <c r="H10" s="9"/>
      <c r="I10" s="9"/>
    </row>
    <row r="11" spans="1:9" ht="22.5" customHeight="1" x14ac:dyDescent="0.25">
      <c r="A11" s="15"/>
      <c r="B11" s="19"/>
      <c r="C11" s="13"/>
      <c r="D11" s="14"/>
      <c r="E11" s="12"/>
      <c r="F11" s="7"/>
      <c r="G11" s="7"/>
      <c r="H11" s="9"/>
      <c r="I11" s="9"/>
    </row>
    <row r="12" spans="1:9" ht="22.5" customHeight="1" x14ac:dyDescent="0.25">
      <c r="A12" s="15"/>
      <c r="B12" s="18"/>
      <c r="C12" s="13"/>
      <c r="D12" s="49"/>
      <c r="E12" s="48"/>
      <c r="F12" s="7"/>
      <c r="H12" s="9"/>
      <c r="I12" s="9"/>
    </row>
    <row r="13" spans="1:9" ht="37.5" customHeight="1" x14ac:dyDescent="0.25">
      <c r="A13" s="13"/>
      <c r="B13" s="62" t="s">
        <v>121</v>
      </c>
      <c r="C13" s="63" t="s">
        <v>187</v>
      </c>
      <c r="D13" s="62" t="s">
        <v>152</v>
      </c>
      <c r="E13" s="64" t="s">
        <v>153</v>
      </c>
      <c r="F13" s="7"/>
      <c r="H13" s="9"/>
      <c r="I13" s="9"/>
    </row>
    <row r="14" spans="1:9" ht="37.5" customHeight="1" x14ac:dyDescent="0.25">
      <c r="A14" s="12"/>
      <c r="B14" s="47" t="s">
        <v>143</v>
      </c>
      <c r="C14" s="46">
        <f>VLOOKUP(B14,'Fichier des commandes'!A1:F17,3,FALSE)</f>
        <v>43424</v>
      </c>
      <c r="D14" s="47">
        <f>VLOOKUP(B14,'Fichier des commandes'!$A$1:$F$1000,2,FALSE)</f>
        <v>43419</v>
      </c>
      <c r="E14" s="26">
        <f>VLOOKUP(B14,'Fichier des commandes'!$A$2:$F$1000,5,FALSE)</f>
        <v>43434</v>
      </c>
      <c r="F14" s="7"/>
      <c r="H14" s="9"/>
      <c r="I14" s="9"/>
    </row>
    <row r="15" spans="1:9" ht="37.5" customHeight="1" x14ac:dyDescent="0.25">
      <c r="A15" s="16"/>
      <c r="B15" s="16"/>
      <c r="C15" s="13"/>
      <c r="D15" s="13"/>
      <c r="E15" s="16"/>
      <c r="F15" s="7"/>
    </row>
    <row r="16" spans="1:9" ht="37.5" customHeight="1" x14ac:dyDescent="0.25">
      <c r="A16" s="34" t="s">
        <v>154</v>
      </c>
      <c r="B16" s="35" t="s">
        <v>80</v>
      </c>
      <c r="C16" s="61" t="s">
        <v>196</v>
      </c>
      <c r="D16" s="36" t="s">
        <v>155</v>
      </c>
      <c r="E16" s="34" t="s">
        <v>156</v>
      </c>
      <c r="F16" s="7"/>
    </row>
    <row r="17" spans="1:7" ht="37.5" customHeight="1" x14ac:dyDescent="0.25">
      <c r="A17" s="28" t="str">
        <f>IFERROR(VLOOKUP(B14,'Commandes passées'!$A$3:$K$1000,2,FALSE),"")</f>
        <v>C001</v>
      </c>
      <c r="B17" s="29" t="str">
        <f>IFERROR(VLOOKUP($A$17,Produits!$A$1:$C$23,2,FALSE),"")</f>
        <v>Ciment prompt sac 25 kgs</v>
      </c>
      <c r="C17" s="27">
        <f>IFERROR(VLOOKUP($A$17,Produits!$A$1:$C$23,3,FALSE),"")</f>
        <v>17.27</v>
      </c>
      <c r="D17" s="27">
        <f>IFERROR(VLOOKUP(B14,'Commandes passées'!$A$3:$K$17,3,FALSE),"")</f>
        <v>12</v>
      </c>
      <c r="E17" s="31">
        <f t="shared" ref="E17:E22" si="0">IFERROR(C17*D17,"")</f>
        <v>207.24</v>
      </c>
      <c r="F17" s="7"/>
    </row>
    <row r="18" spans="1:7" ht="37.5" customHeight="1" x14ac:dyDescent="0.25">
      <c r="A18" s="28" t="str">
        <f>IFERROR(VLOOKUP(B14,'Commandes passées'!$A$3:$K$1000,4,FALSE),"")</f>
        <v>C002</v>
      </c>
      <c r="B18" s="30" t="str">
        <f>IFERROR(VLOOKUP($A$18,Produits!$A$1:$C$23,2,FALSE),"")</f>
        <v>Ciment gris sac 25 kgs</v>
      </c>
      <c r="C18" s="28">
        <f>IFERROR(VLOOKUP($A$18,Produits!$A$1:$C$23,3,FALSE),"")</f>
        <v>4.38</v>
      </c>
      <c r="D18" s="28">
        <f>IFERROR(VLOOKUP(B14,'Commandes passées'!$A$3:$K$17,5,FALSE),"")</f>
        <v>12</v>
      </c>
      <c r="E18" s="32">
        <f t="shared" si="0"/>
        <v>52.56</v>
      </c>
      <c r="F18" s="7"/>
    </row>
    <row r="19" spans="1:7" ht="37.5" customHeight="1" x14ac:dyDescent="0.25">
      <c r="A19" s="28" t="str">
        <f>IFERROR(VLOOKUP(B14,'Commandes passées'!$A$3:$K$1000,6,FALSE),"")</f>
        <v>C003</v>
      </c>
      <c r="B19" s="30" t="str">
        <f>IFERROR(VLOOKUP($A$19,Produits!$A$1:$C$23,2,FALSE),"")</f>
        <v>Ciment blanc sac 25 kgs</v>
      </c>
      <c r="C19" s="28">
        <f>IFERROR(VLOOKUP($A$19,Produits!$A$1:$C$23,3,FALSE),"")</f>
        <v>15.5</v>
      </c>
      <c r="D19" s="28">
        <f>IFERROR(VLOOKUP(B14,'Commandes passées'!$A$3:$K$17,7,FALSE),"")</f>
        <v>12</v>
      </c>
      <c r="E19" s="32">
        <f t="shared" si="0"/>
        <v>186</v>
      </c>
      <c r="F19" s="7"/>
    </row>
    <row r="20" spans="1:7" ht="37.5" customHeight="1" x14ac:dyDescent="0.25">
      <c r="A20" s="28">
        <f>IFERROR(VLOOKUP(B14,'Commandes passées'!$A$3:$K$1000,8,FALSE),"")</f>
        <v>0</v>
      </c>
      <c r="B20" s="30" t="str">
        <f>IFERROR(VLOOKUP($A$20,Produits!$A$1:$C$23,2,FALSE),"")</f>
        <v/>
      </c>
      <c r="C20" s="28" t="str">
        <f>IFERROR(VLOOKUP($A$20,Produits!$A$1:$C$23,3,FALSE),"")</f>
        <v/>
      </c>
      <c r="D20" s="28">
        <f>IFERROR(VLOOKUP(B14,'Commandes passées'!$A$3:$K$17,9,FALSE),"")</f>
        <v>0</v>
      </c>
      <c r="E20" s="32" t="str">
        <f t="shared" si="0"/>
        <v/>
      </c>
      <c r="F20" s="7"/>
      <c r="G20" s="50"/>
    </row>
    <row r="21" spans="1:7" ht="37.5" customHeight="1" x14ac:dyDescent="0.25">
      <c r="A21" s="28">
        <f>IFERROR(VLOOKUP(B14,'Commandes passées'!$A$3:$K$1000,10,FALSE),"")</f>
        <v>0</v>
      </c>
      <c r="B21" s="30" t="str">
        <f>IFERROR(VLOOKUP($A$21,Produits!$A$1:$C$23,2,FALSE),"")</f>
        <v/>
      </c>
      <c r="C21" s="39" t="str">
        <f>IFERROR(VLOOKUP($A$21,Produits!$A$1:$C$23,3,FALSE),"")</f>
        <v/>
      </c>
      <c r="D21" s="28">
        <f>IFERROR(VLOOKUP(B14,'Commandes passées'!$A$3:$K$17,11,FALSE),"")</f>
        <v>0</v>
      </c>
      <c r="E21" s="32" t="str">
        <f t="shared" si="0"/>
        <v/>
      </c>
      <c r="F21" s="7"/>
    </row>
    <row r="22" spans="1:7" ht="37.5" customHeight="1" x14ac:dyDescent="0.25">
      <c r="A22" s="38" t="str">
        <f>IFERROR(VLOOKUP(B14,'Commandes passées'!$A$3:$K$1000,12,FALSE),"")</f>
        <v/>
      </c>
      <c r="B22" s="38" t="str">
        <f>IFERROR(VLOOKUP($A$21,Produits!$A$1:$C$23,2,FALSE),"")</f>
        <v/>
      </c>
      <c r="C22" s="38" t="str">
        <f>IFERROR(VLOOKUP($A$22,Produits!$A$1:$C$23,3,FALSE),"")</f>
        <v/>
      </c>
      <c r="D22" s="38" t="str">
        <f>IFERROR(VLOOKUP(B14,'Commandes passées'!$A$3:$K$17,13,FALSE),"")</f>
        <v/>
      </c>
      <c r="E22" s="33" t="str">
        <f t="shared" si="0"/>
        <v/>
      </c>
      <c r="F22" s="20"/>
    </row>
    <row r="23" spans="1:7" ht="41.25" customHeight="1" x14ac:dyDescent="0.25">
      <c r="A23" s="13"/>
      <c r="B23" s="13"/>
      <c r="C23" s="51"/>
      <c r="D23" s="57" t="s">
        <v>184</v>
      </c>
      <c r="E23" s="53">
        <f>SUM(E17:E22)</f>
        <v>445.8</v>
      </c>
      <c r="F23" s="7"/>
    </row>
    <row r="24" spans="1:7" ht="41.25" customHeight="1" x14ac:dyDescent="0.25">
      <c r="A24" s="13"/>
      <c r="B24" s="13"/>
      <c r="C24" s="17"/>
      <c r="D24" s="56" t="str">
        <f>IF($E$23&lt;1000,"Remise",IF($E$23&gt;5000,"Remise 3%","Remise 2%"))</f>
        <v>Remise</v>
      </c>
      <c r="E24" s="53" t="str">
        <f>IF($E$23&lt;1000,"",IF($E$23&gt;5000,$E$23*0.03,$E$23*0.02))</f>
        <v/>
      </c>
      <c r="F24" s="7"/>
    </row>
    <row r="25" spans="1:7" ht="41.25" customHeight="1" x14ac:dyDescent="0.25">
      <c r="A25" s="13"/>
      <c r="B25" s="13"/>
      <c r="C25" s="17"/>
      <c r="D25" s="56" t="s">
        <v>157</v>
      </c>
      <c r="E25" s="53">
        <f>IF(E24="",E23,E23-E24)</f>
        <v>445.8</v>
      </c>
      <c r="F25" s="7"/>
    </row>
    <row r="26" spans="1:7" ht="41.25" customHeight="1" x14ac:dyDescent="0.25">
      <c r="A26" s="13"/>
      <c r="B26" s="13"/>
      <c r="C26" s="17"/>
      <c r="D26" s="55" t="str">
        <f>IF($B$12="Comptant","Escompte 2%","Escompte")</f>
        <v>Escompte</v>
      </c>
      <c r="E26" s="53" t="str">
        <f>IF(E14="Comptant",'Matrice Facture'!E25*0.02,"")</f>
        <v/>
      </c>
      <c r="F26" s="7"/>
    </row>
    <row r="27" spans="1:7" ht="41.25" customHeight="1" x14ac:dyDescent="0.25">
      <c r="A27" s="13"/>
      <c r="B27" s="13"/>
      <c r="C27" s="17"/>
      <c r="D27" s="55" t="s">
        <v>158</v>
      </c>
      <c r="E27" s="53">
        <f>IF($E$26="",$E$25,$E$25-$E$26)</f>
        <v>445.8</v>
      </c>
      <c r="F27" s="7"/>
    </row>
    <row r="28" spans="1:7" ht="41.25" customHeight="1" x14ac:dyDescent="0.25">
      <c r="A28" s="13"/>
      <c r="B28" s="13"/>
      <c r="C28" s="17"/>
      <c r="D28" s="55" t="s">
        <v>159</v>
      </c>
      <c r="E28" s="53">
        <f>IF(AND($E$9="France",$E$23&lt;1000),40,IF(AND($E$9="France",$E$23&gt;=1000),70,IF(OR($E$9="Allemagne",$E$9="Autriche",$E$9="Belgique",$E$9="Bulgarie",$E$9="Chypre",$E$9="Croatie",$E$9="Croatie",$E$9="Danemark",$E$9="Espagne",$E$9="Estonie",$E$9="Finlande",$E$9="Grèce",$E$9="Hongrie",$E$9="Irlande",$E$9="Italie",$E$9="Lettonie",$E$9="Lituanie",$E$9="Luxembourg",$E$9="Malte",$E$9="Pays-Bas",$E$9="Pologne",$E$9="Portugal",$E$9="République tchèque",$E$9="Roumanie",$E$9="Royaume-Uni",$E$9="Slovaquie",$E$9="Slovénie",$E$9="Suède"),80,100)))</f>
        <v>40</v>
      </c>
      <c r="F28" s="7"/>
    </row>
    <row r="29" spans="1:7" ht="41.25" customHeight="1" x14ac:dyDescent="0.25">
      <c r="A29" s="13"/>
      <c r="B29" s="13"/>
      <c r="C29" s="17"/>
      <c r="D29" s="55" t="s">
        <v>160</v>
      </c>
      <c r="E29" s="53">
        <f>IF($E$28="",E27,$E$27+$E$28)</f>
        <v>485.8</v>
      </c>
      <c r="F29" s="7"/>
    </row>
    <row r="30" spans="1:7" ht="41.25" customHeight="1" x14ac:dyDescent="0.25">
      <c r="A30" s="13"/>
      <c r="B30" s="13"/>
      <c r="C30" s="17"/>
      <c r="D30" s="55" t="str">
        <f>IF($E$30="","Exonération de TVA","TVA 20%")</f>
        <v>TVA 20%</v>
      </c>
      <c r="E30" s="53">
        <f>IF(OR($E$10="Particulier",$E$10="",$E$9="France"),$E$29*0.2,"")</f>
        <v>97.160000000000011</v>
      </c>
      <c r="F30" s="7"/>
    </row>
    <row r="31" spans="1:7" ht="41.25" customHeight="1" x14ac:dyDescent="0.25">
      <c r="A31" s="13"/>
      <c r="B31" s="13"/>
      <c r="C31" s="17"/>
      <c r="D31" s="54" t="s">
        <v>161</v>
      </c>
      <c r="E31" s="59">
        <f>IF(E30="",E29,E29+E30)</f>
        <v>582.96</v>
      </c>
      <c r="F31" s="7"/>
    </row>
    <row r="32" spans="1:7" ht="41.25" customHeight="1" x14ac:dyDescent="0.25">
      <c r="A32" s="13"/>
      <c r="B32" s="13"/>
      <c r="C32" s="17"/>
      <c r="D32" s="55" t="s">
        <v>162</v>
      </c>
      <c r="E32" s="52">
        <f>VLOOKUP(B14,'Fichier des commandes'!A2:F17,6,FALSE)</f>
        <v>150</v>
      </c>
      <c r="F32" s="7"/>
    </row>
    <row r="33" spans="1:7" ht="41.25" customHeight="1" x14ac:dyDescent="0.25">
      <c r="A33" s="79"/>
      <c r="B33" s="79"/>
      <c r="C33" s="79"/>
      <c r="D33" s="58" t="s">
        <v>195</v>
      </c>
      <c r="E33" s="60">
        <f>$E$31-$E$32</f>
        <v>432.96000000000004</v>
      </c>
      <c r="F33" s="7"/>
      <c r="G33" s="7"/>
    </row>
    <row r="34" spans="1:7" ht="22.5" customHeight="1" x14ac:dyDescent="0.25">
      <c r="A34" s="78" t="str">
        <f>IF(E26="","Escompte pour paiement anticipé : néant","")</f>
        <v>Escompte pour paiement anticipé : néant</v>
      </c>
      <c r="B34" s="78"/>
      <c r="C34" s="78"/>
      <c r="D34" s="78"/>
      <c r="E34" s="80"/>
      <c r="F34" s="7"/>
      <c r="G34" s="7"/>
    </row>
    <row r="35" spans="1:7" x14ac:dyDescent="0.25">
      <c r="A35" s="78" t="str">
        <f>IF(E26="","Un escompte de 2% est accordé en cas de règlement comptant, le jour où la commande est effectuée.","")</f>
        <v>Un escompte de 2% est accordé en cas de règlement comptant, le jour où la commande est effectuée.</v>
      </c>
      <c r="B35" s="78"/>
      <c r="C35" s="78"/>
      <c r="D35" s="78"/>
      <c r="E35" s="37"/>
      <c r="F35" s="7"/>
    </row>
    <row r="36" spans="1:7" x14ac:dyDescent="0.25">
      <c r="A36" s="7"/>
      <c r="B36" s="7"/>
      <c r="C36" s="7"/>
      <c r="D36" s="7"/>
      <c r="E36" s="7"/>
      <c r="F36" s="7"/>
    </row>
    <row r="37" spans="1:7" x14ac:dyDescent="0.25">
      <c r="A37" s="76" t="s">
        <v>189</v>
      </c>
      <c r="B37" s="76"/>
      <c r="C37" s="76"/>
      <c r="D37" s="76"/>
      <c r="E37" s="76"/>
      <c r="F37" s="76"/>
    </row>
    <row r="38" spans="1:7" x14ac:dyDescent="0.25">
      <c r="A38" s="7"/>
      <c r="B38" s="76" t="s">
        <v>188</v>
      </c>
      <c r="C38" s="76"/>
      <c r="D38" s="76"/>
      <c r="E38" s="76"/>
    </row>
    <row r="39" spans="1:7" x14ac:dyDescent="0.25">
      <c r="A39" s="7"/>
    </row>
    <row r="40" spans="1:7" x14ac:dyDescent="0.25">
      <c r="A40" s="7"/>
    </row>
    <row r="41" spans="1:7" x14ac:dyDescent="0.25">
      <c r="A41" s="7"/>
    </row>
    <row r="42" spans="1:7" x14ac:dyDescent="0.25">
      <c r="A42" s="7"/>
    </row>
    <row r="43" spans="1:7" x14ac:dyDescent="0.25">
      <c r="A43" s="7"/>
    </row>
    <row r="44" spans="1:7" x14ac:dyDescent="0.25">
      <c r="A44" s="7"/>
    </row>
    <row r="45" spans="1:7" x14ac:dyDescent="0.25">
      <c r="A45" s="7"/>
    </row>
    <row r="46" spans="1:7" x14ac:dyDescent="0.25">
      <c r="A46" s="7"/>
    </row>
  </sheetData>
  <mergeCells count="21">
    <mergeCell ref="A6:B6"/>
    <mergeCell ref="A7:B7"/>
    <mergeCell ref="A8:B8"/>
    <mergeCell ref="A9:B9"/>
    <mergeCell ref="E7:F7"/>
    <mergeCell ref="E6:F6"/>
    <mergeCell ref="E9:F9"/>
    <mergeCell ref="A37:F37"/>
    <mergeCell ref="B38:E38"/>
    <mergeCell ref="A10:B10"/>
    <mergeCell ref="A35:D35"/>
    <mergeCell ref="A33:C33"/>
    <mergeCell ref="A34:E34"/>
    <mergeCell ref="E10:F10"/>
    <mergeCell ref="D1:E1"/>
    <mergeCell ref="A2:B2"/>
    <mergeCell ref="A3:B3"/>
    <mergeCell ref="A4:B4"/>
    <mergeCell ref="A5:B5"/>
    <mergeCell ref="A1:B1"/>
    <mergeCell ref="E2:F2"/>
  </mergeCells>
  <dataValidations count="2">
    <dataValidation allowBlank="1" showErrorMessage="1" sqref="B10"/>
    <dataValidation type="list" allowBlank="1" showInputMessage="1" showErrorMessage="1" sqref="B14">
      <formula1>Commande_passée</formula1>
    </dataValidation>
  </dataValidations>
  <pageMargins left="0" right="0" top="0.39370078740157483" bottom="0" header="0" footer="0"/>
  <pageSetup paperSize="9" scale="71" fitToWidth="0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Clients</vt:lpstr>
      <vt:lpstr>Produits</vt:lpstr>
      <vt:lpstr>Fichier des commandes</vt:lpstr>
      <vt:lpstr>Commandes passées</vt:lpstr>
      <vt:lpstr>Matrice Facture</vt:lpstr>
      <vt:lpstr>l_commande</vt:lpstr>
      <vt:lpstr>p_commande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</cp:lastModifiedBy>
  <cp:lastPrinted>2018-12-02T09:16:17Z</cp:lastPrinted>
  <dcterms:created xsi:type="dcterms:W3CDTF">2016-11-27T10:00:21Z</dcterms:created>
  <dcterms:modified xsi:type="dcterms:W3CDTF">2018-12-02T11:34:57Z</dcterms:modified>
</cp:coreProperties>
</file>