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CA Jour" sheetId="1" r:id="rId1"/>
    <sheet name="Fériés" sheetId="2" r:id="rId2"/>
  </sheets>
  <externalReferences>
    <externalReference r:id="rId3"/>
  </externalReferences>
  <definedNames>
    <definedName name="AN">[1]Fériés!$B$1</definedName>
    <definedName name="An_Ref">'CA Jour'!$C$3</definedName>
    <definedName name="d.axeX">'CA Jour'!$B$62:INDEX('CA Jour'!$B:$B,d.fin)</definedName>
    <definedName name="d.axeY1">'CA Jour'!$C$62:INDEX('CA Jour'!$C:$C,d.fin)</definedName>
    <definedName name="d.axeY2">'CA Jour'!$D$62:INDEX('CA Jour'!$D:$D,d.fin)</definedName>
    <definedName name="d.fin">MATCH(9.9E+307,'CA Jour'!$B:$B,1)</definedName>
    <definedName name="Fériés">Fériés!$B$1:$B$12</definedName>
    <definedName name="JO">'[1]CA JOUR'!$A$13:$A$17,'[1]CA JOUR'!$A$20:$A$24,'[1]CA JOUR'!$A$27:$A$31,'[1]CA JOUR'!$A$34:$A$38,'[1]CA JOUR'!#REF!</definedName>
    <definedName name="Liste_Equipes">OFFSET(#REF!,0,0,COUNTA(#REF!)-1)</definedName>
    <definedName name="Mois_Ref">'CA Jour'!$C$4</definedName>
    <definedName name="Pâques">[1]Fériés!$B$5</definedName>
    <definedName name="_xlnm.Print_Area" localSheetId="0">'CA Jour'!$B$1:$R$131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1" l="1"/>
  <c r="B11" i="1"/>
  <c r="B1" i="2"/>
  <c r="B2" i="2"/>
  <c r="B3" i="2"/>
  <c r="B4" i="2"/>
  <c r="B5" i="2"/>
  <c r="B6" i="2"/>
  <c r="B7" i="2"/>
  <c r="B8" i="2"/>
  <c r="B9" i="2"/>
  <c r="B10" i="2"/>
  <c r="B11" i="2"/>
  <c r="B12" i="2"/>
  <c r="A11" i="1"/>
  <c r="C12" i="1"/>
  <c r="B12" i="1"/>
  <c r="A12" i="1"/>
  <c r="C13" i="1"/>
  <c r="B13" i="1"/>
  <c r="A13" i="1"/>
  <c r="C14" i="1"/>
  <c r="B14" i="1"/>
  <c r="A14" i="1"/>
  <c r="C15" i="1"/>
  <c r="B15" i="1"/>
  <c r="A15" i="1"/>
  <c r="C16" i="1"/>
  <c r="B16" i="1"/>
  <c r="A16" i="1"/>
  <c r="C17" i="1"/>
  <c r="B17" i="1"/>
  <c r="A17" i="1"/>
  <c r="C18" i="1"/>
  <c r="B18" i="1"/>
  <c r="A18" i="1"/>
  <c r="C19" i="1"/>
  <c r="B19" i="1"/>
  <c r="A19" i="1"/>
  <c r="C20" i="1"/>
  <c r="B20" i="1"/>
  <c r="A20" i="1"/>
  <c r="C21" i="1"/>
  <c r="B21" i="1"/>
  <c r="A21" i="1"/>
  <c r="C22" i="1"/>
  <c r="B22" i="1"/>
  <c r="A22" i="1"/>
  <c r="C23" i="1"/>
  <c r="B23" i="1"/>
  <c r="A23" i="1"/>
  <c r="C24" i="1"/>
  <c r="B24" i="1"/>
  <c r="A24" i="1"/>
  <c r="C25" i="1"/>
  <c r="B25" i="1"/>
  <c r="A25" i="1"/>
  <c r="C26" i="1"/>
  <c r="B26" i="1"/>
  <c r="A26" i="1"/>
  <c r="C27" i="1"/>
  <c r="B27" i="1"/>
  <c r="A27" i="1"/>
  <c r="C28" i="1"/>
  <c r="B28" i="1"/>
  <c r="A28" i="1"/>
  <c r="C29" i="1"/>
  <c r="B29" i="1"/>
  <c r="A29" i="1"/>
  <c r="C30" i="1"/>
  <c r="B30" i="1"/>
  <c r="A30" i="1"/>
  <c r="C31" i="1"/>
  <c r="B31" i="1"/>
  <c r="A31" i="1"/>
  <c r="C32" i="1"/>
  <c r="B32" i="1"/>
  <c r="A32" i="1"/>
  <c r="C33" i="1"/>
  <c r="B33" i="1"/>
  <c r="A33" i="1"/>
  <c r="C34" i="1"/>
  <c r="B34" i="1"/>
  <c r="A34" i="1"/>
  <c r="C35" i="1"/>
  <c r="B35" i="1"/>
  <c r="A35" i="1"/>
  <c r="C36" i="1"/>
  <c r="B36" i="1"/>
  <c r="A36" i="1"/>
  <c r="C37" i="1"/>
  <c r="B37" i="1"/>
  <c r="A37" i="1"/>
  <c r="C38" i="1"/>
  <c r="B38" i="1"/>
  <c r="A38" i="1"/>
  <c r="C39" i="1"/>
  <c r="B39" i="1"/>
  <c r="A39" i="1"/>
  <c r="C40" i="1"/>
  <c r="B40" i="1"/>
  <c r="A40" i="1"/>
  <c r="C41" i="1"/>
  <c r="B41" i="1"/>
  <c r="A41" i="1"/>
  <c r="C5" i="1"/>
  <c r="U15" i="1"/>
  <c r="T15" i="1"/>
  <c r="Q11" i="1"/>
  <c r="C12" i="2"/>
  <c r="C11" i="2"/>
  <c r="C10" i="2"/>
  <c r="C8" i="2"/>
  <c r="C5" i="2"/>
  <c r="C4" i="2"/>
  <c r="C3" i="2"/>
  <c r="C2" i="2"/>
  <c r="C1" i="2"/>
  <c r="Q12" i="1"/>
  <c r="C6" i="2"/>
  <c r="C7" i="2"/>
  <c r="C9" i="2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C9" i="1"/>
  <c r="J41" i="1"/>
  <c r="L41" i="1"/>
  <c r="M14" i="1"/>
  <c r="O14" i="1"/>
  <c r="G14" i="1"/>
  <c r="I14" i="1"/>
  <c r="D14" i="1"/>
  <c r="J14" i="1"/>
  <c r="L14" i="1"/>
  <c r="D21" i="1"/>
  <c r="M21" i="1"/>
  <c r="O21" i="1"/>
  <c r="G21" i="1"/>
  <c r="I21" i="1"/>
  <c r="J21" i="1"/>
  <c r="L21" i="1"/>
  <c r="G28" i="1"/>
  <c r="I28" i="1"/>
  <c r="J28" i="1"/>
  <c r="L28" i="1"/>
  <c r="D28" i="1"/>
  <c r="M28" i="1"/>
  <c r="O28" i="1"/>
  <c r="G35" i="1"/>
  <c r="I35" i="1"/>
  <c r="M35" i="1"/>
  <c r="O35" i="1"/>
  <c r="D35" i="1"/>
  <c r="J35" i="1"/>
  <c r="L35" i="1"/>
  <c r="G41" i="1"/>
  <c r="I41" i="1"/>
  <c r="D41" i="1"/>
  <c r="G13" i="1"/>
  <c r="I13" i="1"/>
  <c r="J13" i="1"/>
  <c r="L13" i="1"/>
  <c r="D13" i="1"/>
  <c r="M13" i="1"/>
  <c r="O13" i="1"/>
  <c r="M20" i="1"/>
  <c r="O20" i="1"/>
  <c r="G20" i="1"/>
  <c r="I20" i="1"/>
  <c r="J20" i="1"/>
  <c r="L20" i="1"/>
  <c r="D20" i="1"/>
  <c r="J27" i="1"/>
  <c r="L27" i="1"/>
  <c r="D27" i="1"/>
  <c r="G27" i="1"/>
  <c r="I27" i="1"/>
  <c r="M27" i="1"/>
  <c r="O27" i="1"/>
  <c r="M34" i="1"/>
  <c r="O34" i="1"/>
  <c r="D34" i="1"/>
  <c r="G34" i="1"/>
  <c r="I34" i="1"/>
  <c r="J34" i="1"/>
  <c r="L34" i="1"/>
  <c r="M41" i="1"/>
  <c r="O41" i="1"/>
  <c r="J11" i="1"/>
  <c r="L11" i="1"/>
  <c r="D11" i="1"/>
  <c r="M11" i="1"/>
  <c r="O11" i="1"/>
  <c r="G11" i="1"/>
  <c r="I11" i="1"/>
  <c r="M12" i="1"/>
  <c r="O12" i="1"/>
  <c r="J12" i="1"/>
  <c r="L12" i="1"/>
  <c r="D12" i="1"/>
  <c r="G12" i="1"/>
  <c r="I12" i="1"/>
  <c r="M15" i="1"/>
  <c r="O15" i="1"/>
  <c r="D15" i="1"/>
  <c r="J15" i="1"/>
  <c r="L15" i="1"/>
  <c r="G15" i="1"/>
  <c r="I15" i="1"/>
  <c r="M16" i="1"/>
  <c r="O16" i="1"/>
  <c r="D16" i="1"/>
  <c r="J16" i="1"/>
  <c r="L16" i="1"/>
  <c r="G16" i="1"/>
  <c r="I16" i="1"/>
  <c r="G17" i="1"/>
  <c r="I17" i="1"/>
  <c r="J17" i="1"/>
  <c r="L17" i="1"/>
  <c r="D17" i="1"/>
  <c r="M17" i="1"/>
  <c r="O17" i="1"/>
  <c r="M18" i="1"/>
  <c r="O18" i="1"/>
  <c r="G18" i="1"/>
  <c r="I18" i="1"/>
  <c r="J18" i="1"/>
  <c r="L18" i="1"/>
  <c r="D18" i="1"/>
  <c r="J19" i="1"/>
  <c r="L19" i="1"/>
  <c r="M19" i="1"/>
  <c r="O19" i="1"/>
  <c r="G19" i="1"/>
  <c r="I19" i="1"/>
  <c r="D19" i="1"/>
  <c r="G22" i="1"/>
  <c r="I22" i="1"/>
  <c r="D23" i="1"/>
  <c r="J23" i="1"/>
  <c r="L23" i="1"/>
  <c r="D22" i="1"/>
  <c r="J22" i="1"/>
  <c r="L22" i="1"/>
  <c r="G23" i="1"/>
  <c r="I23" i="1"/>
  <c r="M22" i="1"/>
  <c r="O22" i="1"/>
  <c r="M23" i="1"/>
  <c r="O23" i="1"/>
  <c r="G24" i="1"/>
  <c r="I24" i="1"/>
  <c r="J24" i="1"/>
  <c r="L24" i="1"/>
  <c r="D24" i="1"/>
  <c r="M24" i="1"/>
  <c r="O24" i="1"/>
  <c r="D25" i="1"/>
  <c r="M25" i="1"/>
  <c r="O25" i="1"/>
  <c r="G25" i="1"/>
  <c r="I25" i="1"/>
  <c r="J25" i="1"/>
  <c r="L25" i="1"/>
  <c r="G26" i="1"/>
  <c r="I26" i="1"/>
  <c r="J26" i="1"/>
  <c r="L26" i="1"/>
  <c r="D26" i="1"/>
  <c r="M26" i="1"/>
  <c r="O26" i="1"/>
  <c r="J29" i="1"/>
  <c r="L29" i="1"/>
  <c r="D29" i="1"/>
  <c r="M29" i="1"/>
  <c r="O29" i="1"/>
  <c r="G29" i="1"/>
  <c r="I29" i="1"/>
  <c r="D30" i="1"/>
  <c r="G30" i="1"/>
  <c r="I30" i="1"/>
  <c r="J30" i="1"/>
  <c r="L30" i="1"/>
  <c r="M30" i="1"/>
  <c r="O30" i="1"/>
  <c r="D31" i="1"/>
  <c r="G31" i="1"/>
  <c r="I31" i="1"/>
  <c r="J31" i="1"/>
  <c r="L31" i="1"/>
  <c r="M31" i="1"/>
  <c r="O31" i="1"/>
  <c r="J32" i="1"/>
  <c r="L32" i="1"/>
  <c r="M32" i="1"/>
  <c r="O32" i="1"/>
  <c r="D32" i="1"/>
  <c r="G32" i="1"/>
  <c r="I32" i="1"/>
  <c r="G33" i="1"/>
  <c r="I33" i="1"/>
  <c r="D33" i="1"/>
  <c r="J33" i="1"/>
  <c r="L33" i="1"/>
  <c r="M33" i="1"/>
  <c r="O33" i="1"/>
  <c r="D36" i="1"/>
  <c r="G36" i="1"/>
  <c r="I36" i="1"/>
  <c r="M36" i="1"/>
  <c r="O36" i="1"/>
  <c r="J36" i="1"/>
  <c r="L36" i="1"/>
  <c r="D37" i="1"/>
  <c r="M37" i="1"/>
  <c r="O37" i="1"/>
  <c r="J37" i="1"/>
  <c r="L37" i="1"/>
  <c r="G37" i="1"/>
  <c r="I37" i="1"/>
  <c r="D38" i="1"/>
  <c r="M38" i="1"/>
  <c r="O38" i="1"/>
  <c r="G38" i="1"/>
  <c r="I38" i="1"/>
  <c r="J38" i="1"/>
  <c r="L38" i="1"/>
  <c r="D39" i="1"/>
  <c r="M39" i="1"/>
  <c r="O39" i="1"/>
  <c r="G39" i="1"/>
  <c r="I39" i="1"/>
  <c r="J39" i="1"/>
  <c r="L39" i="1"/>
  <c r="J40" i="1"/>
  <c r="L40" i="1"/>
  <c r="D40" i="1"/>
  <c r="M40" i="1"/>
  <c r="O40" i="1"/>
  <c r="G40" i="1"/>
  <c r="I40" i="1"/>
  <c r="F41" i="1"/>
  <c r="F35" i="1"/>
  <c r="P35" i="1"/>
  <c r="R35" i="1"/>
  <c r="P28" i="1"/>
  <c r="R28" i="1"/>
  <c r="F28" i="1"/>
  <c r="F14" i="1"/>
  <c r="P14" i="1"/>
  <c r="R14" i="1"/>
  <c r="F21" i="1"/>
  <c r="P21" i="1"/>
  <c r="R21" i="1"/>
  <c r="F20" i="1"/>
  <c r="P20" i="1"/>
  <c r="R20" i="1"/>
  <c r="F13" i="1"/>
  <c r="P13" i="1"/>
  <c r="R13" i="1"/>
  <c r="P41" i="1"/>
  <c r="R41" i="1"/>
  <c r="F34" i="1"/>
  <c r="P34" i="1"/>
  <c r="R34" i="1"/>
  <c r="P27" i="1"/>
  <c r="F40" i="1"/>
  <c r="P40" i="1"/>
  <c r="R40" i="1"/>
  <c r="F33" i="1"/>
  <c r="P33" i="1"/>
  <c r="R33" i="1"/>
  <c r="F22" i="1"/>
  <c r="P22" i="1"/>
  <c r="R22" i="1"/>
  <c r="F19" i="1"/>
  <c r="P19" i="1"/>
  <c r="R19" i="1"/>
  <c r="P18" i="1"/>
  <c r="R18" i="1"/>
  <c r="F18" i="1"/>
  <c r="F32" i="1"/>
  <c r="P32" i="1"/>
  <c r="R32" i="1"/>
  <c r="F26" i="1"/>
  <c r="P26" i="1"/>
  <c r="R26" i="1"/>
  <c r="F24" i="1"/>
  <c r="P24" i="1"/>
  <c r="R24" i="1"/>
  <c r="F17" i="1"/>
  <c r="P17" i="1"/>
  <c r="R17" i="1"/>
  <c r="F12" i="1"/>
  <c r="P12" i="1"/>
  <c r="R12" i="1"/>
  <c r="F29" i="1"/>
  <c r="P29" i="1"/>
  <c r="R29" i="1"/>
  <c r="P23" i="1"/>
  <c r="R23" i="1"/>
  <c r="F23" i="1"/>
  <c r="P16" i="1"/>
  <c r="R16" i="1"/>
  <c r="F16" i="1"/>
  <c r="F15" i="1"/>
  <c r="P15" i="1"/>
  <c r="R15" i="1"/>
  <c r="P11" i="1"/>
  <c r="R11" i="1"/>
  <c r="F11" i="1"/>
  <c r="F39" i="1"/>
  <c r="P39" i="1"/>
  <c r="R39" i="1"/>
  <c r="F38" i="1"/>
  <c r="P38" i="1"/>
  <c r="R38" i="1"/>
  <c r="F37" i="1"/>
  <c r="P37" i="1"/>
  <c r="R37" i="1"/>
  <c r="F36" i="1"/>
  <c r="P36" i="1"/>
  <c r="R36" i="1"/>
  <c r="F31" i="1"/>
  <c r="P31" i="1"/>
  <c r="R31" i="1"/>
  <c r="F30" i="1"/>
  <c r="P30" i="1"/>
  <c r="R30" i="1"/>
  <c r="F25" i="1"/>
  <c r="P25" i="1"/>
  <c r="R25" i="1"/>
  <c r="F27" i="1"/>
  <c r="Q27" i="1"/>
  <c r="R27" i="1"/>
</calcChain>
</file>

<file path=xl/sharedStrings.xml><?xml version="1.0" encoding="utf-8"?>
<sst xmlns="http://schemas.openxmlformats.org/spreadsheetml/2006/main" count="64" uniqueCount="42">
  <si>
    <t>Premier de l'an</t>
  </si>
  <si>
    <t>1er mai fete du travail</t>
  </si>
  <si>
    <t>dimanche de paques</t>
  </si>
  <si>
    <t>lundi de paques 1 jour apres</t>
  </si>
  <si>
    <t>ascencion 39 jour apres paques</t>
  </si>
  <si>
    <t>lundi de pentecote 50 jours apres paques</t>
  </si>
  <si>
    <t>15 aout assomption</t>
  </si>
  <si>
    <t>1er novembre toussaint</t>
  </si>
  <si>
    <t>25 decembre noel</t>
  </si>
  <si>
    <t>Année</t>
  </si>
  <si>
    <t>Mois</t>
  </si>
  <si>
    <t>OBJECTIF</t>
  </si>
  <si>
    <t>REALISATION</t>
  </si>
  <si>
    <t>OBJECTIF Hors Cess</t>
  </si>
  <si>
    <t>REALISATION Hors Cessions</t>
  </si>
  <si>
    <t>REAL.</t>
  </si>
  <si>
    <t>% DE REAL.</t>
  </si>
  <si>
    <t>Avancement</t>
  </si>
  <si>
    <t>CA NET</t>
  </si>
  <si>
    <t>Objectif</t>
  </si>
  <si>
    <t>Réalisation</t>
  </si>
  <si>
    <t>A</t>
  </si>
  <si>
    <t>B</t>
  </si>
  <si>
    <t>C</t>
  </si>
  <si>
    <t>D</t>
  </si>
  <si>
    <t>TOTAL</t>
  </si>
  <si>
    <t>NB JOURS</t>
  </si>
  <si>
    <t>OBJ</t>
  </si>
  <si>
    <t>CH</t>
  </si>
  <si>
    <t>HE</t>
  </si>
  <si>
    <t>d.fin</t>
  </si>
  <si>
    <t>d.axeX1</t>
  </si>
  <si>
    <t>d.axeY1</t>
  </si>
  <si>
    <t>d.axeY2</t>
  </si>
  <si>
    <t>dernière ligne colonne B</t>
  </si>
  <si>
    <t>axe des abscisses (nombre jours ouvrés du mois)</t>
  </si>
  <si>
    <t>axe objectif</t>
  </si>
  <si>
    <t>axe réalisation</t>
  </si>
  <si>
    <t>=EQUIV(9,9E+307;$B:$B;1)</t>
  </si>
  <si>
    <t>=$B61:INDEX($B:$B;d.fin)</t>
  </si>
  <si>
    <t>id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</si>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</sst>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dd"/>
    <numFmt numFmtId="165" formatCode="mmmm"/>
    <numFmt numFmtId="166" formatCode="[$-F800]dddd\,\ mmmm\ dd\,\ yyyy"/>
    <numFmt numFmtId="167" formatCode="dddd"/>
    <numFmt numFmtId="168" formatCode="#,##0\ [$€-1]"/>
    <numFmt numFmtId="169" formatCode="0.0%"/>
    <numFmt numFmtId="170" formatCode="_-* #,##0.00\ [$€-1]_-;\-* #,##0.00\ [$€-1]_-;_-* &quot;-&quot;??\ [$€-1]_-"/>
    <numFmt numFmtId="171" formatCode="General_)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i/>
      <sz val="22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4"/>
      <name val="Times New Roman"/>
      <family val="1"/>
    </font>
    <font>
      <b/>
      <sz val="9"/>
      <name val="Times New Roman"/>
      <family val="1"/>
    </font>
    <font>
      <sz val="10"/>
      <color theme="1"/>
      <name val="Calibri"/>
      <family val="2"/>
      <scheme val="minor"/>
    </font>
    <font>
      <b/>
      <i/>
      <sz val="14"/>
      <name val="Times New Roman"/>
      <family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9" fontId="16" fillId="0" borderId="0" applyFont="0" applyFill="0" applyBorder="0" applyAlignment="0" applyProtection="0"/>
    <xf numFmtId="9" fontId="3" fillId="0" borderId="0" applyFont="0" applyFill="0" applyBorder="0" applyAlignment="0" applyProtection="0"/>
    <xf numFmtId="170" fontId="9" fillId="0" borderId="0" applyFont="0" applyFill="0" applyBorder="0" applyAlignment="0" applyProtection="0"/>
    <xf numFmtId="9" fontId="3" fillId="0" borderId="0" applyFont="0" applyFill="0" applyBorder="0" applyAlignment="0" applyProtection="0"/>
    <xf numFmtId="171" fontId="3" fillId="0" borderId="0">
      <alignment vertical="center"/>
    </xf>
    <xf numFmtId="171" fontId="3" fillId="0" borderId="0">
      <alignment vertical="center"/>
    </xf>
    <xf numFmtId="0" fontId="17" fillId="0" borderId="0"/>
    <xf numFmtId="0" fontId="3" fillId="0" borderId="0" applyFont="0" applyFill="0" applyBorder="0" applyAlignment="0" applyProtection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3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13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left"/>
    </xf>
    <xf numFmtId="16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2" xfId="0" applyFont="1" applyFill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166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49" fontId="5" fillId="0" borderId="5" xfId="0" applyNumberFormat="1" applyFont="1" applyBorder="1" applyAlignment="1">
      <alignment horizontal="center" vertical="center" wrapText="1"/>
    </xf>
    <xf numFmtId="49" fontId="5" fillId="0" borderId="8" xfId="0" applyNumberFormat="1" applyFont="1" applyBorder="1" applyAlignment="1">
      <alignment horizontal="center" vertical="center" wrapText="1"/>
    </xf>
    <xf numFmtId="167" fontId="2" fillId="0" borderId="13" xfId="0" applyNumberFormat="1" applyFont="1" applyBorder="1" applyAlignment="1">
      <alignment horizontal="center" vertical="center"/>
    </xf>
    <xf numFmtId="167" fontId="2" fillId="0" borderId="38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/>
    <xf numFmtId="0" fontId="14" fillId="0" borderId="0" xfId="0" applyNumberFormat="1" applyFont="1"/>
    <xf numFmtId="0" fontId="14" fillId="0" borderId="0" xfId="0" applyFont="1"/>
    <xf numFmtId="0" fontId="0" fillId="0" borderId="0" xfId="0" applyFont="1" applyAlignment="1">
      <alignment horizontal="right" vertical="center"/>
    </xf>
    <xf numFmtId="17" fontId="0" fillId="0" borderId="0" xfId="0" applyNumberFormat="1"/>
    <xf numFmtId="1" fontId="2" fillId="0" borderId="20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1" fontId="2" fillId="0" borderId="34" xfId="0" applyNumberFormat="1" applyFont="1" applyBorder="1" applyAlignment="1">
      <alignment horizontal="center" vertical="center"/>
    </xf>
    <xf numFmtId="9" fontId="2" fillId="0" borderId="0" xfId="1" applyNumberFormat="1" applyFont="1" applyBorder="1" applyAlignment="1">
      <alignment horizontal="center" vertical="center"/>
    </xf>
    <xf numFmtId="9" fontId="2" fillId="0" borderId="39" xfId="1" applyNumberFormat="1" applyFont="1" applyBorder="1" applyAlignment="1">
      <alignment horizontal="center" vertical="center"/>
    </xf>
    <xf numFmtId="9" fontId="2" fillId="0" borderId="11" xfId="1" applyFont="1" applyBorder="1" applyAlignment="1">
      <alignment horizontal="center" vertical="center"/>
    </xf>
    <xf numFmtId="9" fontId="2" fillId="0" borderId="39" xfId="1" applyFont="1" applyBorder="1" applyAlignment="1">
      <alignment horizontal="center" vertical="center"/>
    </xf>
    <xf numFmtId="9" fontId="2" fillId="0" borderId="26" xfId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35" xfId="0" applyNumberFormat="1" applyFont="1" applyBorder="1" applyAlignment="1">
      <alignment horizontal="center" vertical="center"/>
    </xf>
    <xf numFmtId="1" fontId="2" fillId="0" borderId="36" xfId="0" applyNumberFormat="1" applyFont="1" applyBorder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2" fillId="0" borderId="4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9" fontId="0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" fontId="14" fillId="0" borderId="0" xfId="0" applyNumberFormat="1" applyFont="1"/>
    <xf numFmtId="0" fontId="0" fillId="0" borderId="1" xfId="0" applyFill="1" applyBorder="1" applyAlignment="1">
      <alignment horizontal="center" vertical="center"/>
    </xf>
    <xf numFmtId="0" fontId="0" fillId="0" borderId="41" xfId="0" applyFill="1" applyBorder="1" applyAlignment="1">
      <alignment vertical="center"/>
    </xf>
    <xf numFmtId="0" fontId="0" fillId="0" borderId="42" xfId="0" applyFill="1" applyBorder="1" applyAlignment="1">
      <alignment vertical="center"/>
    </xf>
    <xf numFmtId="0" fontId="2" fillId="0" borderId="0" xfId="0" applyNumberFormat="1" applyFont="1" applyAlignment="1">
      <alignment horizontal="right" vertical="center"/>
    </xf>
    <xf numFmtId="17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1" fontId="7" fillId="5" borderId="27" xfId="0" applyNumberFormat="1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 wrapText="1"/>
    </xf>
    <xf numFmtId="0" fontId="9" fillId="5" borderId="21" xfId="0" applyFont="1" applyFill="1" applyBorder="1" applyAlignment="1">
      <alignment horizontal="center" vertical="center" wrapText="1"/>
    </xf>
    <xf numFmtId="0" fontId="8" fillId="5" borderId="21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8" fillId="5" borderId="22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15" fillId="5" borderId="5" xfId="0" applyFont="1" applyFill="1" applyBorder="1" applyAlignment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15" fillId="5" borderId="6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168" fontId="10" fillId="5" borderId="37" xfId="0" applyNumberFormat="1" applyFont="1" applyFill="1" applyBorder="1" applyAlignment="1">
      <alignment horizontal="center" vertical="center"/>
    </xf>
    <xf numFmtId="168" fontId="12" fillId="5" borderId="37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3" fontId="19" fillId="0" borderId="1" xfId="0" applyNumberFormat="1" applyFont="1" applyFill="1" applyBorder="1" applyAlignment="1">
      <alignment horizontal="center" vertical="center"/>
    </xf>
    <xf numFmtId="1" fontId="19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2" fillId="6" borderId="0" xfId="0" applyFont="1" applyFill="1"/>
    <xf numFmtId="0" fontId="0" fillId="6" borderId="0" xfId="0" applyFill="1"/>
    <xf numFmtId="0" fontId="23" fillId="6" borderId="0" xfId="0" applyFont="1" applyFill="1"/>
    <xf numFmtId="0" fontId="23" fillId="6" borderId="0" xfId="0" quotePrefix="1" applyFont="1" applyFill="1"/>
  </cellXfs>
  <cellStyles count="14">
    <cellStyle name="Euro" xfId="3"/>
    <cellStyle name="Lien hypertexte" xfId="12" builtinId="8" hidden="1"/>
    <cellStyle name="Lien hypertexte visité" xfId="13" builtinId="9" hidden="1"/>
    <cellStyle name="Milliers 2" xfId="9"/>
    <cellStyle name="Milliers 3" xfId="8"/>
    <cellStyle name="Normal" xfId="0" builtinId="0"/>
    <cellStyle name="Normal 2" xfId="7"/>
    <cellStyle name="Normal 3" xfId="11"/>
    <cellStyle name="Pourcentage" xfId="1" builtinId="5"/>
    <cellStyle name="Pourcentage 2" xfId="4"/>
    <cellStyle name="Pourcentage 3" xfId="2"/>
    <cellStyle name="Pourcentage 4" xfId="10"/>
    <cellStyle name="YN" xfId="5"/>
    <cellStyle name="YN 2" xfId="6"/>
  </cellStyles>
  <dxfs count="13"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b val="0"/>
        <i val="0"/>
        <color theme="0"/>
      </font>
      <fill>
        <patternFill>
          <bgColor rgb="FFFF6699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FF"/>
      <color rgb="FFFFFFCC"/>
      <color rgb="FF0099FF"/>
      <color rgb="FF66FFFF"/>
      <color rgb="FFCCFFCC"/>
      <color rgb="FFFFCC99"/>
      <color rgb="FF99CCFF"/>
      <color rgb="FFCCCCFF"/>
      <color rgb="FFFF66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</c:numCache>
            </c:numRef>
          </c:cat>
          <c:val>
            <c:numRef>
              <c:f>[0]!d.axeY1</c:f>
              <c:numCache>
                <c:formatCode>General</c:formatCode>
                <c:ptCount val="23"/>
                <c:pt idx="0">
                  <c:v>4347.826086956522</c:v>
                </c:pt>
                <c:pt idx="1">
                  <c:v>8695.652173913044</c:v>
                </c:pt>
                <c:pt idx="2">
                  <c:v>13043.478260869568</c:v>
                </c:pt>
                <c:pt idx="3">
                  <c:v>17391.304347826088</c:v>
                </c:pt>
                <c:pt idx="4">
                  <c:v>21739.130434782608</c:v>
                </c:pt>
                <c:pt idx="5">
                  <c:v>26086.956521739135</c:v>
                </c:pt>
                <c:pt idx="6">
                  <c:v>30434.782608695659</c:v>
                </c:pt>
                <c:pt idx="7">
                  <c:v>34782.608695652176</c:v>
                </c:pt>
                <c:pt idx="8">
                  <c:v>39130.434782608696</c:v>
                </c:pt>
                <c:pt idx="9">
                  <c:v>43478.260869565216</c:v>
                </c:pt>
                <c:pt idx="10">
                  <c:v>47826.086956521744</c:v>
                </c:pt>
                <c:pt idx="11">
                  <c:v>52173.913043478271</c:v>
                </c:pt>
                <c:pt idx="12">
                  <c:v>56521.739130434791</c:v>
                </c:pt>
                <c:pt idx="13">
                  <c:v>60869.565217391319</c:v>
                </c:pt>
                <c:pt idx="14">
                  <c:v>65217.391304347831</c:v>
                </c:pt>
                <c:pt idx="15">
                  <c:v>69565.217391304352</c:v>
                </c:pt>
                <c:pt idx="16">
                  <c:v>73913.043478260879</c:v>
                </c:pt>
                <c:pt idx="17">
                  <c:v>78260.869565217392</c:v>
                </c:pt>
                <c:pt idx="18">
                  <c:v>82608.695652173919</c:v>
                </c:pt>
                <c:pt idx="19">
                  <c:v>86956.521739130432</c:v>
                </c:pt>
                <c:pt idx="20">
                  <c:v>91304.347826086974</c:v>
                </c:pt>
                <c:pt idx="21">
                  <c:v>95652.173913043487</c:v>
                </c:pt>
                <c:pt idx="22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  <c:pt idx="0">
                  <c:v>Réalisation</c:v>
                </c:pt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</c:numCache>
            </c:numRef>
          </c:cat>
          <c:val>
            <c:numRef>
              <c:f>[0]!d.axeY2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4649440"/>
        <c:axId val="364654144"/>
      </c:lineChart>
      <c:catAx>
        <c:axId val="364649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364654144"/>
        <c:crosses val="autoZero"/>
        <c:auto val="1"/>
        <c:lblAlgn val="ctr"/>
        <c:lblOffset val="100"/>
        <c:noMultiLvlLbl val="0"/>
      </c:catAx>
      <c:valAx>
        <c:axId val="36465414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36464944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$C$3" max="9999" min="1900" page="10" val="201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2</xdr:row>
          <xdr:rowOff>0</xdr:rowOff>
        </xdr:from>
        <xdr:to>
          <xdr:col>0</xdr:col>
          <xdr:colOff>600075</xdr:colOff>
          <xdr:row>4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650875</xdr:colOff>
      <xdr:row>41</xdr:row>
      <xdr:rowOff>73024</xdr:rowOff>
    </xdr:from>
    <xdr:to>
      <xdr:col>18</xdr:col>
      <xdr:colOff>0</xdr:colOff>
      <xdr:row>59</xdr:row>
      <xdr:rowOff>95249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0</xdr:col>
      <xdr:colOff>650875</xdr:colOff>
      <xdr:row>0</xdr:row>
      <xdr:rowOff>127000</xdr:rowOff>
    </xdr:from>
    <xdr:ext cx="907364" cy="264560"/>
    <xdr:sp macro="[0]!Graph" textlink="">
      <xdr:nvSpPr>
        <xdr:cNvPr id="4" name="ZoneTexte 3"/>
        <xdr:cNvSpPr txBox="1"/>
      </xdr:nvSpPr>
      <xdr:spPr>
        <a:xfrm>
          <a:off x="650875" y="127000"/>
          <a:ext cx="907364" cy="26456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MAJ GRAPH.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Ann&#233;e%202015/CA%202015/JANVIER%202015/CA%20JANVIER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V"/>
      <sheetName val="CA à l'HEURE"/>
      <sheetName val="OBJECTIF"/>
      <sheetName val="Avancement"/>
      <sheetName val="CA JOUR"/>
      <sheetName val="HRES JOURS"/>
      <sheetName val="Année"/>
      <sheetName val="CA MOIS"/>
      <sheetName val="HEC MOIS"/>
      <sheetName val="Fériés"/>
      <sheetName val="BUDGET"/>
    </sheetNames>
    <sheetDataSet>
      <sheetData sheetId="0" refreshError="1"/>
      <sheetData sheetId="1" refreshError="1"/>
      <sheetData sheetId="2"/>
      <sheetData sheetId="3" refreshError="1"/>
      <sheetData sheetId="4">
        <row r="13">
          <cell r="A13">
            <v>1</v>
          </cell>
        </row>
        <row r="14">
          <cell r="A14">
            <v>1</v>
          </cell>
        </row>
        <row r="15">
          <cell r="A15">
            <v>2</v>
          </cell>
        </row>
        <row r="16">
          <cell r="A16">
            <v>3</v>
          </cell>
        </row>
        <row r="17">
          <cell r="A17">
            <v>4</v>
          </cell>
        </row>
        <row r="20">
          <cell r="A20">
            <v>6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7">
          <cell r="A27">
            <v>11</v>
          </cell>
        </row>
        <row r="28">
          <cell r="A28">
            <v>11</v>
          </cell>
        </row>
        <row r="29">
          <cell r="A29">
            <v>12</v>
          </cell>
        </row>
        <row r="30">
          <cell r="A30">
            <v>13</v>
          </cell>
        </row>
        <row r="31">
          <cell r="A31">
            <v>14</v>
          </cell>
        </row>
        <row r="34">
          <cell r="A34">
            <v>16</v>
          </cell>
        </row>
        <row r="35">
          <cell r="A35">
            <v>16</v>
          </cell>
        </row>
        <row r="36">
          <cell r="A36">
            <v>17</v>
          </cell>
        </row>
        <row r="37">
          <cell r="A37">
            <v>18</v>
          </cell>
        </row>
        <row r="38">
          <cell r="A38">
            <v>19</v>
          </cell>
        </row>
      </sheetData>
      <sheetData sheetId="5" refreshError="1"/>
      <sheetData sheetId="6" refreshError="1"/>
      <sheetData sheetId="7" refreshError="1"/>
      <sheetData sheetId="8" refreshError="1"/>
      <sheetData sheetId="9">
        <row r="1">
          <cell r="B1">
            <v>2015</v>
          </cell>
        </row>
        <row r="5">
          <cell r="B5">
            <v>42099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66FFFF"/>
    <pageSetUpPr fitToPage="1"/>
  </sheetPr>
  <dimension ref="A1:V84"/>
  <sheetViews>
    <sheetView showGridLines="0" tabSelected="1" topLeftCell="A33" zoomScale="75" zoomScaleNormal="75" zoomScalePageLayoutView="75" workbookViewId="0">
      <selection activeCell="G62" sqref="G62"/>
    </sheetView>
  </sheetViews>
  <sheetFormatPr baseColWidth="10" defaultColWidth="5.7109375" defaultRowHeight="15" x14ac:dyDescent="0.25"/>
  <cols>
    <col min="1" max="1" width="10" style="21" customWidth="1"/>
    <col min="2" max="2" width="13.7109375" style="2" customWidth="1"/>
    <col min="3" max="3" width="11.42578125" style="2" bestFit="1" customWidth="1"/>
    <col min="4" max="4" width="12.85546875" bestFit="1" customWidth="1"/>
    <col min="5" max="6" width="9.7109375" customWidth="1"/>
    <col min="7" max="7" width="12.85546875" bestFit="1" customWidth="1"/>
    <col min="8" max="9" width="9.7109375" customWidth="1"/>
    <col min="10" max="10" width="12.85546875" bestFit="1" customWidth="1"/>
    <col min="11" max="12" width="9.7109375" customWidth="1"/>
    <col min="13" max="13" width="12.85546875" bestFit="1" customWidth="1"/>
    <col min="14" max="15" width="9.7109375" customWidth="1"/>
    <col min="16" max="16" width="16.28515625" customWidth="1"/>
    <col min="17" max="17" width="9.7109375" customWidth="1"/>
    <col min="18" max="18" width="12.42578125" bestFit="1" customWidth="1"/>
    <col min="20" max="20" width="11.28515625" bestFit="1" customWidth="1"/>
    <col min="21" max="21" width="9" bestFit="1" customWidth="1"/>
    <col min="22" max="22" width="7.28515625" customWidth="1"/>
    <col min="23" max="23" width="5.7109375" customWidth="1"/>
  </cols>
  <sheetData>
    <row r="1" spans="1:22" x14ac:dyDescent="0.25">
      <c r="A1" s="20"/>
      <c r="C1" s="15"/>
      <c r="Q1" s="23"/>
    </row>
    <row r="2" spans="1:22" ht="27.75" thickBot="1" x14ac:dyDescent="0.3">
      <c r="A2" s="20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7"/>
      <c r="Q2" s="47"/>
      <c r="R2" s="47"/>
    </row>
    <row r="3" spans="1:22" ht="15.75" customHeight="1" x14ac:dyDescent="0.25">
      <c r="A3" s="20"/>
      <c r="B3" s="11" t="s">
        <v>9</v>
      </c>
      <c r="C3" s="36">
        <v>2014</v>
      </c>
      <c r="D3" s="49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1"/>
    </row>
    <row r="4" spans="1:22" ht="16.5" customHeight="1" thickBot="1" x14ac:dyDescent="0.3">
      <c r="A4" s="20"/>
      <c r="B4" s="12" t="s">
        <v>10</v>
      </c>
      <c r="C4" s="36">
        <v>10</v>
      </c>
      <c r="D4" s="52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4"/>
      <c r="T4" s="43"/>
      <c r="U4" s="44"/>
      <c r="V4" s="45"/>
    </row>
    <row r="5" spans="1:22" ht="16.5" customHeight="1" x14ac:dyDescent="0.25">
      <c r="A5" s="20"/>
      <c r="B5" s="55" t="s">
        <v>26</v>
      </c>
      <c r="C5" s="58">
        <f>MAX(A:A)</f>
        <v>23</v>
      </c>
      <c r="D5" s="61" t="s">
        <v>21</v>
      </c>
      <c r="E5" s="62"/>
      <c r="F5" s="63"/>
      <c r="G5" s="61" t="s">
        <v>22</v>
      </c>
      <c r="H5" s="62"/>
      <c r="I5" s="62"/>
      <c r="J5" s="61" t="s">
        <v>23</v>
      </c>
      <c r="K5" s="62"/>
      <c r="L5" s="63"/>
      <c r="M5" s="80" t="s">
        <v>24</v>
      </c>
      <c r="N5" s="81"/>
      <c r="O5" s="82"/>
      <c r="P5" s="80" t="s">
        <v>25</v>
      </c>
      <c r="Q5" s="81"/>
      <c r="R5" s="82"/>
      <c r="T5" s="38" t="s">
        <v>21</v>
      </c>
      <c r="U5" s="39">
        <v>0.33</v>
      </c>
      <c r="V5" s="39">
        <v>0.33</v>
      </c>
    </row>
    <row r="6" spans="1:22" ht="26.25" customHeight="1" x14ac:dyDescent="0.25">
      <c r="A6" s="20"/>
      <c r="B6" s="56"/>
      <c r="C6" s="59"/>
      <c r="D6" s="64"/>
      <c r="E6" s="65"/>
      <c r="F6" s="66"/>
      <c r="G6" s="64"/>
      <c r="H6" s="65"/>
      <c r="I6" s="65"/>
      <c r="J6" s="64"/>
      <c r="K6" s="65"/>
      <c r="L6" s="66"/>
      <c r="M6" s="83"/>
      <c r="N6" s="84"/>
      <c r="O6" s="85"/>
      <c r="P6" s="83"/>
      <c r="Q6" s="84"/>
      <c r="R6" s="85"/>
      <c r="T6" s="38" t="s">
        <v>22</v>
      </c>
      <c r="U6" s="39">
        <v>0.01</v>
      </c>
      <c r="V6" s="39">
        <v>0.01</v>
      </c>
    </row>
    <row r="7" spans="1:22" ht="15.75" customHeight="1" x14ac:dyDescent="0.25">
      <c r="A7" s="20"/>
      <c r="B7" s="56"/>
      <c r="C7" s="59"/>
      <c r="D7" s="67" t="s">
        <v>11</v>
      </c>
      <c r="E7" s="71" t="s">
        <v>12</v>
      </c>
      <c r="F7" s="72"/>
      <c r="G7" s="67" t="s">
        <v>11</v>
      </c>
      <c r="H7" s="71" t="s">
        <v>12</v>
      </c>
      <c r="I7" s="75"/>
      <c r="J7" s="67" t="s">
        <v>11</v>
      </c>
      <c r="K7" s="76" t="s">
        <v>12</v>
      </c>
      <c r="L7" s="77"/>
      <c r="M7" s="67" t="s">
        <v>11</v>
      </c>
      <c r="N7" s="76" t="s">
        <v>12</v>
      </c>
      <c r="O7" s="77"/>
      <c r="P7" s="67" t="s">
        <v>13</v>
      </c>
      <c r="Q7" s="71" t="s">
        <v>14</v>
      </c>
      <c r="R7" s="72"/>
      <c r="T7" s="38" t="s">
        <v>23</v>
      </c>
      <c r="U7" s="39">
        <v>0.33</v>
      </c>
      <c r="V7" s="39">
        <v>0.33</v>
      </c>
    </row>
    <row r="8" spans="1:22" ht="15.75" customHeight="1" x14ac:dyDescent="0.25">
      <c r="A8" s="20"/>
      <c r="B8" s="57"/>
      <c r="C8" s="60"/>
      <c r="D8" s="70"/>
      <c r="E8" s="73"/>
      <c r="F8" s="74"/>
      <c r="G8" s="70"/>
      <c r="H8" s="73"/>
      <c r="I8" s="73"/>
      <c r="J8" s="69"/>
      <c r="K8" s="78"/>
      <c r="L8" s="79"/>
      <c r="M8" s="69"/>
      <c r="N8" s="78"/>
      <c r="O8" s="79"/>
      <c r="P8" s="68"/>
      <c r="Q8" s="86"/>
      <c r="R8" s="87"/>
      <c r="T8" s="38" t="s">
        <v>24</v>
      </c>
      <c r="U8" s="39">
        <v>0.33</v>
      </c>
      <c r="V8" s="39">
        <v>0.33</v>
      </c>
    </row>
    <row r="9" spans="1:22" ht="15.75" customHeight="1" x14ac:dyDescent="0.25">
      <c r="A9" s="20"/>
      <c r="B9" s="55" t="s">
        <v>27</v>
      </c>
      <c r="C9" s="101">
        <f>+T13/C5</f>
        <v>4347.826086956522</v>
      </c>
      <c r="D9" s="90" t="s">
        <v>11</v>
      </c>
      <c r="E9" s="92" t="s">
        <v>15</v>
      </c>
      <c r="F9" s="103" t="s">
        <v>16</v>
      </c>
      <c r="G9" s="90" t="s">
        <v>11</v>
      </c>
      <c r="H9" s="92" t="s">
        <v>15</v>
      </c>
      <c r="I9" s="88" t="s">
        <v>16</v>
      </c>
      <c r="J9" s="90" t="s">
        <v>11</v>
      </c>
      <c r="K9" s="92" t="s">
        <v>15</v>
      </c>
      <c r="L9" s="88" t="s">
        <v>16</v>
      </c>
      <c r="M9" s="90" t="s">
        <v>11</v>
      </c>
      <c r="N9" s="92" t="s">
        <v>15</v>
      </c>
      <c r="O9" s="88" t="s">
        <v>16</v>
      </c>
      <c r="P9" s="98" t="s">
        <v>13</v>
      </c>
      <c r="Q9" s="94" t="s">
        <v>18</v>
      </c>
      <c r="R9" s="96" t="s">
        <v>17</v>
      </c>
      <c r="T9" s="2"/>
      <c r="U9" s="41"/>
      <c r="V9" s="2"/>
    </row>
    <row r="10" spans="1:22" ht="15.75" customHeight="1" x14ac:dyDescent="0.25">
      <c r="A10" s="19"/>
      <c r="B10" s="100"/>
      <c r="C10" s="102"/>
      <c r="D10" s="91"/>
      <c r="E10" s="93"/>
      <c r="F10" s="104"/>
      <c r="G10" s="91"/>
      <c r="H10" s="93"/>
      <c r="I10" s="89"/>
      <c r="J10" s="91"/>
      <c r="K10" s="93"/>
      <c r="L10" s="89"/>
      <c r="M10" s="91"/>
      <c r="N10" s="93"/>
      <c r="O10" s="89"/>
      <c r="P10" s="99"/>
      <c r="Q10" s="95"/>
      <c r="R10" s="97"/>
      <c r="T10" s="2"/>
      <c r="U10" s="2"/>
      <c r="V10" s="2"/>
    </row>
    <row r="11" spans="1:22" s="1" customFormat="1" ht="9.9499999999999993" customHeight="1" x14ac:dyDescent="0.2">
      <c r="A11" s="46">
        <f>IF(OR(EXACT("dimanche",$B11),EXACT("samedi",$B11)),0,IF(COUNTIF(Fériés,"="&amp;$C11)&gt;0,0,MAX(A$10:A10)+(1*IF(MONTH(C11)=$C$4,1,0))))</f>
        <v>1</v>
      </c>
      <c r="B11" s="13" t="str">
        <f>TEXT(C11,"jjjjjjj")</f>
        <v>mercredi</v>
      </c>
      <c r="C11" s="16">
        <f>IF(MONTH(DATE(An_Ref,Mois_Ref,1))=Mois_Ref,DATE(An_Ref,Mois_Ref,1),"0")</f>
        <v>41913</v>
      </c>
      <c r="D11" s="24">
        <f t="shared" ref="D11:D41" si="0">IF(B11="",#N/A,IF(OR(EXACT("dimanche",$B11),EXACT("samedi",$B11)),#N/A,$C$9*$A11*$U$5))</f>
        <v>1434.7826086956522</v>
      </c>
      <c r="E11" s="26"/>
      <c r="F11" s="28" t="e">
        <f t="shared" ref="F11:F41" si="1">IF(OR(OR(D11="",E11=""),OR(D11=0,E11=0)),#N/A,E11/D11)</f>
        <v>#N/A</v>
      </c>
      <c r="G11" s="24">
        <f t="shared" ref="G11:G41" si="2">IF(B11="",#N/A,IF(OR(EXACT("dimanche",$B11),EXACT("samedi",$B11)),#N/A,$C$9*$A11*$U$6))</f>
        <v>43.478260869565219</v>
      </c>
      <c r="H11" s="26"/>
      <c r="I11" s="30" t="e">
        <f>IF(OR(OR(G11="",H11=""),OR(G11=0,H11=0)),#N/A,H11/G11)</f>
        <v>#N/A</v>
      </c>
      <c r="J11" s="24">
        <f t="shared" ref="J11:J41" si="3">IF(B11="",#N/A,IF(OR(EXACT("dimanche",$B11),EXACT("samedi",$B11)),#N/A,$C$9*$A11*$U$7))</f>
        <v>1434.7826086956522</v>
      </c>
      <c r="K11" s="26"/>
      <c r="L11" s="30" t="e">
        <f>IF(OR(OR(J11="",K11=""),OR(J11=0,K11=0)),#N/A,K11/J11)</f>
        <v>#N/A</v>
      </c>
      <c r="M11" s="24">
        <f t="shared" ref="M11:M41" si="4">IF(B11="",#N/A,IF(OR(EXACT("dimanche",$B11),EXACT("samedi",$B11)),#N/A,$C$9*$A11*$U$8))</f>
        <v>1434.7826086956522</v>
      </c>
      <c r="N11" s="26"/>
      <c r="O11" s="30" t="e">
        <f>IF(OR(OR(M11="",N11=""),OR(M11=0,N11=0)),#N/A,N11/M11)</f>
        <v>#N/A</v>
      </c>
      <c r="P11" s="37">
        <f t="shared" ref="P11:P41" si="5">IF(SUM(D11,G11,J11,M11)=0,#N/A,SUM(D11,G11,J11,M11))</f>
        <v>4347.826086956522</v>
      </c>
      <c r="Q11" s="33">
        <f t="shared" ref="Q11:Q41" si="6">SUM(E11+H11+K11+N11)</f>
        <v>0</v>
      </c>
      <c r="R11" s="30" t="e">
        <f>IF(OR(OR(P11="",Q11=""),OR(P11=0,Q11=0)),#N/A,Q11/P11)</f>
        <v>#N/A</v>
      </c>
      <c r="T11" s="105" t="s">
        <v>28</v>
      </c>
      <c r="U11" s="105" t="s">
        <v>29</v>
      </c>
      <c r="V11" s="40"/>
    </row>
    <row r="12" spans="1:22" s="1" customFormat="1" ht="9.9499999999999993" customHeight="1" x14ac:dyDescent="0.2">
      <c r="A12" s="46">
        <f>IF(OR(EXACT("dimanche",$B12),EXACT("samedi",$B12)),0,IF(COUNTIF(Fériés,"="&amp;$C12)&gt;0,0,MAX(A$10:A11)+(1*IF(MONTH(C12)=$C$4,1,0))))</f>
        <v>2</v>
      </c>
      <c r="B12" s="13" t="str">
        <f t="shared" ref="B12:B41" si="7">TEXT(C12,"jjjjjjj")</f>
        <v>jeudi</v>
      </c>
      <c r="C12" s="16">
        <f t="shared" ref="C12:C41" si="8">IF(MONTH(C11+1)=Mois_Ref,C11+1,"0")</f>
        <v>41914</v>
      </c>
      <c r="D12" s="24">
        <f t="shared" si="0"/>
        <v>2869.5652173913045</v>
      </c>
      <c r="E12" s="26"/>
      <c r="F12" s="28" t="e">
        <f t="shared" si="1"/>
        <v>#N/A</v>
      </c>
      <c r="G12" s="24">
        <f t="shared" si="2"/>
        <v>86.956521739130437</v>
      </c>
      <c r="H12" s="26"/>
      <c r="I12" s="30" t="e">
        <f t="shared" ref="I12:I41" si="9">IF(OR(OR(G12="",H12=""),OR(G12=0,H12=0)),#N/A,H12/G12)</f>
        <v>#N/A</v>
      </c>
      <c r="J12" s="24">
        <f t="shared" si="3"/>
        <v>2869.5652173913045</v>
      </c>
      <c r="K12" s="26"/>
      <c r="L12" s="30" t="e">
        <f t="shared" ref="L12:L41" si="10">IF(OR(OR(J12="",K12=""),OR(J12=0,K12=0)),#N/A,K12/J12)</f>
        <v>#N/A</v>
      </c>
      <c r="M12" s="24">
        <f t="shared" si="4"/>
        <v>2869.5652173913045</v>
      </c>
      <c r="N12" s="26"/>
      <c r="O12" s="30" t="e">
        <f t="shared" ref="O12:O41" si="11">IF(OR(OR(M12="",N12=""),OR(M12=0,N12=0)),#N/A,N12/M12)</f>
        <v>#N/A</v>
      </c>
      <c r="P12" s="37">
        <f t="shared" si="5"/>
        <v>8695.652173913044</v>
      </c>
      <c r="Q12" s="34">
        <f t="shared" si="6"/>
        <v>0</v>
      </c>
      <c r="R12" s="30" t="e">
        <f t="shared" ref="R12:R41" si="12">IF(OR(OR(P12="",Q12=""),OR(P12=0,Q12=0)),#N/A,Q12/P12)</f>
        <v>#N/A</v>
      </c>
      <c r="T12" s="105"/>
      <c r="U12" s="105"/>
      <c r="V12" s="40"/>
    </row>
    <row r="13" spans="1:22" s="1" customFormat="1" ht="9.9499999999999993" customHeight="1" x14ac:dyDescent="0.2">
      <c r="A13" s="46">
        <f>IF(OR(EXACT("dimanche",$B13),EXACT("samedi",$B13)),0,IF(COUNTIF(Fériés,"="&amp;$C13)&gt;0,0,MAX(A$10:A12)+(1*IF(MONTH(C13)=$C$4,1,0))))</f>
        <v>3</v>
      </c>
      <c r="B13" s="13" t="str">
        <f t="shared" si="7"/>
        <v>vendredi</v>
      </c>
      <c r="C13" s="16">
        <f t="shared" si="8"/>
        <v>41915</v>
      </c>
      <c r="D13" s="24">
        <f t="shared" si="0"/>
        <v>4304.347826086957</v>
      </c>
      <c r="E13" s="26"/>
      <c r="F13" s="28" t="e">
        <f t="shared" si="1"/>
        <v>#N/A</v>
      </c>
      <c r="G13" s="24">
        <f t="shared" si="2"/>
        <v>130.43478260869566</v>
      </c>
      <c r="H13" s="26"/>
      <c r="I13" s="30" t="e">
        <f t="shared" si="9"/>
        <v>#N/A</v>
      </c>
      <c r="J13" s="24">
        <f t="shared" si="3"/>
        <v>4304.347826086957</v>
      </c>
      <c r="K13" s="26"/>
      <c r="L13" s="30" t="e">
        <f t="shared" si="10"/>
        <v>#N/A</v>
      </c>
      <c r="M13" s="24">
        <f t="shared" si="4"/>
        <v>4304.347826086957</v>
      </c>
      <c r="N13" s="26"/>
      <c r="O13" s="30" t="e">
        <f t="shared" si="11"/>
        <v>#N/A</v>
      </c>
      <c r="P13" s="37">
        <f t="shared" si="5"/>
        <v>13043.478260869568</v>
      </c>
      <c r="Q13" s="34">
        <f t="shared" si="6"/>
        <v>0</v>
      </c>
      <c r="R13" s="30" t="e">
        <f t="shared" si="12"/>
        <v>#N/A</v>
      </c>
      <c r="T13" s="106">
        <v>100000</v>
      </c>
      <c r="U13" s="107">
        <v>920</v>
      </c>
      <c r="V13" s="40"/>
    </row>
    <row r="14" spans="1:22" s="1" customFormat="1" ht="9.9499999999999993" customHeight="1" x14ac:dyDescent="0.2">
      <c r="A14" s="46">
        <f>IF(OR(EXACT("dimanche",$B14),EXACT("samedi",$B14)),0,IF(COUNTIF(Fériés,"="&amp;$C14)&gt;0,0,MAX(A$10:A13)+(1*IF(MONTH(C14)=$C$4,1,0))))</f>
        <v>0</v>
      </c>
      <c r="B14" s="13" t="str">
        <f t="shared" si="7"/>
        <v>samedi</v>
      </c>
      <c r="C14" s="16">
        <f t="shared" si="8"/>
        <v>41916</v>
      </c>
      <c r="D14" s="24" t="e">
        <f t="shared" si="0"/>
        <v>#N/A</v>
      </c>
      <c r="E14" s="26"/>
      <c r="F14" s="28" t="e">
        <f t="shared" si="1"/>
        <v>#N/A</v>
      </c>
      <c r="G14" s="24" t="e">
        <f t="shared" si="2"/>
        <v>#N/A</v>
      </c>
      <c r="H14" s="26"/>
      <c r="I14" s="30" t="e">
        <f t="shared" si="9"/>
        <v>#N/A</v>
      </c>
      <c r="J14" s="24" t="e">
        <f t="shared" si="3"/>
        <v>#N/A</v>
      </c>
      <c r="K14" s="26"/>
      <c r="L14" s="30" t="e">
        <f t="shared" si="10"/>
        <v>#N/A</v>
      </c>
      <c r="M14" s="24" t="e">
        <f t="shared" si="4"/>
        <v>#N/A</v>
      </c>
      <c r="N14" s="26"/>
      <c r="O14" s="30" t="e">
        <f t="shared" si="11"/>
        <v>#N/A</v>
      </c>
      <c r="P14" s="37" t="e">
        <f t="shared" si="5"/>
        <v>#N/A</v>
      </c>
      <c r="Q14" s="34">
        <f t="shared" si="6"/>
        <v>0</v>
      </c>
      <c r="R14" s="30" t="e">
        <f t="shared" si="12"/>
        <v>#N/A</v>
      </c>
      <c r="T14" s="106"/>
      <c r="U14" s="107"/>
      <c r="V14" s="40"/>
    </row>
    <row r="15" spans="1:22" s="1" customFormat="1" ht="9.9499999999999993" customHeight="1" x14ac:dyDescent="0.2">
      <c r="A15" s="46">
        <f>IF(OR(EXACT("dimanche",$B15),EXACT("samedi",$B15)),0,IF(COUNTIF(Fériés,"="&amp;$C15)&gt;0,0,MAX(A$10:A14)+(1*IF(MONTH(C15)=$C$4,1,0))))</f>
        <v>0</v>
      </c>
      <c r="B15" s="13" t="str">
        <f t="shared" si="7"/>
        <v>dimanche</v>
      </c>
      <c r="C15" s="16">
        <f t="shared" si="8"/>
        <v>41917</v>
      </c>
      <c r="D15" s="24" t="e">
        <f t="shared" si="0"/>
        <v>#N/A</v>
      </c>
      <c r="E15" s="26"/>
      <c r="F15" s="28" t="e">
        <f t="shared" si="1"/>
        <v>#N/A</v>
      </c>
      <c r="G15" s="24" t="e">
        <f t="shared" si="2"/>
        <v>#N/A</v>
      </c>
      <c r="H15" s="26"/>
      <c r="I15" s="30" t="e">
        <f t="shared" si="9"/>
        <v>#N/A</v>
      </c>
      <c r="J15" s="24" t="e">
        <f t="shared" si="3"/>
        <v>#N/A</v>
      </c>
      <c r="K15" s="26"/>
      <c r="L15" s="30" t="e">
        <f t="shared" si="10"/>
        <v>#N/A</v>
      </c>
      <c r="M15" s="24" t="e">
        <f t="shared" si="4"/>
        <v>#N/A</v>
      </c>
      <c r="N15" s="26"/>
      <c r="O15" s="30" t="e">
        <f t="shared" si="11"/>
        <v>#N/A</v>
      </c>
      <c r="P15" s="37" t="e">
        <f t="shared" si="5"/>
        <v>#N/A</v>
      </c>
      <c r="Q15" s="34">
        <f t="shared" si="6"/>
        <v>0</v>
      </c>
      <c r="R15" s="30" t="e">
        <f t="shared" si="12"/>
        <v>#N/A</v>
      </c>
      <c r="T15" s="108">
        <f>+T13/C5</f>
        <v>4347.826086956522</v>
      </c>
      <c r="U15" s="108">
        <f>+U13/C5</f>
        <v>40</v>
      </c>
      <c r="V15" s="40"/>
    </row>
    <row r="16" spans="1:22" s="1" customFormat="1" ht="9.9499999999999993" customHeight="1" x14ac:dyDescent="0.2">
      <c r="A16" s="46">
        <f>IF(OR(EXACT("dimanche",$B16),EXACT("samedi",$B16)),0,IF(COUNTIF(Fériés,"="&amp;$C16)&gt;0,0,MAX(A$10:A15)+(1*IF(MONTH(C16)=$C$4,1,0))))</f>
        <v>4</v>
      </c>
      <c r="B16" s="13" t="str">
        <f t="shared" si="7"/>
        <v>lundi</v>
      </c>
      <c r="C16" s="16">
        <f t="shared" si="8"/>
        <v>41918</v>
      </c>
      <c r="D16" s="24">
        <f t="shared" si="0"/>
        <v>5739.130434782609</v>
      </c>
      <c r="E16" s="26"/>
      <c r="F16" s="28" t="e">
        <f t="shared" si="1"/>
        <v>#N/A</v>
      </c>
      <c r="G16" s="24">
        <f t="shared" si="2"/>
        <v>173.91304347826087</v>
      </c>
      <c r="H16" s="26"/>
      <c r="I16" s="30" t="e">
        <f t="shared" si="9"/>
        <v>#N/A</v>
      </c>
      <c r="J16" s="24">
        <f t="shared" si="3"/>
        <v>5739.130434782609</v>
      </c>
      <c r="K16" s="26"/>
      <c r="L16" s="30" t="e">
        <f t="shared" si="10"/>
        <v>#N/A</v>
      </c>
      <c r="M16" s="24">
        <f t="shared" si="4"/>
        <v>5739.130434782609</v>
      </c>
      <c r="N16" s="26"/>
      <c r="O16" s="30" t="e">
        <f t="shared" si="11"/>
        <v>#N/A</v>
      </c>
      <c r="P16" s="37">
        <f t="shared" si="5"/>
        <v>17391.304347826088</v>
      </c>
      <c r="Q16" s="34">
        <f t="shared" si="6"/>
        <v>0</v>
      </c>
      <c r="R16" s="30" t="e">
        <f t="shared" si="12"/>
        <v>#N/A</v>
      </c>
      <c r="T16" s="108"/>
      <c r="U16" s="108"/>
      <c r="V16" s="40"/>
    </row>
    <row r="17" spans="1:18" s="1" customFormat="1" ht="9.9499999999999993" customHeight="1" x14ac:dyDescent="0.2">
      <c r="A17" s="46">
        <f>IF(OR(EXACT("dimanche",$B17),EXACT("samedi",$B17)),0,IF(COUNTIF(Fériés,"="&amp;$C17)&gt;0,0,MAX(A$10:A16)+(1*IF(MONTH(C17)=$C$4,1,0))))</f>
        <v>5</v>
      </c>
      <c r="B17" s="13" t="str">
        <f t="shared" si="7"/>
        <v>mardi</v>
      </c>
      <c r="C17" s="16">
        <f t="shared" si="8"/>
        <v>41919</v>
      </c>
      <c r="D17" s="24">
        <f t="shared" si="0"/>
        <v>7173.913043478261</v>
      </c>
      <c r="E17" s="26"/>
      <c r="F17" s="28" t="e">
        <f t="shared" si="1"/>
        <v>#N/A</v>
      </c>
      <c r="G17" s="24">
        <f t="shared" si="2"/>
        <v>217.39130434782609</v>
      </c>
      <c r="H17" s="26"/>
      <c r="I17" s="30" t="e">
        <f t="shared" si="9"/>
        <v>#N/A</v>
      </c>
      <c r="J17" s="24">
        <f t="shared" si="3"/>
        <v>7173.913043478261</v>
      </c>
      <c r="K17" s="26"/>
      <c r="L17" s="30" t="e">
        <f t="shared" si="10"/>
        <v>#N/A</v>
      </c>
      <c r="M17" s="24">
        <f t="shared" si="4"/>
        <v>7173.913043478261</v>
      </c>
      <c r="N17" s="26"/>
      <c r="O17" s="30" t="e">
        <f t="shared" si="11"/>
        <v>#N/A</v>
      </c>
      <c r="P17" s="37">
        <f t="shared" si="5"/>
        <v>21739.130434782608</v>
      </c>
      <c r="Q17" s="34">
        <f t="shared" si="6"/>
        <v>0</v>
      </c>
      <c r="R17" s="30" t="e">
        <f t="shared" si="12"/>
        <v>#N/A</v>
      </c>
    </row>
    <row r="18" spans="1:18" s="1" customFormat="1" ht="9.9499999999999993" customHeight="1" x14ac:dyDescent="0.2">
      <c r="A18" s="46">
        <f>IF(OR(EXACT("dimanche",$B18),EXACT("samedi",$B18)),0,IF(COUNTIF(Fériés,"="&amp;$C18)&gt;0,0,MAX(A$10:A17)+(1*IF(MONTH(C18)=$C$4,1,0))))</f>
        <v>6</v>
      </c>
      <c r="B18" s="13" t="str">
        <f t="shared" si="7"/>
        <v>mercredi</v>
      </c>
      <c r="C18" s="16">
        <f t="shared" si="8"/>
        <v>41920</v>
      </c>
      <c r="D18" s="24">
        <f t="shared" si="0"/>
        <v>8608.6956521739139</v>
      </c>
      <c r="E18" s="26"/>
      <c r="F18" s="28" t="e">
        <f t="shared" si="1"/>
        <v>#N/A</v>
      </c>
      <c r="G18" s="24">
        <f t="shared" si="2"/>
        <v>260.86956521739131</v>
      </c>
      <c r="H18" s="26"/>
      <c r="I18" s="30" t="e">
        <f t="shared" si="9"/>
        <v>#N/A</v>
      </c>
      <c r="J18" s="24">
        <f t="shared" si="3"/>
        <v>8608.6956521739139</v>
      </c>
      <c r="K18" s="26"/>
      <c r="L18" s="30" t="e">
        <f t="shared" si="10"/>
        <v>#N/A</v>
      </c>
      <c r="M18" s="24">
        <f t="shared" si="4"/>
        <v>8608.6956521739139</v>
      </c>
      <c r="N18" s="26"/>
      <c r="O18" s="30" t="e">
        <f t="shared" si="11"/>
        <v>#N/A</v>
      </c>
      <c r="P18" s="37">
        <f t="shared" si="5"/>
        <v>26086.956521739135</v>
      </c>
      <c r="Q18" s="34">
        <f t="shared" si="6"/>
        <v>0</v>
      </c>
      <c r="R18" s="30" t="e">
        <f t="shared" si="12"/>
        <v>#N/A</v>
      </c>
    </row>
    <row r="19" spans="1:18" s="1" customFormat="1" ht="9.9499999999999993" customHeight="1" x14ac:dyDescent="0.2">
      <c r="A19" s="46">
        <f>IF(OR(EXACT("dimanche",$B19),EXACT("samedi",$B19)),0,IF(COUNTIF(Fériés,"="&amp;$C19)&gt;0,0,MAX(A$10:A18)+(1*IF(MONTH(C19)=$C$4,1,0))))</f>
        <v>7</v>
      </c>
      <c r="B19" s="13" t="str">
        <f t="shared" si="7"/>
        <v>jeudi</v>
      </c>
      <c r="C19" s="16">
        <f t="shared" si="8"/>
        <v>41921</v>
      </c>
      <c r="D19" s="24">
        <f t="shared" si="0"/>
        <v>10043.478260869568</v>
      </c>
      <c r="E19" s="26"/>
      <c r="F19" s="28" t="e">
        <f t="shared" si="1"/>
        <v>#N/A</v>
      </c>
      <c r="G19" s="24">
        <f t="shared" si="2"/>
        <v>304.34782608695656</v>
      </c>
      <c r="H19" s="26"/>
      <c r="I19" s="30" t="e">
        <f t="shared" si="9"/>
        <v>#N/A</v>
      </c>
      <c r="J19" s="24">
        <f t="shared" si="3"/>
        <v>10043.478260869568</v>
      </c>
      <c r="K19" s="26"/>
      <c r="L19" s="30" t="e">
        <f t="shared" si="10"/>
        <v>#N/A</v>
      </c>
      <c r="M19" s="24">
        <f t="shared" si="4"/>
        <v>10043.478260869568</v>
      </c>
      <c r="N19" s="26"/>
      <c r="O19" s="30" t="e">
        <f t="shared" si="11"/>
        <v>#N/A</v>
      </c>
      <c r="P19" s="37">
        <f t="shared" si="5"/>
        <v>30434.782608695659</v>
      </c>
      <c r="Q19" s="34">
        <f t="shared" si="6"/>
        <v>0</v>
      </c>
      <c r="R19" s="30" t="e">
        <f t="shared" si="12"/>
        <v>#N/A</v>
      </c>
    </row>
    <row r="20" spans="1:18" s="1" customFormat="1" ht="9.9499999999999993" customHeight="1" x14ac:dyDescent="0.2">
      <c r="A20" s="46">
        <f>IF(OR(EXACT("dimanche",$B20),EXACT("samedi",$B20)),0,IF(COUNTIF(Fériés,"="&amp;$C20)&gt;0,0,MAX(A$10:A19)+(1*IF(MONTH(C20)=$C$4,1,0))))</f>
        <v>8</v>
      </c>
      <c r="B20" s="13" t="str">
        <f t="shared" si="7"/>
        <v>vendredi</v>
      </c>
      <c r="C20" s="16">
        <f t="shared" si="8"/>
        <v>41922</v>
      </c>
      <c r="D20" s="24">
        <f t="shared" si="0"/>
        <v>11478.260869565218</v>
      </c>
      <c r="E20" s="26"/>
      <c r="F20" s="28" t="e">
        <f t="shared" si="1"/>
        <v>#N/A</v>
      </c>
      <c r="G20" s="24">
        <f t="shared" si="2"/>
        <v>347.82608695652175</v>
      </c>
      <c r="H20" s="26"/>
      <c r="I20" s="30" t="e">
        <f t="shared" si="9"/>
        <v>#N/A</v>
      </c>
      <c r="J20" s="24">
        <f t="shared" si="3"/>
        <v>11478.260869565218</v>
      </c>
      <c r="K20" s="26"/>
      <c r="L20" s="30" t="e">
        <f t="shared" si="10"/>
        <v>#N/A</v>
      </c>
      <c r="M20" s="24">
        <f t="shared" si="4"/>
        <v>11478.260869565218</v>
      </c>
      <c r="N20" s="26"/>
      <c r="O20" s="30" t="e">
        <f t="shared" si="11"/>
        <v>#N/A</v>
      </c>
      <c r="P20" s="37">
        <f t="shared" si="5"/>
        <v>34782.608695652176</v>
      </c>
      <c r="Q20" s="34">
        <f t="shared" si="6"/>
        <v>0</v>
      </c>
      <c r="R20" s="30" t="e">
        <f t="shared" si="12"/>
        <v>#N/A</v>
      </c>
    </row>
    <row r="21" spans="1:18" s="1" customFormat="1" ht="9.9499999999999993" customHeight="1" x14ac:dyDescent="0.2">
      <c r="A21" s="46">
        <f>IF(OR(EXACT("dimanche",$B21),EXACT("samedi",$B21)),0,IF(COUNTIF(Fériés,"="&amp;$C21)&gt;0,0,MAX(A$10:A20)+(1*IF(MONTH(C21)=$C$4,1,0))))</f>
        <v>0</v>
      </c>
      <c r="B21" s="13" t="str">
        <f t="shared" si="7"/>
        <v>samedi</v>
      </c>
      <c r="C21" s="16">
        <f t="shared" si="8"/>
        <v>41923</v>
      </c>
      <c r="D21" s="24" t="e">
        <f t="shared" si="0"/>
        <v>#N/A</v>
      </c>
      <c r="E21" s="26"/>
      <c r="F21" s="28" t="e">
        <f t="shared" si="1"/>
        <v>#N/A</v>
      </c>
      <c r="G21" s="24" t="e">
        <f t="shared" si="2"/>
        <v>#N/A</v>
      </c>
      <c r="H21" s="26"/>
      <c r="I21" s="30" t="e">
        <f t="shared" si="9"/>
        <v>#N/A</v>
      </c>
      <c r="J21" s="24" t="e">
        <f t="shared" si="3"/>
        <v>#N/A</v>
      </c>
      <c r="K21" s="26"/>
      <c r="L21" s="30" t="e">
        <f t="shared" si="10"/>
        <v>#N/A</v>
      </c>
      <c r="M21" s="24" t="e">
        <f t="shared" si="4"/>
        <v>#N/A</v>
      </c>
      <c r="N21" s="26"/>
      <c r="O21" s="30" t="e">
        <f t="shared" si="11"/>
        <v>#N/A</v>
      </c>
      <c r="P21" s="37" t="e">
        <f t="shared" si="5"/>
        <v>#N/A</v>
      </c>
      <c r="Q21" s="34">
        <f t="shared" si="6"/>
        <v>0</v>
      </c>
      <c r="R21" s="30" t="e">
        <f t="shared" si="12"/>
        <v>#N/A</v>
      </c>
    </row>
    <row r="22" spans="1:18" s="1" customFormat="1" ht="9.9499999999999993" customHeight="1" x14ac:dyDescent="0.2">
      <c r="A22" s="46">
        <f>IF(OR(EXACT("dimanche",$B22),EXACT("samedi",$B22)),0,IF(COUNTIF(Fériés,"="&amp;$C22)&gt;0,0,MAX(A$10:A21)+(1*IF(MONTH(C22)=$C$4,1,0))))</f>
        <v>0</v>
      </c>
      <c r="B22" s="13" t="str">
        <f t="shared" si="7"/>
        <v>dimanche</v>
      </c>
      <c r="C22" s="16">
        <f t="shared" si="8"/>
        <v>41924</v>
      </c>
      <c r="D22" s="24" t="e">
        <f t="shared" si="0"/>
        <v>#N/A</v>
      </c>
      <c r="E22" s="26"/>
      <c r="F22" s="28" t="e">
        <f t="shared" si="1"/>
        <v>#N/A</v>
      </c>
      <c r="G22" s="24" t="e">
        <f t="shared" si="2"/>
        <v>#N/A</v>
      </c>
      <c r="H22" s="26"/>
      <c r="I22" s="30" t="e">
        <f t="shared" si="9"/>
        <v>#N/A</v>
      </c>
      <c r="J22" s="24" t="e">
        <f t="shared" si="3"/>
        <v>#N/A</v>
      </c>
      <c r="K22" s="26"/>
      <c r="L22" s="30" t="e">
        <f t="shared" si="10"/>
        <v>#N/A</v>
      </c>
      <c r="M22" s="24" t="e">
        <f t="shared" si="4"/>
        <v>#N/A</v>
      </c>
      <c r="N22" s="26"/>
      <c r="O22" s="30" t="e">
        <f t="shared" si="11"/>
        <v>#N/A</v>
      </c>
      <c r="P22" s="37" t="e">
        <f t="shared" si="5"/>
        <v>#N/A</v>
      </c>
      <c r="Q22" s="34">
        <f t="shared" si="6"/>
        <v>0</v>
      </c>
      <c r="R22" s="30" t="e">
        <f t="shared" si="12"/>
        <v>#N/A</v>
      </c>
    </row>
    <row r="23" spans="1:18" s="1" customFormat="1" ht="9.9499999999999993" customHeight="1" x14ac:dyDescent="0.2">
      <c r="A23" s="46">
        <f>IF(OR(EXACT("dimanche",$B23),EXACT("samedi",$B23)),0,IF(COUNTIF(Fériés,"="&amp;$C23)&gt;0,0,MAX(A$10:A22)+(1*IF(MONTH(C23)=$C$4,1,0))))</f>
        <v>9</v>
      </c>
      <c r="B23" s="13" t="str">
        <f t="shared" si="7"/>
        <v>lundi</v>
      </c>
      <c r="C23" s="16">
        <f t="shared" si="8"/>
        <v>41925</v>
      </c>
      <c r="D23" s="24">
        <f t="shared" si="0"/>
        <v>12913.04347826087</v>
      </c>
      <c r="E23" s="26"/>
      <c r="F23" s="28" t="e">
        <f t="shared" si="1"/>
        <v>#N/A</v>
      </c>
      <c r="G23" s="24">
        <f t="shared" si="2"/>
        <v>391.304347826087</v>
      </c>
      <c r="H23" s="26"/>
      <c r="I23" s="30" t="e">
        <f t="shared" si="9"/>
        <v>#N/A</v>
      </c>
      <c r="J23" s="24">
        <f t="shared" si="3"/>
        <v>12913.04347826087</v>
      </c>
      <c r="K23" s="26"/>
      <c r="L23" s="30" t="e">
        <f t="shared" si="10"/>
        <v>#N/A</v>
      </c>
      <c r="M23" s="24">
        <f t="shared" si="4"/>
        <v>12913.04347826087</v>
      </c>
      <c r="N23" s="26"/>
      <c r="O23" s="30" t="e">
        <f t="shared" si="11"/>
        <v>#N/A</v>
      </c>
      <c r="P23" s="37">
        <f t="shared" si="5"/>
        <v>39130.434782608696</v>
      </c>
      <c r="Q23" s="34">
        <f t="shared" si="6"/>
        <v>0</v>
      </c>
      <c r="R23" s="30" t="e">
        <f t="shared" si="12"/>
        <v>#N/A</v>
      </c>
    </row>
    <row r="24" spans="1:18" s="1" customFormat="1" ht="9.9499999999999993" customHeight="1" x14ac:dyDescent="0.2">
      <c r="A24" s="46">
        <f>IF(OR(EXACT("dimanche",$B24),EXACT("samedi",$B24)),0,IF(COUNTIF(Fériés,"="&amp;$C24)&gt;0,0,MAX(A$10:A23)+(1*IF(MONTH(C24)=$C$4,1,0))))</f>
        <v>10</v>
      </c>
      <c r="B24" s="13" t="str">
        <f t="shared" si="7"/>
        <v>mardi</v>
      </c>
      <c r="C24" s="16">
        <f t="shared" si="8"/>
        <v>41926</v>
      </c>
      <c r="D24" s="24">
        <f t="shared" si="0"/>
        <v>14347.826086956522</v>
      </c>
      <c r="E24" s="26"/>
      <c r="F24" s="28" t="e">
        <f t="shared" si="1"/>
        <v>#N/A</v>
      </c>
      <c r="G24" s="24">
        <f t="shared" si="2"/>
        <v>434.78260869565219</v>
      </c>
      <c r="H24" s="26"/>
      <c r="I24" s="30" t="e">
        <f t="shared" si="9"/>
        <v>#N/A</v>
      </c>
      <c r="J24" s="24">
        <f t="shared" si="3"/>
        <v>14347.826086956522</v>
      </c>
      <c r="K24" s="26"/>
      <c r="L24" s="30" t="e">
        <f t="shared" si="10"/>
        <v>#N/A</v>
      </c>
      <c r="M24" s="24">
        <f t="shared" si="4"/>
        <v>14347.826086956522</v>
      </c>
      <c r="N24" s="26"/>
      <c r="O24" s="30" t="e">
        <f t="shared" si="11"/>
        <v>#N/A</v>
      </c>
      <c r="P24" s="37">
        <f t="shared" si="5"/>
        <v>43478.260869565216</v>
      </c>
      <c r="Q24" s="34">
        <f t="shared" si="6"/>
        <v>0</v>
      </c>
      <c r="R24" s="30" t="e">
        <f t="shared" si="12"/>
        <v>#N/A</v>
      </c>
    </row>
    <row r="25" spans="1:18" s="1" customFormat="1" ht="9.9499999999999993" customHeight="1" x14ac:dyDescent="0.2">
      <c r="A25" s="46">
        <f>IF(OR(EXACT("dimanche",$B25),EXACT("samedi",$B25)),0,IF(COUNTIF(Fériés,"="&amp;$C25)&gt;0,0,MAX(A$10:A24)+(1*IF(MONTH(C25)=$C$4,1,0))))</f>
        <v>11</v>
      </c>
      <c r="B25" s="13" t="str">
        <f t="shared" si="7"/>
        <v>mercredi</v>
      </c>
      <c r="C25" s="16">
        <f t="shared" si="8"/>
        <v>41927</v>
      </c>
      <c r="D25" s="24">
        <f t="shared" si="0"/>
        <v>15782.608695652176</v>
      </c>
      <c r="E25" s="26"/>
      <c r="F25" s="28" t="e">
        <f t="shared" si="1"/>
        <v>#N/A</v>
      </c>
      <c r="G25" s="24">
        <f t="shared" si="2"/>
        <v>478.26086956521743</v>
      </c>
      <c r="H25" s="26"/>
      <c r="I25" s="30" t="e">
        <f t="shared" si="9"/>
        <v>#N/A</v>
      </c>
      <c r="J25" s="24">
        <f t="shared" si="3"/>
        <v>15782.608695652176</v>
      </c>
      <c r="K25" s="26"/>
      <c r="L25" s="30" t="e">
        <f t="shared" si="10"/>
        <v>#N/A</v>
      </c>
      <c r="M25" s="24">
        <f t="shared" si="4"/>
        <v>15782.608695652176</v>
      </c>
      <c r="N25" s="26"/>
      <c r="O25" s="30" t="e">
        <f t="shared" si="11"/>
        <v>#N/A</v>
      </c>
      <c r="P25" s="37">
        <f t="shared" si="5"/>
        <v>47826.086956521744</v>
      </c>
      <c r="Q25" s="34">
        <f t="shared" si="6"/>
        <v>0</v>
      </c>
      <c r="R25" s="30" t="e">
        <f t="shared" si="12"/>
        <v>#N/A</v>
      </c>
    </row>
    <row r="26" spans="1:18" s="1" customFormat="1" ht="9.9499999999999993" customHeight="1" x14ac:dyDescent="0.2">
      <c r="A26" s="46">
        <f>IF(OR(EXACT("dimanche",$B26),EXACT("samedi",$B26)),0,IF(COUNTIF(Fériés,"="&amp;$C26)&gt;0,0,MAX(A$10:A25)+(1*IF(MONTH(C26)=$C$4,1,0))))</f>
        <v>12</v>
      </c>
      <c r="B26" s="13" t="str">
        <f t="shared" si="7"/>
        <v>jeudi</v>
      </c>
      <c r="C26" s="16">
        <f t="shared" si="8"/>
        <v>41928</v>
      </c>
      <c r="D26" s="24">
        <f t="shared" si="0"/>
        <v>17217.391304347828</v>
      </c>
      <c r="E26" s="26"/>
      <c r="F26" s="28" t="e">
        <f t="shared" si="1"/>
        <v>#N/A</v>
      </c>
      <c r="G26" s="24">
        <f t="shared" si="2"/>
        <v>521.73913043478262</v>
      </c>
      <c r="H26" s="26"/>
      <c r="I26" s="30" t="e">
        <f t="shared" si="9"/>
        <v>#N/A</v>
      </c>
      <c r="J26" s="24">
        <f t="shared" si="3"/>
        <v>17217.391304347828</v>
      </c>
      <c r="K26" s="26"/>
      <c r="L26" s="30" t="e">
        <f t="shared" si="10"/>
        <v>#N/A</v>
      </c>
      <c r="M26" s="24">
        <f t="shared" si="4"/>
        <v>17217.391304347828</v>
      </c>
      <c r="N26" s="26"/>
      <c r="O26" s="30" t="e">
        <f t="shared" si="11"/>
        <v>#N/A</v>
      </c>
      <c r="P26" s="37">
        <f t="shared" si="5"/>
        <v>52173.913043478271</v>
      </c>
      <c r="Q26" s="34">
        <f t="shared" si="6"/>
        <v>0</v>
      </c>
      <c r="R26" s="30" t="e">
        <f t="shared" si="12"/>
        <v>#N/A</v>
      </c>
    </row>
    <row r="27" spans="1:18" s="1" customFormat="1" ht="9.9499999999999993" customHeight="1" x14ac:dyDescent="0.2">
      <c r="A27" s="46">
        <f>IF(OR(EXACT("dimanche",$B27),EXACT("samedi",$B27)),0,IF(COUNTIF(Fériés,"="&amp;$C27)&gt;0,0,MAX(A$10:A26)+(1*IF(MONTH(C27)=$C$4,1,0))))</f>
        <v>13</v>
      </c>
      <c r="B27" s="13" t="str">
        <f t="shared" si="7"/>
        <v>vendredi</v>
      </c>
      <c r="C27" s="16">
        <f t="shared" si="8"/>
        <v>41929</v>
      </c>
      <c r="D27" s="24">
        <f t="shared" si="0"/>
        <v>18652.17391304348</v>
      </c>
      <c r="E27" s="26"/>
      <c r="F27" s="28" t="e">
        <f t="shared" si="1"/>
        <v>#N/A</v>
      </c>
      <c r="G27" s="24">
        <f t="shared" si="2"/>
        <v>565.21739130434787</v>
      </c>
      <c r="H27" s="26"/>
      <c r="I27" s="30" t="e">
        <f t="shared" si="9"/>
        <v>#N/A</v>
      </c>
      <c r="J27" s="24">
        <f t="shared" si="3"/>
        <v>18652.17391304348</v>
      </c>
      <c r="K27" s="26"/>
      <c r="L27" s="30" t="e">
        <f t="shared" si="10"/>
        <v>#N/A</v>
      </c>
      <c r="M27" s="24">
        <f t="shared" si="4"/>
        <v>18652.17391304348</v>
      </c>
      <c r="N27" s="26"/>
      <c r="O27" s="30" t="e">
        <f t="shared" si="11"/>
        <v>#N/A</v>
      </c>
      <c r="P27" s="37">
        <f t="shared" si="5"/>
        <v>56521.739130434791</v>
      </c>
      <c r="Q27" s="34">
        <f t="shared" si="6"/>
        <v>0</v>
      </c>
      <c r="R27" s="30" t="e">
        <f t="shared" si="12"/>
        <v>#N/A</v>
      </c>
    </row>
    <row r="28" spans="1:18" s="1" customFormat="1" ht="9.9499999999999993" customHeight="1" x14ac:dyDescent="0.2">
      <c r="A28" s="46">
        <f>IF(OR(EXACT("dimanche",$B28),EXACT("samedi",$B28)),0,IF(COUNTIF(Fériés,"="&amp;$C28)&gt;0,0,MAX(A$10:A27)+(1*IF(MONTH(C28)=$C$4,1,0))))</f>
        <v>0</v>
      </c>
      <c r="B28" s="13" t="str">
        <f t="shared" si="7"/>
        <v>samedi</v>
      </c>
      <c r="C28" s="16">
        <f t="shared" si="8"/>
        <v>41930</v>
      </c>
      <c r="D28" s="24" t="e">
        <f t="shared" si="0"/>
        <v>#N/A</v>
      </c>
      <c r="E28" s="26"/>
      <c r="F28" s="28" t="e">
        <f t="shared" si="1"/>
        <v>#N/A</v>
      </c>
      <c r="G28" s="24" t="e">
        <f t="shared" si="2"/>
        <v>#N/A</v>
      </c>
      <c r="H28" s="26"/>
      <c r="I28" s="30" t="e">
        <f t="shared" si="9"/>
        <v>#N/A</v>
      </c>
      <c r="J28" s="24" t="e">
        <f t="shared" si="3"/>
        <v>#N/A</v>
      </c>
      <c r="K28" s="26"/>
      <c r="L28" s="30" t="e">
        <f t="shared" si="10"/>
        <v>#N/A</v>
      </c>
      <c r="M28" s="24" t="e">
        <f t="shared" si="4"/>
        <v>#N/A</v>
      </c>
      <c r="N28" s="26"/>
      <c r="O28" s="30" t="e">
        <f t="shared" si="11"/>
        <v>#N/A</v>
      </c>
      <c r="P28" s="37" t="e">
        <f t="shared" si="5"/>
        <v>#N/A</v>
      </c>
      <c r="Q28" s="34">
        <f t="shared" si="6"/>
        <v>0</v>
      </c>
      <c r="R28" s="30" t="e">
        <f t="shared" si="12"/>
        <v>#N/A</v>
      </c>
    </row>
    <row r="29" spans="1:18" s="1" customFormat="1" ht="9.9499999999999993" customHeight="1" x14ac:dyDescent="0.2">
      <c r="A29" s="46">
        <f>IF(OR(EXACT("dimanche",$B29),EXACT("samedi",$B29)),0,IF(COUNTIF(Fériés,"="&amp;$C29)&gt;0,0,MAX(A$10:A28)+(1*IF(MONTH(C29)=$C$4,1,0))))</f>
        <v>0</v>
      </c>
      <c r="B29" s="13" t="str">
        <f t="shared" si="7"/>
        <v>dimanche</v>
      </c>
      <c r="C29" s="16">
        <f t="shared" si="8"/>
        <v>41931</v>
      </c>
      <c r="D29" s="24" t="e">
        <f t="shared" si="0"/>
        <v>#N/A</v>
      </c>
      <c r="E29" s="26"/>
      <c r="F29" s="28" t="e">
        <f t="shared" si="1"/>
        <v>#N/A</v>
      </c>
      <c r="G29" s="24" t="e">
        <f t="shared" si="2"/>
        <v>#N/A</v>
      </c>
      <c r="H29" s="26"/>
      <c r="I29" s="30" t="e">
        <f t="shared" si="9"/>
        <v>#N/A</v>
      </c>
      <c r="J29" s="24" t="e">
        <f t="shared" si="3"/>
        <v>#N/A</v>
      </c>
      <c r="K29" s="26"/>
      <c r="L29" s="30" t="e">
        <f t="shared" si="10"/>
        <v>#N/A</v>
      </c>
      <c r="M29" s="24" t="e">
        <f t="shared" si="4"/>
        <v>#N/A</v>
      </c>
      <c r="N29" s="26"/>
      <c r="O29" s="30" t="e">
        <f t="shared" si="11"/>
        <v>#N/A</v>
      </c>
      <c r="P29" s="37" t="e">
        <f t="shared" si="5"/>
        <v>#N/A</v>
      </c>
      <c r="Q29" s="34">
        <f t="shared" si="6"/>
        <v>0</v>
      </c>
      <c r="R29" s="30" t="e">
        <f t="shared" si="12"/>
        <v>#N/A</v>
      </c>
    </row>
    <row r="30" spans="1:18" s="1" customFormat="1" ht="9.9499999999999993" customHeight="1" x14ac:dyDescent="0.2">
      <c r="A30" s="46">
        <f>IF(OR(EXACT("dimanche",$B30),EXACT("samedi",$B30)),0,IF(COUNTIF(Fériés,"="&amp;$C30)&gt;0,0,MAX(A$10:A29)+(1*IF(MONTH(C30)=$C$4,1,0))))</f>
        <v>14</v>
      </c>
      <c r="B30" s="13" t="str">
        <f t="shared" si="7"/>
        <v>lundi</v>
      </c>
      <c r="C30" s="16">
        <f t="shared" si="8"/>
        <v>41932</v>
      </c>
      <c r="D30" s="24">
        <f t="shared" si="0"/>
        <v>20086.956521739135</v>
      </c>
      <c r="E30" s="26"/>
      <c r="F30" s="28" t="e">
        <f t="shared" si="1"/>
        <v>#N/A</v>
      </c>
      <c r="G30" s="24">
        <f t="shared" si="2"/>
        <v>608.69565217391312</v>
      </c>
      <c r="H30" s="26"/>
      <c r="I30" s="30" t="e">
        <f t="shared" si="9"/>
        <v>#N/A</v>
      </c>
      <c r="J30" s="24">
        <f t="shared" si="3"/>
        <v>20086.956521739135</v>
      </c>
      <c r="K30" s="26"/>
      <c r="L30" s="30" t="e">
        <f t="shared" si="10"/>
        <v>#N/A</v>
      </c>
      <c r="M30" s="24">
        <f t="shared" si="4"/>
        <v>20086.956521739135</v>
      </c>
      <c r="N30" s="26"/>
      <c r="O30" s="30" t="e">
        <f t="shared" si="11"/>
        <v>#N/A</v>
      </c>
      <c r="P30" s="37">
        <f t="shared" si="5"/>
        <v>60869.565217391319</v>
      </c>
      <c r="Q30" s="34">
        <f t="shared" si="6"/>
        <v>0</v>
      </c>
      <c r="R30" s="30" t="e">
        <f t="shared" si="12"/>
        <v>#N/A</v>
      </c>
    </row>
    <row r="31" spans="1:18" s="1" customFormat="1" ht="9.9499999999999993" customHeight="1" x14ac:dyDescent="0.2">
      <c r="A31" s="46">
        <f>IF(OR(EXACT("dimanche",$B31),EXACT("samedi",$B31)),0,IF(COUNTIF(Fériés,"="&amp;$C31)&gt;0,0,MAX(A$10:A30)+(1*IF(MONTH(C31)=$C$4,1,0))))</f>
        <v>15</v>
      </c>
      <c r="B31" s="13" t="str">
        <f t="shared" si="7"/>
        <v>mardi</v>
      </c>
      <c r="C31" s="16">
        <f t="shared" si="8"/>
        <v>41933</v>
      </c>
      <c r="D31" s="24">
        <f t="shared" si="0"/>
        <v>21521.739130434784</v>
      </c>
      <c r="E31" s="26"/>
      <c r="F31" s="28" t="e">
        <f t="shared" si="1"/>
        <v>#N/A</v>
      </c>
      <c r="G31" s="24">
        <f t="shared" si="2"/>
        <v>652.17391304347836</v>
      </c>
      <c r="H31" s="26"/>
      <c r="I31" s="30" t="e">
        <f t="shared" si="9"/>
        <v>#N/A</v>
      </c>
      <c r="J31" s="24">
        <f t="shared" si="3"/>
        <v>21521.739130434784</v>
      </c>
      <c r="K31" s="26"/>
      <c r="L31" s="30" t="e">
        <f t="shared" si="10"/>
        <v>#N/A</v>
      </c>
      <c r="M31" s="24">
        <f t="shared" si="4"/>
        <v>21521.739130434784</v>
      </c>
      <c r="N31" s="26"/>
      <c r="O31" s="30" t="e">
        <f t="shared" si="11"/>
        <v>#N/A</v>
      </c>
      <c r="P31" s="37">
        <f t="shared" si="5"/>
        <v>65217.391304347831</v>
      </c>
      <c r="Q31" s="34">
        <f t="shared" si="6"/>
        <v>0</v>
      </c>
      <c r="R31" s="30" t="e">
        <f t="shared" si="12"/>
        <v>#N/A</v>
      </c>
    </row>
    <row r="32" spans="1:18" s="1" customFormat="1" ht="9.9499999999999993" customHeight="1" x14ac:dyDescent="0.2">
      <c r="A32" s="46">
        <f>IF(OR(EXACT("dimanche",$B32),EXACT("samedi",$B32)),0,IF(COUNTIF(Fériés,"="&amp;$C32)&gt;0,0,MAX(A$10:A31)+(1*IF(MONTH(C32)=$C$4,1,0))))</f>
        <v>16</v>
      </c>
      <c r="B32" s="13" t="str">
        <f t="shared" si="7"/>
        <v>mercredi</v>
      </c>
      <c r="C32" s="16">
        <f t="shared" si="8"/>
        <v>41934</v>
      </c>
      <c r="D32" s="24">
        <f t="shared" si="0"/>
        <v>22956.521739130436</v>
      </c>
      <c r="E32" s="26"/>
      <c r="F32" s="28" t="e">
        <f t="shared" si="1"/>
        <v>#N/A</v>
      </c>
      <c r="G32" s="24">
        <f t="shared" si="2"/>
        <v>695.6521739130435</v>
      </c>
      <c r="H32" s="26"/>
      <c r="I32" s="30" t="e">
        <f t="shared" si="9"/>
        <v>#N/A</v>
      </c>
      <c r="J32" s="24">
        <f t="shared" si="3"/>
        <v>22956.521739130436</v>
      </c>
      <c r="K32" s="26"/>
      <c r="L32" s="30" t="e">
        <f t="shared" si="10"/>
        <v>#N/A</v>
      </c>
      <c r="M32" s="24">
        <f t="shared" si="4"/>
        <v>22956.521739130436</v>
      </c>
      <c r="N32" s="26"/>
      <c r="O32" s="30" t="e">
        <f t="shared" si="11"/>
        <v>#N/A</v>
      </c>
      <c r="P32" s="37">
        <f t="shared" si="5"/>
        <v>69565.217391304352</v>
      </c>
      <c r="Q32" s="34">
        <f t="shared" si="6"/>
        <v>0</v>
      </c>
      <c r="R32" s="30" t="e">
        <f t="shared" si="12"/>
        <v>#N/A</v>
      </c>
    </row>
    <row r="33" spans="1:18" s="1" customFormat="1" ht="9.9499999999999993" customHeight="1" x14ac:dyDescent="0.2">
      <c r="A33" s="46">
        <f>IF(OR(EXACT("dimanche",$B33),EXACT("samedi",$B33)),0,IF(COUNTIF(Fériés,"="&amp;$C33)&gt;0,0,MAX(A$10:A32)+(1*IF(MONTH(C33)=$C$4,1,0))))</f>
        <v>17</v>
      </c>
      <c r="B33" s="13" t="str">
        <f t="shared" si="7"/>
        <v>jeudi</v>
      </c>
      <c r="C33" s="16">
        <f t="shared" si="8"/>
        <v>41935</v>
      </c>
      <c r="D33" s="24">
        <f t="shared" si="0"/>
        <v>24391.304347826092</v>
      </c>
      <c r="E33" s="26"/>
      <c r="F33" s="28" t="e">
        <f t="shared" si="1"/>
        <v>#N/A</v>
      </c>
      <c r="G33" s="24">
        <f t="shared" si="2"/>
        <v>739.13043478260886</v>
      </c>
      <c r="H33" s="26"/>
      <c r="I33" s="30" t="e">
        <f t="shared" si="9"/>
        <v>#N/A</v>
      </c>
      <c r="J33" s="24">
        <f t="shared" si="3"/>
        <v>24391.304347826092</v>
      </c>
      <c r="K33" s="26"/>
      <c r="L33" s="30" t="e">
        <f t="shared" si="10"/>
        <v>#N/A</v>
      </c>
      <c r="M33" s="24">
        <f t="shared" si="4"/>
        <v>24391.304347826092</v>
      </c>
      <c r="N33" s="26"/>
      <c r="O33" s="30" t="e">
        <f t="shared" si="11"/>
        <v>#N/A</v>
      </c>
      <c r="P33" s="37">
        <f t="shared" si="5"/>
        <v>73913.043478260879</v>
      </c>
      <c r="Q33" s="34">
        <f t="shared" si="6"/>
        <v>0</v>
      </c>
      <c r="R33" s="30" t="e">
        <f t="shared" si="12"/>
        <v>#N/A</v>
      </c>
    </row>
    <row r="34" spans="1:18" s="1" customFormat="1" ht="9.9499999999999993" customHeight="1" x14ac:dyDescent="0.2">
      <c r="A34" s="46">
        <f>IF(OR(EXACT("dimanche",$B34),EXACT("samedi",$B34)),0,IF(COUNTIF(Fériés,"="&amp;$C34)&gt;0,0,MAX(A$10:A33)+(1*IF(MONTH(C34)=$C$4,1,0))))</f>
        <v>18</v>
      </c>
      <c r="B34" s="13" t="str">
        <f t="shared" si="7"/>
        <v>vendredi</v>
      </c>
      <c r="C34" s="16">
        <f t="shared" si="8"/>
        <v>41936</v>
      </c>
      <c r="D34" s="24">
        <f t="shared" si="0"/>
        <v>25826.08695652174</v>
      </c>
      <c r="E34" s="26"/>
      <c r="F34" s="28" t="e">
        <f t="shared" si="1"/>
        <v>#N/A</v>
      </c>
      <c r="G34" s="24">
        <f t="shared" si="2"/>
        <v>782.60869565217399</v>
      </c>
      <c r="H34" s="26"/>
      <c r="I34" s="30" t="e">
        <f t="shared" si="9"/>
        <v>#N/A</v>
      </c>
      <c r="J34" s="24">
        <f t="shared" si="3"/>
        <v>25826.08695652174</v>
      </c>
      <c r="K34" s="26"/>
      <c r="L34" s="30" t="e">
        <f t="shared" si="10"/>
        <v>#N/A</v>
      </c>
      <c r="M34" s="24">
        <f t="shared" si="4"/>
        <v>25826.08695652174</v>
      </c>
      <c r="N34" s="26"/>
      <c r="O34" s="30" t="e">
        <f t="shared" si="11"/>
        <v>#N/A</v>
      </c>
      <c r="P34" s="37">
        <f t="shared" si="5"/>
        <v>78260.869565217392</v>
      </c>
      <c r="Q34" s="34">
        <f t="shared" si="6"/>
        <v>0</v>
      </c>
      <c r="R34" s="30" t="e">
        <f t="shared" si="12"/>
        <v>#N/A</v>
      </c>
    </row>
    <row r="35" spans="1:18" s="1" customFormat="1" ht="9.9499999999999993" customHeight="1" x14ac:dyDescent="0.2">
      <c r="A35" s="46">
        <f>IF(OR(EXACT("dimanche",$B35),EXACT("samedi",$B35)),0,IF(COUNTIF(Fériés,"="&amp;$C35)&gt;0,0,MAX(A$10:A34)+(1*IF(MONTH(C35)=$C$4,1,0))))</f>
        <v>0</v>
      </c>
      <c r="B35" s="13" t="str">
        <f t="shared" si="7"/>
        <v>samedi</v>
      </c>
      <c r="C35" s="16">
        <f t="shared" si="8"/>
        <v>41937</v>
      </c>
      <c r="D35" s="24" t="e">
        <f t="shared" si="0"/>
        <v>#N/A</v>
      </c>
      <c r="E35" s="26"/>
      <c r="F35" s="28" t="e">
        <f t="shared" si="1"/>
        <v>#N/A</v>
      </c>
      <c r="G35" s="24" t="e">
        <f t="shared" si="2"/>
        <v>#N/A</v>
      </c>
      <c r="H35" s="26"/>
      <c r="I35" s="30" t="e">
        <f t="shared" si="9"/>
        <v>#N/A</v>
      </c>
      <c r="J35" s="24" t="e">
        <f t="shared" si="3"/>
        <v>#N/A</v>
      </c>
      <c r="K35" s="26"/>
      <c r="L35" s="30" t="e">
        <f t="shared" si="10"/>
        <v>#N/A</v>
      </c>
      <c r="M35" s="24" t="e">
        <f t="shared" si="4"/>
        <v>#N/A</v>
      </c>
      <c r="N35" s="26"/>
      <c r="O35" s="30" t="e">
        <f t="shared" si="11"/>
        <v>#N/A</v>
      </c>
      <c r="P35" s="37" t="e">
        <f t="shared" si="5"/>
        <v>#N/A</v>
      </c>
      <c r="Q35" s="34">
        <f t="shared" si="6"/>
        <v>0</v>
      </c>
      <c r="R35" s="30" t="e">
        <f t="shared" si="12"/>
        <v>#N/A</v>
      </c>
    </row>
    <row r="36" spans="1:18" s="1" customFormat="1" ht="9.9499999999999993" customHeight="1" x14ac:dyDescent="0.2">
      <c r="A36" s="46">
        <f>IF(OR(EXACT("dimanche",$B36),EXACT("samedi",$B36)),0,IF(COUNTIF(Fériés,"="&amp;$C36)&gt;0,0,MAX(A$10:A35)+(1*IF(MONTH(C36)=$C$4,1,0))))</f>
        <v>0</v>
      </c>
      <c r="B36" s="13" t="str">
        <f t="shared" si="7"/>
        <v>dimanche</v>
      </c>
      <c r="C36" s="16">
        <f t="shared" si="8"/>
        <v>41938</v>
      </c>
      <c r="D36" s="24" t="e">
        <f t="shared" si="0"/>
        <v>#N/A</v>
      </c>
      <c r="E36" s="26"/>
      <c r="F36" s="28" t="e">
        <f t="shared" si="1"/>
        <v>#N/A</v>
      </c>
      <c r="G36" s="24" t="e">
        <f t="shared" si="2"/>
        <v>#N/A</v>
      </c>
      <c r="H36" s="26"/>
      <c r="I36" s="30" t="e">
        <f t="shared" si="9"/>
        <v>#N/A</v>
      </c>
      <c r="J36" s="24" t="e">
        <f t="shared" si="3"/>
        <v>#N/A</v>
      </c>
      <c r="K36" s="26"/>
      <c r="L36" s="30" t="e">
        <f t="shared" si="10"/>
        <v>#N/A</v>
      </c>
      <c r="M36" s="24" t="e">
        <f t="shared" si="4"/>
        <v>#N/A</v>
      </c>
      <c r="N36" s="26"/>
      <c r="O36" s="30" t="e">
        <f t="shared" si="11"/>
        <v>#N/A</v>
      </c>
      <c r="P36" s="37" t="e">
        <f t="shared" si="5"/>
        <v>#N/A</v>
      </c>
      <c r="Q36" s="34">
        <f t="shared" si="6"/>
        <v>0</v>
      </c>
      <c r="R36" s="30" t="e">
        <f t="shared" si="12"/>
        <v>#N/A</v>
      </c>
    </row>
    <row r="37" spans="1:18" s="1" customFormat="1" ht="9.9499999999999993" customHeight="1" x14ac:dyDescent="0.2">
      <c r="A37" s="46">
        <f>IF(OR(EXACT("dimanche",$B37),EXACT("samedi",$B37)),0,IF(COUNTIF(Fériés,"="&amp;$C37)&gt;0,0,MAX(A$10:A36)+(1*IF(MONTH(C37)=$C$4,1,0))))</f>
        <v>19</v>
      </c>
      <c r="B37" s="13" t="str">
        <f t="shared" si="7"/>
        <v>lundi</v>
      </c>
      <c r="C37" s="16">
        <f t="shared" si="8"/>
        <v>41939</v>
      </c>
      <c r="D37" s="24">
        <f t="shared" si="0"/>
        <v>27260.869565217396</v>
      </c>
      <c r="E37" s="26"/>
      <c r="F37" s="28" t="e">
        <f t="shared" si="1"/>
        <v>#N/A</v>
      </c>
      <c r="G37" s="24">
        <f t="shared" si="2"/>
        <v>826.08695652173924</v>
      </c>
      <c r="H37" s="26"/>
      <c r="I37" s="30" t="e">
        <f t="shared" si="9"/>
        <v>#N/A</v>
      </c>
      <c r="J37" s="24">
        <f t="shared" si="3"/>
        <v>27260.869565217396</v>
      </c>
      <c r="K37" s="26"/>
      <c r="L37" s="30" t="e">
        <f t="shared" si="10"/>
        <v>#N/A</v>
      </c>
      <c r="M37" s="24">
        <f t="shared" si="4"/>
        <v>27260.869565217396</v>
      </c>
      <c r="N37" s="26"/>
      <c r="O37" s="30" t="e">
        <f t="shared" si="11"/>
        <v>#N/A</v>
      </c>
      <c r="P37" s="37">
        <f t="shared" si="5"/>
        <v>82608.695652173919</v>
      </c>
      <c r="Q37" s="34">
        <f t="shared" si="6"/>
        <v>0</v>
      </c>
      <c r="R37" s="30" t="e">
        <f t="shared" si="12"/>
        <v>#N/A</v>
      </c>
    </row>
    <row r="38" spans="1:18" s="1" customFormat="1" ht="9.9499999999999993" customHeight="1" x14ac:dyDescent="0.2">
      <c r="A38" s="46">
        <f>IF(OR(EXACT("dimanche",$B38),EXACT("samedi",$B38)),0,IF(COUNTIF(Fériés,"="&amp;$C38)&gt;0,0,MAX(A$10:A37)+(1*IF(MONTH(C38)=$C$4,1,0))))</f>
        <v>20</v>
      </c>
      <c r="B38" s="13" t="str">
        <f t="shared" si="7"/>
        <v>mardi</v>
      </c>
      <c r="C38" s="16">
        <f t="shared" si="8"/>
        <v>41940</v>
      </c>
      <c r="D38" s="24">
        <f t="shared" si="0"/>
        <v>28695.652173913044</v>
      </c>
      <c r="E38" s="26"/>
      <c r="F38" s="28" t="e">
        <f t="shared" si="1"/>
        <v>#N/A</v>
      </c>
      <c r="G38" s="24">
        <f t="shared" si="2"/>
        <v>869.56521739130437</v>
      </c>
      <c r="H38" s="26"/>
      <c r="I38" s="30" t="e">
        <f t="shared" si="9"/>
        <v>#N/A</v>
      </c>
      <c r="J38" s="24">
        <f t="shared" si="3"/>
        <v>28695.652173913044</v>
      </c>
      <c r="K38" s="26"/>
      <c r="L38" s="30" t="e">
        <f t="shared" si="10"/>
        <v>#N/A</v>
      </c>
      <c r="M38" s="24">
        <f t="shared" si="4"/>
        <v>28695.652173913044</v>
      </c>
      <c r="N38" s="26"/>
      <c r="O38" s="30" t="e">
        <f t="shared" si="11"/>
        <v>#N/A</v>
      </c>
      <c r="P38" s="37">
        <f t="shared" si="5"/>
        <v>86956.521739130432</v>
      </c>
      <c r="Q38" s="34">
        <f t="shared" si="6"/>
        <v>0</v>
      </c>
      <c r="R38" s="30" t="e">
        <f t="shared" si="12"/>
        <v>#N/A</v>
      </c>
    </row>
    <row r="39" spans="1:18" s="1" customFormat="1" ht="9.9499999999999993" customHeight="1" x14ac:dyDescent="0.2">
      <c r="A39" s="46">
        <f>IF(OR(EXACT("dimanche",$B39),EXACT("samedi",$B39)),0,IF(COUNTIF(Fériés,"="&amp;$C39)&gt;0,0,MAX(A$10:A38)+(1*IF(MONTH(C39)=$C$4,1,0))))</f>
        <v>21</v>
      </c>
      <c r="B39" s="13" t="str">
        <f t="shared" si="7"/>
        <v>mercredi</v>
      </c>
      <c r="C39" s="16">
        <f t="shared" si="8"/>
        <v>41941</v>
      </c>
      <c r="D39" s="24">
        <f t="shared" si="0"/>
        <v>30130.4347826087</v>
      </c>
      <c r="E39" s="26"/>
      <c r="F39" s="28" t="e">
        <f t="shared" si="1"/>
        <v>#N/A</v>
      </c>
      <c r="G39" s="24">
        <f t="shared" si="2"/>
        <v>913.04347826086962</v>
      </c>
      <c r="H39" s="26"/>
      <c r="I39" s="30" t="e">
        <f t="shared" si="9"/>
        <v>#N/A</v>
      </c>
      <c r="J39" s="24">
        <f t="shared" si="3"/>
        <v>30130.4347826087</v>
      </c>
      <c r="K39" s="26"/>
      <c r="L39" s="30" t="e">
        <f t="shared" si="10"/>
        <v>#N/A</v>
      </c>
      <c r="M39" s="24">
        <f t="shared" si="4"/>
        <v>30130.4347826087</v>
      </c>
      <c r="N39" s="26"/>
      <c r="O39" s="30" t="e">
        <f t="shared" si="11"/>
        <v>#N/A</v>
      </c>
      <c r="P39" s="37">
        <f t="shared" si="5"/>
        <v>91304.347826086974</v>
      </c>
      <c r="Q39" s="34">
        <f t="shared" si="6"/>
        <v>0</v>
      </c>
      <c r="R39" s="30" t="e">
        <f t="shared" si="12"/>
        <v>#N/A</v>
      </c>
    </row>
    <row r="40" spans="1:18" s="1" customFormat="1" ht="9.9499999999999993" customHeight="1" x14ac:dyDescent="0.2">
      <c r="A40" s="46">
        <f>IF(OR(EXACT("dimanche",$B40),EXACT("samedi",$B40)),0,IF(COUNTIF(Fériés,"="&amp;$C40)&gt;0,0,MAX(A$10:A39)+(1*IF(MONTH(C40)=$C$4,1,0))))</f>
        <v>22</v>
      </c>
      <c r="B40" s="13" t="str">
        <f t="shared" si="7"/>
        <v>jeudi</v>
      </c>
      <c r="C40" s="16">
        <f t="shared" si="8"/>
        <v>41942</v>
      </c>
      <c r="D40" s="24">
        <f t="shared" si="0"/>
        <v>31565.217391304352</v>
      </c>
      <c r="E40" s="26"/>
      <c r="F40" s="28" t="e">
        <f t="shared" si="1"/>
        <v>#N/A</v>
      </c>
      <c r="G40" s="24">
        <f t="shared" si="2"/>
        <v>956.52173913043487</v>
      </c>
      <c r="H40" s="26"/>
      <c r="I40" s="30" t="e">
        <f t="shared" si="9"/>
        <v>#N/A</v>
      </c>
      <c r="J40" s="24">
        <f t="shared" si="3"/>
        <v>31565.217391304352</v>
      </c>
      <c r="K40" s="26"/>
      <c r="L40" s="30" t="e">
        <f t="shared" si="10"/>
        <v>#N/A</v>
      </c>
      <c r="M40" s="24">
        <f t="shared" si="4"/>
        <v>31565.217391304352</v>
      </c>
      <c r="N40" s="26"/>
      <c r="O40" s="30" t="e">
        <f t="shared" si="11"/>
        <v>#N/A</v>
      </c>
      <c r="P40" s="37">
        <f t="shared" si="5"/>
        <v>95652.173913043487</v>
      </c>
      <c r="Q40" s="34">
        <f t="shared" si="6"/>
        <v>0</v>
      </c>
      <c r="R40" s="30" t="e">
        <f t="shared" si="12"/>
        <v>#N/A</v>
      </c>
    </row>
    <row r="41" spans="1:18" s="1" customFormat="1" ht="9.9499999999999993" customHeight="1" thickBot="1" x14ac:dyDescent="0.25">
      <c r="A41" s="46">
        <f>IF(OR(EXACT("dimanche",$B41),EXACT("samedi",$B41)),0,IF(COUNTIF(Fériés,"="&amp;$C41)&gt;0,0,MAX(A$10:A40)+(1*IF(MONTH(C41)=$C$4,1,0))))</f>
        <v>23</v>
      </c>
      <c r="B41" s="14" t="str">
        <f t="shared" si="7"/>
        <v>vendredi</v>
      </c>
      <c r="C41" s="18">
        <f t="shared" si="8"/>
        <v>41943</v>
      </c>
      <c r="D41" s="25">
        <f t="shared" si="0"/>
        <v>33000</v>
      </c>
      <c r="E41" s="27"/>
      <c r="F41" s="29" t="e">
        <f t="shared" si="1"/>
        <v>#N/A</v>
      </c>
      <c r="G41" s="25">
        <f t="shared" si="2"/>
        <v>1000</v>
      </c>
      <c r="H41" s="27"/>
      <c r="I41" s="31" t="e">
        <f t="shared" si="9"/>
        <v>#N/A</v>
      </c>
      <c r="J41" s="25">
        <f t="shared" si="3"/>
        <v>33000</v>
      </c>
      <c r="K41" s="27"/>
      <c r="L41" s="32" t="e">
        <f t="shared" si="10"/>
        <v>#N/A</v>
      </c>
      <c r="M41" s="25">
        <f t="shared" si="4"/>
        <v>33000</v>
      </c>
      <c r="N41" s="27"/>
      <c r="O41" s="32" t="e">
        <f t="shared" si="11"/>
        <v>#N/A</v>
      </c>
      <c r="P41" s="25">
        <f t="shared" si="5"/>
        <v>100000</v>
      </c>
      <c r="Q41" s="35">
        <f t="shared" si="6"/>
        <v>0</v>
      </c>
      <c r="R41" s="32" t="e">
        <f t="shared" si="12"/>
        <v>#N/A</v>
      </c>
    </row>
    <row r="42" spans="1:18" ht="9.9499999999999993" customHeight="1" x14ac:dyDescent="0.25">
      <c r="A42" s="22"/>
      <c r="C42" s="17"/>
    </row>
    <row r="43" spans="1:18" ht="9.9499999999999993" customHeight="1" x14ac:dyDescent="0.25">
      <c r="C43" s="17"/>
    </row>
    <row r="44" spans="1:18" ht="9.9499999999999993" customHeight="1" x14ac:dyDescent="0.25">
      <c r="C44" s="17"/>
    </row>
    <row r="45" spans="1:18" ht="9.9499999999999993" customHeight="1" x14ac:dyDescent="0.25">
      <c r="C45" s="17"/>
    </row>
    <row r="61" spans="1:4" x14ac:dyDescent="0.25">
      <c r="C61" s="2" t="s">
        <v>19</v>
      </c>
      <c r="D61" t="s">
        <v>20</v>
      </c>
    </row>
    <row r="62" spans="1:4" x14ac:dyDescent="0.25">
      <c r="A62" s="42"/>
      <c r="B62" s="2">
        <v>1</v>
      </c>
      <c r="C62" s="2">
        <v>4347.826086956522</v>
      </c>
      <c r="D62">
        <v>0</v>
      </c>
    </row>
    <row r="63" spans="1:4" x14ac:dyDescent="0.25">
      <c r="B63" s="2">
        <v>2</v>
      </c>
      <c r="C63" s="2">
        <v>8695.652173913044</v>
      </c>
      <c r="D63">
        <v>0</v>
      </c>
    </row>
    <row r="64" spans="1:4" x14ac:dyDescent="0.25">
      <c r="B64" s="2">
        <v>3</v>
      </c>
      <c r="C64" s="2">
        <v>13043.478260869568</v>
      </c>
      <c r="D64">
        <v>0</v>
      </c>
    </row>
    <row r="65" spans="2:15" x14ac:dyDescent="0.25">
      <c r="B65" s="2">
        <v>4</v>
      </c>
      <c r="C65" s="2">
        <v>17391.304347826088</v>
      </c>
      <c r="D65">
        <v>0</v>
      </c>
      <c r="G65" s="109" t="s">
        <v>41</v>
      </c>
      <c r="H65" s="110"/>
      <c r="I65" s="110"/>
      <c r="J65" s="110"/>
      <c r="K65" s="110"/>
      <c r="L65" s="110"/>
      <c r="M65" s="110"/>
      <c r="N65" s="110"/>
      <c r="O65" s="110"/>
    </row>
    <row r="66" spans="2:15" x14ac:dyDescent="0.25">
      <c r="B66" s="2">
        <v>5</v>
      </c>
      <c r="C66" s="2">
        <v>21739.130434782608</v>
      </c>
      <c r="D66">
        <v>0</v>
      </c>
      <c r="G66" s="111" t="s">
        <v>30</v>
      </c>
      <c r="H66" s="111" t="s">
        <v>34</v>
      </c>
      <c r="I66" s="111"/>
      <c r="J66" s="111"/>
      <c r="K66" s="111"/>
      <c r="L66" s="111"/>
      <c r="M66" s="112" t="s">
        <v>38</v>
      </c>
      <c r="N66" s="111"/>
      <c r="O66" s="110"/>
    </row>
    <row r="67" spans="2:15" x14ac:dyDescent="0.25">
      <c r="B67" s="2">
        <v>6</v>
      </c>
      <c r="C67" s="2">
        <v>26086.956521739135</v>
      </c>
      <c r="D67">
        <v>0</v>
      </c>
      <c r="G67" s="111" t="s">
        <v>31</v>
      </c>
      <c r="H67" s="111" t="s">
        <v>35</v>
      </c>
      <c r="I67" s="111"/>
      <c r="J67" s="111"/>
      <c r="K67" s="111"/>
      <c r="L67" s="111"/>
      <c r="M67" s="112" t="s">
        <v>39</v>
      </c>
      <c r="N67" s="111"/>
      <c r="O67" s="110"/>
    </row>
    <row r="68" spans="2:15" x14ac:dyDescent="0.25">
      <c r="B68" s="2">
        <v>7</v>
      </c>
      <c r="C68" s="2">
        <v>30434.782608695659</v>
      </c>
      <c r="D68">
        <v>0</v>
      </c>
      <c r="G68" s="111" t="s">
        <v>32</v>
      </c>
      <c r="H68" s="111" t="s">
        <v>36</v>
      </c>
      <c r="I68" s="111"/>
      <c r="J68" s="111"/>
      <c r="K68" s="111"/>
      <c r="L68" s="111"/>
      <c r="M68" s="111" t="s">
        <v>40</v>
      </c>
      <c r="N68" s="111"/>
      <c r="O68" s="110"/>
    </row>
    <row r="69" spans="2:15" x14ac:dyDescent="0.25">
      <c r="B69" s="2">
        <v>8</v>
      </c>
      <c r="C69" s="2">
        <v>34782.608695652176</v>
      </c>
      <c r="D69">
        <v>0</v>
      </c>
      <c r="G69" s="111" t="s">
        <v>33</v>
      </c>
      <c r="H69" s="111" t="s">
        <v>37</v>
      </c>
      <c r="I69" s="111"/>
      <c r="J69" s="111"/>
      <c r="K69" s="111"/>
      <c r="L69" s="111"/>
      <c r="M69" s="111" t="s">
        <v>40</v>
      </c>
      <c r="N69" s="111"/>
      <c r="O69" s="110"/>
    </row>
    <row r="70" spans="2:15" x14ac:dyDescent="0.25">
      <c r="B70" s="2">
        <v>9</v>
      </c>
      <c r="C70" s="2">
        <v>39130.434782608696</v>
      </c>
      <c r="D70">
        <v>0</v>
      </c>
    </row>
    <row r="71" spans="2:15" x14ac:dyDescent="0.25">
      <c r="B71" s="2">
        <v>10</v>
      </c>
      <c r="C71" s="2">
        <v>43478.260869565216</v>
      </c>
      <c r="D71">
        <v>0</v>
      </c>
    </row>
    <row r="72" spans="2:15" x14ac:dyDescent="0.25">
      <c r="B72" s="2">
        <v>11</v>
      </c>
      <c r="C72" s="2">
        <v>47826.086956521744</v>
      </c>
      <c r="D72">
        <v>0</v>
      </c>
    </row>
    <row r="73" spans="2:15" x14ac:dyDescent="0.25">
      <c r="B73" s="2">
        <v>12</v>
      </c>
      <c r="C73" s="2">
        <v>52173.913043478271</v>
      </c>
      <c r="D73">
        <v>0</v>
      </c>
    </row>
    <row r="74" spans="2:15" x14ac:dyDescent="0.25">
      <c r="B74" s="2">
        <v>13</v>
      </c>
      <c r="C74" s="2">
        <v>56521.739130434791</v>
      </c>
      <c r="D74">
        <v>0</v>
      </c>
    </row>
    <row r="75" spans="2:15" x14ac:dyDescent="0.25">
      <c r="B75" s="2">
        <v>14</v>
      </c>
      <c r="C75" s="2">
        <v>60869.565217391319</v>
      </c>
      <c r="D75">
        <v>0</v>
      </c>
    </row>
    <row r="76" spans="2:15" x14ac:dyDescent="0.25">
      <c r="B76" s="2">
        <v>15</v>
      </c>
      <c r="C76" s="2">
        <v>65217.391304347831</v>
      </c>
      <c r="D76">
        <v>0</v>
      </c>
    </row>
    <row r="77" spans="2:15" x14ac:dyDescent="0.25">
      <c r="B77" s="2">
        <v>16</v>
      </c>
      <c r="C77" s="2">
        <v>69565.217391304352</v>
      </c>
      <c r="D77">
        <v>0</v>
      </c>
    </row>
    <row r="78" spans="2:15" x14ac:dyDescent="0.25">
      <c r="B78" s="2">
        <v>17</v>
      </c>
      <c r="C78" s="2">
        <v>73913.043478260879</v>
      </c>
      <c r="D78">
        <v>0</v>
      </c>
    </row>
    <row r="79" spans="2:15" x14ac:dyDescent="0.25">
      <c r="B79" s="2">
        <v>18</v>
      </c>
      <c r="C79" s="2">
        <v>78260.869565217392</v>
      </c>
      <c r="D79">
        <v>0</v>
      </c>
    </row>
    <row r="80" spans="2:15" x14ac:dyDescent="0.25">
      <c r="B80" s="2">
        <v>19</v>
      </c>
      <c r="C80" s="2">
        <v>82608.695652173919</v>
      </c>
      <c r="D80">
        <v>0</v>
      </c>
    </row>
    <row r="81" spans="2:4" x14ac:dyDescent="0.25">
      <c r="B81" s="2">
        <v>20</v>
      </c>
      <c r="C81" s="2">
        <v>86956.521739130432</v>
      </c>
      <c r="D81">
        <v>0</v>
      </c>
    </row>
    <row r="82" spans="2:4" x14ac:dyDescent="0.25">
      <c r="B82" s="2">
        <v>21</v>
      </c>
      <c r="C82" s="2">
        <v>91304.347826086974</v>
      </c>
      <c r="D82">
        <v>0</v>
      </c>
    </row>
    <row r="83" spans="2:4" x14ac:dyDescent="0.25">
      <c r="B83" s="2">
        <v>22</v>
      </c>
      <c r="C83" s="2">
        <v>95652.173913043487</v>
      </c>
      <c r="D83">
        <v>0</v>
      </c>
    </row>
    <row r="84" spans="2:4" x14ac:dyDescent="0.25">
      <c r="B84" s="2">
        <v>23</v>
      </c>
      <c r="C84" s="2">
        <v>100000</v>
      </c>
      <c r="D84">
        <v>0</v>
      </c>
    </row>
  </sheetData>
  <mergeCells count="43">
    <mergeCell ref="T11:T12"/>
    <mergeCell ref="U11:U12"/>
    <mergeCell ref="T13:T14"/>
    <mergeCell ref="U13:U14"/>
    <mergeCell ref="T15:T16"/>
    <mergeCell ref="U15:U16"/>
    <mergeCell ref="B9:B10"/>
    <mergeCell ref="C9:C10"/>
    <mergeCell ref="J5:L6"/>
    <mergeCell ref="N9:N10"/>
    <mergeCell ref="O9:O10"/>
    <mergeCell ref="N7:O8"/>
    <mergeCell ref="D9:D10"/>
    <mergeCell ref="E9:E10"/>
    <mergeCell ref="F9:F10"/>
    <mergeCell ref="G9:G10"/>
    <mergeCell ref="H9:H10"/>
    <mergeCell ref="P5:R6"/>
    <mergeCell ref="Q7:R8"/>
    <mergeCell ref="I9:I10"/>
    <mergeCell ref="J9:J10"/>
    <mergeCell ref="K9:K10"/>
    <mergeCell ref="L9:L10"/>
    <mergeCell ref="M9:M10"/>
    <mergeCell ref="Q9:Q10"/>
    <mergeCell ref="R9:R10"/>
    <mergeCell ref="P9:P10"/>
    <mergeCell ref="P2:R2"/>
    <mergeCell ref="B2:O2"/>
    <mergeCell ref="D3:R4"/>
    <mergeCell ref="B5:B8"/>
    <mergeCell ref="C5:C8"/>
    <mergeCell ref="D5:F6"/>
    <mergeCell ref="P7:P8"/>
    <mergeCell ref="J7:J8"/>
    <mergeCell ref="M7:M8"/>
    <mergeCell ref="G5:I6"/>
    <mergeCell ref="D7:D8"/>
    <mergeCell ref="G7:G8"/>
    <mergeCell ref="E7:F8"/>
    <mergeCell ref="H7:I8"/>
    <mergeCell ref="K7:L8"/>
    <mergeCell ref="M5:O6"/>
  </mergeCells>
  <conditionalFormatting sqref="A11:A41">
    <cfRule type="expression" dxfId="12" priority="3">
      <formula>EXACT(0,IF(COUNTIF(Fériés,"="&amp;$C11)&gt;0,"0",""))</formula>
    </cfRule>
    <cfRule type="expression" dxfId="11" priority="11">
      <formula>EXACT(0,IF(OR(EXACT("dimanche",$B11),EXACT("samedi",$B11)),"0",IF(COUNTIF(Fériés,"="&amp;$B11)&gt;0,"0","")))</formula>
    </cfRule>
  </conditionalFormatting>
  <conditionalFormatting sqref="B11:R41">
    <cfRule type="expression" dxfId="10" priority="32">
      <formula>EXACT(0,IF(OR(EXACT("dimanche",$B11),EXACT("samedi",$B11)),"0",IF(COUNTIF(Fériés,"="&amp;$B11)&gt;0,"0","")))</formula>
    </cfRule>
  </conditionalFormatting>
  <conditionalFormatting sqref="B39:C41">
    <cfRule type="expression" dxfId="9" priority="8">
      <formula>AND($C39="0")</formula>
    </cfRule>
  </conditionalFormatting>
  <conditionalFormatting sqref="P11:R41 D11:N41">
    <cfRule type="expression" dxfId="8" priority="5">
      <formula>EXACT(0,IF(COUNTIF(Fériés,"="&amp;$C11)&gt;0,"0",""))</formula>
    </cfRule>
    <cfRule type="expression" dxfId="7" priority="7">
      <formula>EXACT(0,IF(OR(EXACT("dimanche",$B11),EXACT("samedi",$B11)),"0",""))</formula>
    </cfRule>
    <cfRule type="expression" dxfId="6" priority="31">
      <formula>ISERROR(E11)</formula>
    </cfRule>
  </conditionalFormatting>
  <conditionalFormatting sqref="B11:C41">
    <cfRule type="expression" dxfId="5" priority="30">
      <formula>EXACT(0,IF(COUNTIF(Fériés,"="&amp;$C11)&gt;0,"0",""))</formula>
    </cfRule>
  </conditionalFormatting>
  <conditionalFormatting sqref="D39:R41">
    <cfRule type="expression" dxfId="4" priority="4">
      <formula>AND($C39="0")</formula>
    </cfRule>
  </conditionalFormatting>
  <conditionalFormatting sqref="E34">
    <cfRule type="expression" dxfId="3" priority="1">
      <formula>"0"</formula>
    </cfRule>
  </conditionalFormatting>
  <conditionalFormatting sqref="O11:O41">
    <cfRule type="expression" dxfId="2" priority="41">
      <formula>EXACT(0,IF(COUNTIF(Fériés,"="&amp;$C11)&gt;0,"0",""))</formula>
    </cfRule>
    <cfRule type="expression" dxfId="1" priority="42">
      <formula>EXACT(0,IF(OR(EXACT("dimanche",$B11),EXACT("samedi",$B11)),"0",""))</formula>
    </cfRule>
    <cfRule type="expression" dxfId="0" priority="43">
      <formula>ISERROR(#REF!)</formula>
    </cfRule>
  </conditionalFormatting>
  <printOptions horizontalCentered="1" verticalCentered="1"/>
  <pageMargins left="0.31496062992125984" right="0.31496062992125984" top="0.35433070866141736" bottom="0.74803149606299213" header="0" footer="0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0</xdr:col>
                    <xdr:colOff>257175</xdr:colOff>
                    <xdr:row>2</xdr:row>
                    <xdr:rowOff>0</xdr:rowOff>
                  </from>
                  <to>
                    <xdr:col>0</xdr:col>
                    <xdr:colOff>600075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zoomScale="90" zoomScaleNormal="90" zoomScalePageLayoutView="90" workbookViewId="0">
      <selection activeCell="B1" sqref="B1:B12"/>
    </sheetView>
  </sheetViews>
  <sheetFormatPr baseColWidth="10" defaultRowHeight="15" x14ac:dyDescent="0.25"/>
  <cols>
    <col min="1" max="1" width="35.42578125" bestFit="1" customWidth="1"/>
    <col min="2" max="2" width="25.7109375" style="9" bestFit="1" customWidth="1"/>
  </cols>
  <sheetData>
    <row r="1" spans="1:3" x14ac:dyDescent="0.25">
      <c r="A1" s="3" t="s">
        <v>0</v>
      </c>
      <c r="B1" s="8">
        <f>DATE(An_Ref,1,1)</f>
        <v>41640</v>
      </c>
      <c r="C1" s="10">
        <f>WEEKDAY(B1,1)</f>
        <v>4</v>
      </c>
    </row>
    <row r="2" spans="1:3" x14ac:dyDescent="0.25">
      <c r="A2" s="3" t="s">
        <v>1</v>
      </c>
      <c r="B2" s="8">
        <f>DATE(An_Ref,5,1)</f>
        <v>41760</v>
      </c>
      <c r="C2" s="10">
        <f t="shared" ref="C2:C12" si="0">WEEKDAY(B2,1)</f>
        <v>5</v>
      </c>
    </row>
    <row r="3" spans="1:3" x14ac:dyDescent="0.25">
      <c r="A3" s="4">
        <v>41767</v>
      </c>
      <c r="B3" s="8">
        <f>DATE(An_Ref,5,8)</f>
        <v>41767</v>
      </c>
      <c r="C3" s="10">
        <f t="shared" si="0"/>
        <v>5</v>
      </c>
    </row>
    <row r="4" spans="1:3" x14ac:dyDescent="0.25">
      <c r="A4" s="4">
        <v>41834</v>
      </c>
      <c r="B4" s="8">
        <f>DATE(An_Ref,7,14)</f>
        <v>41834</v>
      </c>
      <c r="C4" s="10">
        <f t="shared" si="0"/>
        <v>2</v>
      </c>
    </row>
    <row r="5" spans="1:3" x14ac:dyDescent="0.25">
      <c r="A5" s="4">
        <v>41954</v>
      </c>
      <c r="B5" s="8">
        <f>DATE(An_Ref,11,11)</f>
        <v>41954</v>
      </c>
      <c r="C5" s="10">
        <f t="shared" si="0"/>
        <v>3</v>
      </c>
    </row>
    <row r="6" spans="1:3" x14ac:dyDescent="0.25">
      <c r="A6" s="5" t="s">
        <v>2</v>
      </c>
      <c r="B6" s="8">
        <f>ROUND(DATE(An_Ref,4,1)/7+MOD(19*MOD(An_Ref,19)-7,30)*14%,0)*7-6</f>
        <v>41749</v>
      </c>
      <c r="C6" s="10">
        <f t="shared" si="0"/>
        <v>1</v>
      </c>
    </row>
    <row r="7" spans="1:3" x14ac:dyDescent="0.25">
      <c r="A7" s="5" t="s">
        <v>3</v>
      </c>
      <c r="B7" s="8">
        <f>B6+1</f>
        <v>41750</v>
      </c>
      <c r="C7" s="10">
        <f t="shared" si="0"/>
        <v>2</v>
      </c>
    </row>
    <row r="8" spans="1:3" x14ac:dyDescent="0.25">
      <c r="A8" s="5" t="s">
        <v>4</v>
      </c>
      <c r="B8" s="8">
        <f>B6+39</f>
        <v>41788</v>
      </c>
      <c r="C8" s="10">
        <f t="shared" si="0"/>
        <v>5</v>
      </c>
    </row>
    <row r="9" spans="1:3" x14ac:dyDescent="0.25">
      <c r="A9" s="5" t="s">
        <v>5</v>
      </c>
      <c r="B9" s="8">
        <f>B6+50</f>
        <v>41799</v>
      </c>
      <c r="C9" s="10">
        <f t="shared" si="0"/>
        <v>2</v>
      </c>
    </row>
    <row r="10" spans="1:3" x14ac:dyDescent="0.25">
      <c r="A10" s="5" t="s">
        <v>6</v>
      </c>
      <c r="B10" s="8">
        <f>DATE(An_Ref,8,15)</f>
        <v>41866</v>
      </c>
      <c r="C10" s="10">
        <f t="shared" si="0"/>
        <v>6</v>
      </c>
    </row>
    <row r="11" spans="1:3" x14ac:dyDescent="0.25">
      <c r="A11" s="6" t="s">
        <v>7</v>
      </c>
      <c r="B11" s="8">
        <f>DATE(An_Ref,11,1)</f>
        <v>41944</v>
      </c>
      <c r="C11" s="10">
        <f t="shared" si="0"/>
        <v>7</v>
      </c>
    </row>
    <row r="12" spans="1:3" x14ac:dyDescent="0.25">
      <c r="A12" s="7" t="s">
        <v>8</v>
      </c>
      <c r="B12" s="8">
        <f>DATE(An_Ref,12,25)</f>
        <v>41998</v>
      </c>
      <c r="C12" s="10">
        <f t="shared" si="0"/>
        <v>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 Jour</vt:lpstr>
      <vt:lpstr>Fériés</vt:lpstr>
      <vt:lpstr>An_Ref</vt:lpstr>
      <vt:lpstr>Fériés</vt:lpstr>
      <vt:lpstr>Mois_Ref</vt:lpstr>
      <vt:lpstr>'CA Jour'!Zone_d_impression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 Ludovic</dc:creator>
  <cp:lastModifiedBy>Jean-Eric</cp:lastModifiedBy>
  <cp:lastPrinted>2015-01-24T19:37:54Z</cp:lastPrinted>
  <dcterms:created xsi:type="dcterms:W3CDTF">2014-05-24T21:25:32Z</dcterms:created>
  <dcterms:modified xsi:type="dcterms:W3CDTF">2015-05-18T12:07:11Z</dcterms:modified>
</cp:coreProperties>
</file>