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480" yWindow="480" windowWidth="14880" windowHeight="1170" tabRatio="601" activeTab="4"/>
  </bookViews>
  <sheets>
    <sheet name="RECAP" sheetId="2" r:id="rId1"/>
    <sheet name="PRICING PROVISIONAL" sheetId="4" r:id="rId2"/>
    <sheet name="PRICING FINAL" sheetId="3" r:id="rId3"/>
    <sheet name="PANDL" sheetId="5" r:id="rId4"/>
    <sheet name="DEM CALC" sheetId="6" r:id="rId5"/>
  </sheets>
  <functionGroups builtInGroupCount="18"/>
  <definedNames>
    <definedName name="_xlnm._FilterDatabase" localSheetId="2" hidden="1">'PRICING FINAL'!$A$1:$BI$4</definedName>
    <definedName name="_xlnm._FilterDatabase" localSheetId="1" hidden="1">'PRICING PROVISIONAL'!$A$1:$BE$4</definedName>
    <definedName name="_xlnm.Print_Titles" localSheetId="2">'PRICING FINAL'!$A:$I</definedName>
    <definedName name="_xlnm.Print_Titles" localSheetId="0">RECAP!$1:$1</definedName>
    <definedName name="_xlnm.Print_Area" localSheetId="2">'PRICING FINAL'!$A$1:$BI$1</definedName>
    <definedName name="_xlnm.Print_Area" localSheetId="0">RECAP!$A$1:$M$4</definedName>
  </definedNames>
  <calcPr calcId="152511"/>
</workbook>
</file>

<file path=xl/calcChain.xml><?xml version="1.0" encoding="utf-8"?>
<calcChain xmlns="http://schemas.openxmlformats.org/spreadsheetml/2006/main">
  <c r="U4" i="3" l="1"/>
  <c r="AH4" i="6" l="1"/>
  <c r="AG4" i="6"/>
  <c r="AF4" i="6"/>
  <c r="AE4" i="6"/>
  <c r="AD4" i="6"/>
  <c r="AC4" i="6"/>
  <c r="AB4" i="6"/>
  <c r="AA4" i="6"/>
  <c r="Z4" i="6"/>
  <c r="Y4" i="6"/>
  <c r="X4" i="6"/>
  <c r="W4" i="6"/>
  <c r="V4" i="6"/>
  <c r="U4" i="6"/>
  <c r="T4" i="6"/>
  <c r="S4" i="6"/>
  <c r="R4" i="6"/>
  <c r="Q4" i="6"/>
  <c r="P4" i="6"/>
  <c r="O4" i="6"/>
  <c r="N4" i="6"/>
  <c r="AK4" i="6" s="1"/>
  <c r="AH3" i="6"/>
  <c r="AG3" i="6"/>
  <c r="AF3" i="6"/>
  <c r="AE3" i="6"/>
  <c r="AD3" i="6"/>
  <c r="AC3" i="6"/>
  <c r="AB3" i="6"/>
  <c r="AA3" i="6"/>
  <c r="Z3" i="6"/>
  <c r="Y3" i="6"/>
  <c r="X3" i="6"/>
  <c r="W3" i="6"/>
  <c r="V3" i="6"/>
  <c r="U3" i="6"/>
  <c r="T3" i="6"/>
  <c r="S3" i="6"/>
  <c r="R3" i="6"/>
  <c r="Q3" i="6"/>
  <c r="P3" i="6"/>
  <c r="O3" i="6"/>
  <c r="N3" i="6"/>
  <c r="AH2" i="6"/>
  <c r="AG2" i="6"/>
  <c r="AF2" i="6"/>
  <c r="AE2" i="6"/>
  <c r="AD2" i="6"/>
  <c r="AC2" i="6"/>
  <c r="AB2" i="6"/>
  <c r="AA2" i="6"/>
  <c r="Z2" i="6"/>
  <c r="Y2" i="6"/>
  <c r="X2" i="6"/>
  <c r="W2" i="6"/>
  <c r="V2" i="6"/>
  <c r="U2" i="6"/>
  <c r="T2" i="6"/>
  <c r="S2" i="6"/>
  <c r="R2" i="6"/>
  <c r="Q2" i="6"/>
  <c r="P2" i="6"/>
  <c r="O2" i="6"/>
  <c r="N2" i="6"/>
  <c r="AQ2" i="2" l="1"/>
  <c r="AQ3" i="2"/>
  <c r="AJ3" i="2"/>
  <c r="AJ4" i="2"/>
  <c r="AJ2" i="2"/>
  <c r="AF3" i="2" l="1"/>
  <c r="AF4" i="2"/>
  <c r="M4" i="5" l="1"/>
  <c r="M4" i="6" l="1"/>
  <c r="L4" i="6"/>
  <c r="K4" i="6"/>
  <c r="J4" i="6"/>
  <c r="I4" i="6"/>
  <c r="H4" i="6"/>
  <c r="G4" i="6"/>
  <c r="F4" i="6"/>
  <c r="E4" i="6"/>
  <c r="D4" i="6"/>
  <c r="C4" i="6"/>
  <c r="B4" i="6"/>
  <c r="A4" i="6"/>
  <c r="AK3" i="6"/>
  <c r="M3" i="6"/>
  <c r="L3" i="6"/>
  <c r="K3" i="6"/>
  <c r="J3" i="6"/>
  <c r="I3" i="6"/>
  <c r="H3" i="6"/>
  <c r="G3" i="6"/>
  <c r="F3" i="6"/>
  <c r="E3" i="6"/>
  <c r="D3" i="6"/>
  <c r="C3" i="6"/>
  <c r="A3" i="6"/>
  <c r="AK2" i="6"/>
  <c r="M2" i="6"/>
  <c r="L2" i="6"/>
  <c r="K2" i="6"/>
  <c r="J2" i="6"/>
  <c r="I2" i="6"/>
  <c r="H2" i="6"/>
  <c r="G2" i="6"/>
  <c r="F2" i="6"/>
  <c r="E2" i="6"/>
  <c r="D2" i="6"/>
  <c r="C2" i="6"/>
  <c r="B2" i="6"/>
  <c r="A2" i="6"/>
  <c r="W4" i="5"/>
  <c r="V4" i="5"/>
  <c r="K4" i="5"/>
  <c r="J4" i="5"/>
  <c r="H4" i="5"/>
  <c r="G4" i="5"/>
  <c r="F4" i="5"/>
  <c r="E4" i="5"/>
  <c r="D4" i="5"/>
  <c r="C4" i="5"/>
  <c r="B4" i="5"/>
  <c r="A4" i="5"/>
  <c r="W3" i="5"/>
  <c r="V3" i="5"/>
  <c r="K3" i="5"/>
  <c r="J3" i="5"/>
  <c r="H3" i="5"/>
  <c r="G3" i="5"/>
  <c r="F3" i="5"/>
  <c r="E3" i="5"/>
  <c r="D3" i="5"/>
  <c r="C3" i="5"/>
  <c r="A3" i="5"/>
  <c r="W2" i="5"/>
  <c r="V2" i="5"/>
  <c r="K2" i="5"/>
  <c r="J2" i="5"/>
  <c r="H2" i="5"/>
  <c r="G2" i="5"/>
  <c r="F2" i="5"/>
  <c r="E2" i="5"/>
  <c r="D2" i="5"/>
  <c r="C2" i="5"/>
  <c r="B2" i="5"/>
  <c r="A2" i="5"/>
  <c r="AT4" i="3"/>
  <c r="AL4" i="3"/>
  <c r="AC4" i="3"/>
  <c r="AB4" i="3"/>
  <c r="K4" i="3"/>
  <c r="J4" i="3"/>
  <c r="H4" i="3"/>
  <c r="G4" i="3"/>
  <c r="N4" i="3" s="1"/>
  <c r="F4" i="3"/>
  <c r="AR4" i="3" s="1"/>
  <c r="E4" i="3"/>
  <c r="D4" i="3"/>
  <c r="C4" i="3"/>
  <c r="B4" i="3"/>
  <c r="A4" i="3"/>
  <c r="U3" i="3"/>
  <c r="M3" i="5" s="1"/>
  <c r="AT3" i="3"/>
  <c r="AL3" i="3"/>
  <c r="AC3" i="3"/>
  <c r="AB3" i="3"/>
  <c r="AM3" i="3" s="1"/>
  <c r="K3" i="3"/>
  <c r="J3" i="3"/>
  <c r="H3" i="3"/>
  <c r="N3" i="3" s="1"/>
  <c r="G3" i="3"/>
  <c r="F3" i="3"/>
  <c r="E3" i="3"/>
  <c r="D3" i="3"/>
  <c r="C3" i="3"/>
  <c r="A3" i="3"/>
  <c r="U2" i="3"/>
  <c r="M2" i="5" s="1"/>
  <c r="AT2" i="3"/>
  <c r="AL2" i="3"/>
  <c r="AC2" i="3"/>
  <c r="AB2" i="3"/>
  <c r="AM2" i="3" s="1"/>
  <c r="K2" i="3"/>
  <c r="J2" i="3"/>
  <c r="H2" i="3"/>
  <c r="N2" i="3" s="1"/>
  <c r="G2" i="3"/>
  <c r="F2" i="3"/>
  <c r="E2" i="3"/>
  <c r="D2" i="3"/>
  <c r="C2" i="3"/>
  <c r="B2" i="3"/>
  <c r="A2" i="3"/>
  <c r="AI4" i="4"/>
  <c r="AF4" i="4"/>
  <c r="AC4" i="4"/>
  <c r="AB4" i="4"/>
  <c r="AA4" i="4"/>
  <c r="Z4" i="4"/>
  <c r="S4" i="4"/>
  <c r="P4" i="4"/>
  <c r="T4" i="4"/>
  <c r="L4" i="4"/>
  <c r="K4" i="4"/>
  <c r="J4" i="4"/>
  <c r="H4" i="4"/>
  <c r="G4" i="4"/>
  <c r="F4" i="4"/>
  <c r="E4" i="4"/>
  <c r="D4" i="4"/>
  <c r="C4" i="4"/>
  <c r="B4" i="4"/>
  <c r="A4" i="4"/>
  <c r="U3" i="4"/>
  <c r="AJ3" i="4"/>
  <c r="AI3" i="4"/>
  <c r="AF3" i="4"/>
  <c r="AC3" i="4"/>
  <c r="AB3" i="4"/>
  <c r="AA3" i="4"/>
  <c r="Z3" i="4"/>
  <c r="AK3" i="4" s="1"/>
  <c r="T3" i="4"/>
  <c r="S3" i="4"/>
  <c r="P3" i="4"/>
  <c r="L3" i="4"/>
  <c r="K3" i="4"/>
  <c r="J3" i="4"/>
  <c r="H3" i="4"/>
  <c r="N3" i="4" s="1"/>
  <c r="G3" i="4"/>
  <c r="F3" i="4"/>
  <c r="E3" i="4"/>
  <c r="D3" i="4"/>
  <c r="C3" i="4"/>
  <c r="A3" i="4"/>
  <c r="U2" i="4"/>
  <c r="AJ2" i="4"/>
  <c r="AI2" i="4"/>
  <c r="AF2" i="4"/>
  <c r="AC2" i="4"/>
  <c r="AB2" i="4"/>
  <c r="AA2" i="4"/>
  <c r="Z2" i="4"/>
  <c r="AK2" i="4" s="1"/>
  <c r="T2" i="4"/>
  <c r="S2" i="4"/>
  <c r="P2" i="4"/>
  <c r="L2" i="4"/>
  <c r="K2" i="4"/>
  <c r="J2" i="4"/>
  <c r="H2" i="4"/>
  <c r="G2" i="4"/>
  <c r="F2" i="4"/>
  <c r="E2" i="4"/>
  <c r="D2" i="4"/>
  <c r="C2" i="4"/>
  <c r="B2" i="4"/>
  <c r="A2" i="4"/>
  <c r="AO5" i="2"/>
  <c r="AM5" i="2"/>
  <c r="AQ4" i="2"/>
  <c r="AC4" i="2"/>
  <c r="AB4" i="2"/>
  <c r="AC3" i="2"/>
  <c r="AB3" i="2"/>
  <c r="C3" i="2"/>
  <c r="AC2" i="2"/>
  <c r="AB2" i="2"/>
  <c r="AN4" i="4" l="1"/>
  <c r="AN3" i="4"/>
  <c r="B3" i="3"/>
  <c r="I2" i="4"/>
  <c r="V2" i="4"/>
  <c r="X2" i="4"/>
  <c r="I2" i="5"/>
  <c r="AN2" i="4"/>
  <c r="N2" i="4"/>
  <c r="AL2" i="4"/>
  <c r="AF2" i="3"/>
  <c r="I2" i="3"/>
  <c r="AD2" i="4"/>
  <c r="AF4" i="3"/>
  <c r="I4" i="5"/>
  <c r="AJ4" i="4"/>
  <c r="AN2" i="3"/>
  <c r="V2" i="3"/>
  <c r="W2" i="3" s="1"/>
  <c r="AN3" i="3"/>
  <c r="X4" i="4"/>
  <c r="AD4" i="4"/>
  <c r="I3" i="5"/>
  <c r="V3" i="3"/>
  <c r="W3" i="3" s="1"/>
  <c r="AD3" i="4"/>
  <c r="Z4" i="3"/>
  <c r="I4" i="4"/>
  <c r="N4" i="4"/>
  <c r="I4" i="3"/>
  <c r="V4" i="3"/>
  <c r="W4" i="3" s="1"/>
  <c r="AL3" i="4"/>
  <c r="B3" i="5"/>
  <c r="I3" i="3"/>
  <c r="AF3" i="3"/>
  <c r="B3" i="6"/>
  <c r="I3" i="4"/>
  <c r="V3" i="4"/>
  <c r="W3" i="4" s="1"/>
  <c r="B3" i="4"/>
  <c r="X3" i="4"/>
  <c r="AJ2" i="6" l="1"/>
  <c r="AL2" i="6" s="1"/>
  <c r="AJ4" i="6"/>
  <c r="AL4" i="6" s="1"/>
  <c r="AJ3" i="6"/>
  <c r="AL3" i="6" s="1"/>
  <c r="W2" i="4"/>
  <c r="X2" i="3" s="1"/>
  <c r="Y2" i="3" s="1"/>
  <c r="V4" i="4"/>
  <c r="AO2" i="3"/>
  <c r="AM2" i="4"/>
  <c r="AP2" i="3" s="1"/>
  <c r="AK4" i="4"/>
  <c r="AL4" i="4" s="1"/>
  <c r="AM4" i="4" s="1"/>
  <c r="AP4" i="3" s="1"/>
  <c r="AM3" i="4"/>
  <c r="AP3" i="3" s="1"/>
  <c r="AO3" i="3"/>
  <c r="AU3" i="3" s="1"/>
  <c r="AM4" i="3"/>
  <c r="AN4" i="3" s="1"/>
  <c r="AO4" i="3" s="1"/>
  <c r="L2" i="5" l="1"/>
  <c r="W4" i="4"/>
  <c r="X4" i="3" s="1"/>
  <c r="Y4" i="3" s="1"/>
  <c r="AU2" i="3"/>
  <c r="X2" i="5"/>
  <c r="AQ2" i="3"/>
  <c r="AQ2" i="4"/>
  <c r="X4" i="5"/>
  <c r="X3" i="5"/>
  <c r="AF3" i="5" s="1"/>
  <c r="L3" i="5"/>
  <c r="AQ3" i="3"/>
  <c r="AQ4" i="3"/>
  <c r="AU4" i="3"/>
  <c r="L4" i="5" l="1"/>
  <c r="AQ4" i="4"/>
  <c r="X3" i="3"/>
  <c r="Y3" i="3" s="1"/>
  <c r="AQ3" i="4"/>
  <c r="AF2" i="5" l="1"/>
  <c r="AF4" i="5" l="1"/>
  <c r="U2" i="5" l="1"/>
  <c r="AG2" i="5" s="1"/>
  <c r="U3" i="5"/>
  <c r="AG3" i="5" s="1"/>
  <c r="U4" i="5"/>
  <c r="AG4" i="5" s="1"/>
</calcChain>
</file>

<file path=xl/comments1.xml><?xml version="1.0" encoding="utf-8"?>
<comments xmlns="http://schemas.openxmlformats.org/spreadsheetml/2006/main">
  <authors>
    <author>Marie Ciavaldini</author>
  </authors>
  <commentList>
    <comment ref="AY4" authorId="0" shapeId="0">
      <text>
        <r>
          <rPr>
            <b/>
            <sz val="9"/>
            <color indexed="81"/>
            <rFont val="Tahoma"/>
            <family val="2"/>
          </rPr>
          <t>Marie Ciavaldini:</t>
        </r>
        <r>
          <rPr>
            <sz val="9"/>
            <color indexed="81"/>
            <rFont val="Tahoma"/>
            <family val="2"/>
          </rPr>
          <t xml:space="preserve">
2015 FLAT RATE</t>
        </r>
      </text>
    </comment>
    <comment ref="BI4" authorId="0" shapeId="0">
      <text>
        <r>
          <rPr>
            <b/>
            <sz val="9"/>
            <color indexed="81"/>
            <rFont val="Tahoma"/>
            <family val="2"/>
          </rPr>
          <t>Marie Ciavaldini:</t>
        </r>
        <r>
          <rPr>
            <sz val="9"/>
            <color indexed="81"/>
            <rFont val="Tahoma"/>
            <family val="2"/>
          </rPr>
          <t xml:space="preserve">
+ SECA SINCE 2015 WS APPLIES
</t>
        </r>
      </text>
    </comment>
  </commentList>
</comments>
</file>

<file path=xl/sharedStrings.xml><?xml version="1.0" encoding="utf-8"?>
<sst xmlns="http://schemas.openxmlformats.org/spreadsheetml/2006/main" count="338" uniqueCount="174">
  <si>
    <t>GRADE</t>
  </si>
  <si>
    <t>PRICING</t>
  </si>
  <si>
    <t>AVG</t>
  </si>
  <si>
    <t>REF</t>
  </si>
  <si>
    <t>OIC</t>
  </si>
  <si>
    <t>INSURANCE</t>
  </si>
  <si>
    <t>VSL MAX INT</t>
  </si>
  <si>
    <t>MONTH OF PROGRAM</t>
  </si>
  <si>
    <t>SUPPLIER</t>
  </si>
  <si>
    <t>RECEIVERS</t>
  </si>
  <si>
    <t>BL DATE</t>
  </si>
  <si>
    <t>LOSS</t>
  </si>
  <si>
    <t>DEM</t>
  </si>
  <si>
    <t>MIN QTY</t>
  </si>
  <si>
    <t xml:space="preserve">REF </t>
  </si>
  <si>
    <t>VESSEL</t>
  </si>
  <si>
    <t>B/L DATE</t>
  </si>
  <si>
    <t>B/L QTY NET</t>
  </si>
  <si>
    <t>O/T QTY NET</t>
  </si>
  <si>
    <t>PCT LOSS</t>
  </si>
  <si>
    <t>L/C</t>
  </si>
  <si>
    <t>PAYMENT</t>
  </si>
  <si>
    <t xml:space="preserve">OSP </t>
  </si>
  <si>
    <t>PREMIUM  / DISCOUNT</t>
  </si>
  <si>
    <t>DESCALATION</t>
  </si>
  <si>
    <t>FRT / FRT DIFFF</t>
  </si>
  <si>
    <t>PURCHASE VALUE</t>
  </si>
  <si>
    <t>VALUE DATE</t>
  </si>
  <si>
    <t>INV IN</t>
  </si>
  <si>
    <t>OSP</t>
  </si>
  <si>
    <t>PREMIUM / DISCOUNT</t>
  </si>
  <si>
    <t>FRT/API ESCALATION</t>
  </si>
  <si>
    <t>INV OUT SENT</t>
  </si>
  <si>
    <t>P AND L CARGO</t>
  </si>
  <si>
    <t>BL GROSS MTS</t>
  </si>
  <si>
    <t>WS</t>
  </si>
  <si>
    <t>FLAT RATE</t>
  </si>
  <si>
    <t>TOTAL</t>
  </si>
  <si>
    <t>TOTAL SHIPPING COSTS</t>
  </si>
  <si>
    <t>TOTAL FRT DIFF</t>
  </si>
  <si>
    <t>PURCHASE UNIT PRICE</t>
  </si>
  <si>
    <t>SALE CONTRACTUAL DATES</t>
  </si>
  <si>
    <t>SALE CONTRACTUAL DATE TERMS</t>
  </si>
  <si>
    <t>INSP INV RCVD</t>
  </si>
  <si>
    <t>DP INSP INV</t>
  </si>
  <si>
    <t>NOTES</t>
  </si>
  <si>
    <t>N/A</t>
  </si>
  <si>
    <t>TERMS</t>
  </si>
  <si>
    <t>TOTAL BBLS</t>
  </si>
  <si>
    <t>SALE VALUE (IN USD)</t>
  </si>
  <si>
    <t>SALE UNIT PRICE (IN USD)</t>
  </si>
  <si>
    <t>SERVICE FEE + OUTTURN FEE / PREMIUM</t>
  </si>
  <si>
    <t>GRT</t>
  </si>
  <si>
    <t>TOTAL ROTTERDAM HARBOUR DUES</t>
  </si>
  <si>
    <t>(a) GT x USD 0.39</t>
  </si>
  <si>
    <t>FINAL PURCHASE UNIT PRICE</t>
  </si>
  <si>
    <t>FINAL PURCHASE VALUE</t>
  </si>
  <si>
    <t>BALANCE DUE</t>
  </si>
  <si>
    <t>FINAL VALUE DATE</t>
  </si>
  <si>
    <t>FINAL SALE UNIT PRICE (IN USD)</t>
  </si>
  <si>
    <t>FINAL SALE VALUE (IN USD)</t>
  </si>
  <si>
    <t>LESS PROVISIONAL IN USD</t>
  </si>
  <si>
    <t>BALANCE DUE IN USD</t>
  </si>
  <si>
    <t>FINAL P AND L CARGO</t>
  </si>
  <si>
    <t>INVOICING QTY TERMS</t>
  </si>
  <si>
    <t>INV QTY</t>
  </si>
  <si>
    <t>(a) GT x USD 0.40</t>
  </si>
  <si>
    <t>INSP LP</t>
  </si>
  <si>
    <t>EWRI</t>
  </si>
  <si>
    <t>FRT</t>
  </si>
  <si>
    <t>INSP DP</t>
  </si>
  <si>
    <t>HEATING</t>
  </si>
  <si>
    <t>DEMURRAGE</t>
  </si>
  <si>
    <t>OTHERS</t>
  </si>
  <si>
    <t>TOTAL COSTS USD</t>
  </si>
  <si>
    <t>CGO VAL+FRT</t>
  </si>
  <si>
    <t>TOTAL INCOMES USD</t>
  </si>
  <si>
    <t>AG REB LP</t>
  </si>
  <si>
    <t>AG REB DP</t>
  </si>
  <si>
    <t>MIN TERM NOM QTY</t>
  </si>
  <si>
    <t>MAX TERM NOM QTY</t>
  </si>
  <si>
    <t xml:space="preserve">(b) GT x USD 0.96 x 1.33639  </t>
  </si>
  <si>
    <t>( c ) USD 0.96 x tonnes of Crude loaded or discharged</t>
  </si>
  <si>
    <t>HEDGE</t>
  </si>
  <si>
    <t>NET OUTTURN</t>
  </si>
  <si>
    <t>30 days after B/L</t>
  </si>
  <si>
    <t>SUPPLIERS</t>
  </si>
  <si>
    <t>COD DATE</t>
  </si>
  <si>
    <t>INV QTY(P)</t>
  </si>
  <si>
    <t>LESS PROV AMOUNT</t>
  </si>
  <si>
    <t>INV QTY(S)</t>
  </si>
  <si>
    <t>01 - JAN</t>
  </si>
  <si>
    <t>NET BL</t>
  </si>
  <si>
    <t>AVG BRENT 01-29 02 - FEB</t>
  </si>
  <si>
    <t>BL_GROSS_QTY_MTS</t>
  </si>
  <si>
    <t>BL_GROSS_QTY_BBLS</t>
  </si>
  <si>
    <t>BL_NET_QTY_BBLS</t>
  </si>
  <si>
    <t>BL_NET_QTY_MTS</t>
  </si>
  <si>
    <t>OT_NET_QTY_BBLS</t>
  </si>
  <si>
    <t>OT_NET_QTY_MTS</t>
  </si>
  <si>
    <t>2016CT001</t>
  </si>
  <si>
    <t>MONTH</t>
  </si>
  <si>
    <t>VSL</t>
  </si>
  <si>
    <t>LP</t>
  </si>
  <si>
    <t>CT QTY</t>
  </si>
  <si>
    <t>TOLERANCE</t>
  </si>
  <si>
    <t>DATES TERM</t>
  </si>
  <si>
    <t>CT DATES</t>
  </si>
  <si>
    <t>INSP LP SHARING</t>
  </si>
  <si>
    <t>AGT LP</t>
  </si>
  <si>
    <t>AGT LP CATEGORY</t>
  </si>
  <si>
    <t>RCVRS</t>
  </si>
  <si>
    <t>DP</t>
  </si>
  <si>
    <t>MIN REQ QTY</t>
  </si>
  <si>
    <t>MAX REQ QTY</t>
  </si>
  <si>
    <t>INSP DP SHARING</t>
  </si>
  <si>
    <t>AGT DP</t>
  </si>
  <si>
    <t>AGT DP CATEGORY</t>
  </si>
  <si>
    <t>INV NR 91165007</t>
  </si>
  <si>
    <t>INV NR</t>
  </si>
  <si>
    <t>16PV001/16CT002</t>
  </si>
  <si>
    <t>16PV002/16CT001</t>
  </si>
  <si>
    <t>INV NR S1600663</t>
  </si>
  <si>
    <t>2016CT003</t>
  </si>
  <si>
    <t>TERMS (S)</t>
  </si>
  <si>
    <t>TERMS (P)</t>
  </si>
  <si>
    <t>02 - FEB</t>
  </si>
  <si>
    <t>MIN FRT QTY</t>
  </si>
  <si>
    <t>CN NR 1503633</t>
  </si>
  <si>
    <t>DEM RATE</t>
  </si>
  <si>
    <t>ANCHORED</t>
  </si>
  <si>
    <t>NOR TENDERED</t>
  </si>
  <si>
    <t>6HRS AFTER VALID NOR</t>
  </si>
  <si>
    <t>ANCHOR UP</t>
  </si>
  <si>
    <t>POB</t>
  </si>
  <si>
    <t>BERTHED</t>
  </si>
  <si>
    <t>START DISCHARGE</t>
  </si>
  <si>
    <t>HOSES OFF</t>
  </si>
  <si>
    <t>BAD WEATHER FROM</t>
  </si>
  <si>
    <t>BAD WEATHER TO</t>
  </si>
  <si>
    <t>BAD WEATHER</t>
  </si>
  <si>
    <t>SHIFTING FROM</t>
  </si>
  <si>
    <t>SHIFTING TO</t>
  </si>
  <si>
    <t>SHIFTING</t>
  </si>
  <si>
    <t>TOTAL DEDUCTIONS</t>
  </si>
  <si>
    <t>TIME ALLOWED</t>
  </si>
  <si>
    <t>TIME ON DEMURRAGE</t>
  </si>
  <si>
    <t>DEMURRAGE RATE</t>
  </si>
  <si>
    <t>DEMURRAGE DUE</t>
  </si>
  <si>
    <t>DEM_MONT</t>
  </si>
  <si>
    <t>DEM_REF</t>
  </si>
  <si>
    <t>DEM_OIC</t>
  </si>
  <si>
    <t>DEM_VSL</t>
  </si>
  <si>
    <t>DEM_GRADE</t>
  </si>
  <si>
    <t>DEM_LP</t>
  </si>
  <si>
    <t>DEM_SUPPLIERS</t>
  </si>
  <si>
    <t>DEM_TERMS_P</t>
  </si>
  <si>
    <t>DEM_DATE_TERMS</t>
  </si>
  <si>
    <t>DEM_CT_DATES</t>
  </si>
  <si>
    <t>DEM_DP</t>
  </si>
  <si>
    <t>TIME TO START</t>
  </si>
  <si>
    <t>DEM_COD</t>
  </si>
  <si>
    <t>TIME TO STOP</t>
  </si>
  <si>
    <t>TOTAL TIME INVOLVED</t>
  </si>
  <si>
    <t>TOTAL TIME USED</t>
  </si>
  <si>
    <t>PREMIUM/DISCOUNT</t>
  </si>
  <si>
    <t>36:00:00</t>
  </si>
  <si>
    <t>PMT</t>
  </si>
  <si>
    <t>CN NR 91166894/C + INV NR 90605154/C</t>
  </si>
  <si>
    <t>INV NR 90601638/C</t>
  </si>
  <si>
    <t>CGO VAL (incl FRT)</t>
  </si>
  <si>
    <t>XXXX</t>
  </si>
  <si>
    <t/>
  </si>
  <si>
    <t>ERROR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</si>
</sst>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_-* #,##0.00_-;\-* #,##0.00_-;_-* &quot;-&quot;??_-;_-@_-"/>
    <numFmt numFmtId="165" formatCode="0.000%"/>
    <numFmt numFmtId="166" formatCode="0.0000%"/>
    <numFmt numFmtId="168" formatCode="0.00_ ;[Red]\-0.00\ "/>
    <numFmt numFmtId="169" formatCode="#,##0.0000"/>
    <numFmt numFmtId="170" formatCode="#,##0.000"/>
    <numFmt numFmtId="171" formatCode="#,##0.00_ ;\-#,##0.00\ "/>
    <numFmt numFmtId="172" formatCode="#,##0.00_ ;[Red]\-#,##0.00\ "/>
    <numFmt numFmtId="173" formatCode="[$USD]\ #,##0.00;\-[$USD]\ #,##0.00"/>
    <numFmt numFmtId="174" formatCode="[$USD]\ #,##0.00;[Red]\-[$USD]\ #,##0.00"/>
    <numFmt numFmtId="175" formatCode="[$USD]\ #,##0.00"/>
    <numFmt numFmtId="176" formatCode="[$USD]\ #,##0.000"/>
  </numFmts>
  <fonts count="9" x14ac:knownFonts="1">
    <font>
      <sz val="11"/>
      <color theme="1"/>
      <name val="Calibri"/>
      <family val="2"/>
      <scheme val="minor"/>
    </font>
    <font>
      <b/>
      <sz val="10"/>
      <name val="Times New Roman"/>
      <family val="1"/>
    </font>
    <font>
      <sz val="10"/>
      <name val="Times New Roman"/>
      <family val="1"/>
    </font>
    <font>
      <sz val="10"/>
      <color rgb="FF3333FF"/>
      <name val="Times New Roman"/>
      <family val="1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color rgb="FF3333FF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49" fontId="2" fillId="0" borderId="0" xfId="0" applyNumberFormat="1" applyFont="1" applyFill="1" applyBorder="1" applyAlignment="1" applyProtection="1">
      <alignment horizontal="center" vertical="center" wrapText="1"/>
    </xf>
    <xf numFmtId="17" fontId="3" fillId="0" borderId="2" xfId="0" applyNumberFormat="1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15" fontId="3" fillId="0" borderId="2" xfId="0" applyNumberFormat="1" applyFont="1" applyFill="1" applyBorder="1" applyAlignment="1">
      <alignment horizontal="center" vertical="center" wrapText="1"/>
    </xf>
    <xf numFmtId="4" fontId="3" fillId="0" borderId="2" xfId="0" applyNumberFormat="1" applyFont="1" applyFill="1" applyBorder="1" applyAlignment="1">
      <alignment vertical="center" wrapText="1"/>
    </xf>
    <xf numFmtId="166" fontId="3" fillId="0" borderId="2" xfId="0" applyNumberFormat="1" applyFont="1" applyFill="1" applyBorder="1" applyAlignment="1">
      <alignment vertical="center" wrapText="1"/>
    </xf>
    <xf numFmtId="175" fontId="3" fillId="0" borderId="2" xfId="0" applyNumberFormat="1" applyFont="1" applyFill="1" applyBorder="1" applyAlignment="1">
      <alignment horizontal="center" vertical="center" wrapText="1"/>
    </xf>
    <xf numFmtId="174" fontId="3" fillId="0" borderId="2" xfId="0" applyNumberFormat="1" applyFont="1" applyFill="1" applyBorder="1" applyAlignment="1">
      <alignment horizontal="center" vertical="center" wrapText="1"/>
    </xf>
    <xf numFmtId="175" fontId="3" fillId="0" borderId="2" xfId="0" applyNumberFormat="1" applyFont="1" applyFill="1" applyBorder="1" applyAlignment="1">
      <alignment vertical="center" wrapText="1"/>
    </xf>
    <xf numFmtId="175" fontId="3" fillId="0" borderId="1" xfId="0" applyNumberFormat="1" applyFont="1" applyFill="1" applyBorder="1" applyAlignment="1">
      <alignment horizontal="center" vertical="center" wrapText="1"/>
    </xf>
    <xf numFmtId="176" fontId="3" fillId="0" borderId="2" xfId="0" applyNumberFormat="1" applyFont="1" applyFill="1" applyBorder="1" applyAlignment="1">
      <alignment vertical="center" wrapText="1"/>
    </xf>
    <xf numFmtId="0" fontId="1" fillId="0" borderId="3" xfId="0" applyNumberFormat="1" applyFont="1" applyFill="1" applyBorder="1" applyAlignment="1" applyProtection="1">
      <alignment horizontal="center" vertical="center" wrapText="1"/>
      <protection locked="0"/>
    </xf>
    <xf numFmtId="17" fontId="1" fillId="0" borderId="3" xfId="0" applyNumberFormat="1" applyFont="1" applyFill="1" applyBorder="1" applyAlignment="1" applyProtection="1">
      <alignment horizontal="center" vertical="center" wrapText="1"/>
    </xf>
    <xf numFmtId="0" fontId="1" fillId="0" borderId="4" xfId="0" applyFont="1" applyFill="1" applyBorder="1" applyAlignment="1" applyProtection="1">
      <alignment horizontal="center" vertical="center" wrapText="1"/>
    </xf>
    <xf numFmtId="9" fontId="1" fillId="0" borderId="4" xfId="0" applyNumberFormat="1" applyFont="1" applyFill="1" applyBorder="1" applyAlignment="1" applyProtection="1">
      <alignment horizontal="center" vertical="center" wrapText="1"/>
    </xf>
    <xf numFmtId="17" fontId="1" fillId="0" borderId="4" xfId="0" applyNumberFormat="1" applyFont="1" applyFill="1" applyBorder="1" applyAlignment="1" applyProtection="1">
      <alignment horizontal="center" vertical="center" wrapText="1"/>
    </xf>
    <xf numFmtId="0" fontId="1" fillId="0" borderId="5" xfId="0" applyFont="1" applyFill="1" applyBorder="1" applyAlignment="1" applyProtection="1">
      <alignment horizontal="center" vertical="center" wrapText="1"/>
    </xf>
    <xf numFmtId="0" fontId="1" fillId="0" borderId="6" xfId="0" applyFont="1" applyFill="1" applyBorder="1" applyAlignment="1" applyProtection="1">
      <alignment horizontal="center" vertical="center" wrapText="1"/>
    </xf>
    <xf numFmtId="0" fontId="1" fillId="0" borderId="3" xfId="0" applyFont="1" applyFill="1" applyBorder="1" applyAlignment="1" applyProtection="1">
      <alignment horizontal="center" vertical="center" wrapText="1"/>
    </xf>
    <xf numFmtId="9" fontId="1" fillId="0" borderId="4" xfId="0" applyNumberFormat="1" applyFont="1" applyFill="1" applyBorder="1" applyAlignment="1" applyProtection="1">
      <alignment horizontal="center" vertical="center" wrapText="1"/>
    </xf>
    <xf numFmtId="0" fontId="1" fillId="0" borderId="4" xfId="0" applyNumberFormat="1" applyFont="1" applyFill="1" applyBorder="1" applyAlignment="1" applyProtection="1">
      <alignment horizontal="center" vertical="center" wrapText="1" shrinkToFit="1"/>
    </xf>
    <xf numFmtId="49" fontId="1" fillId="0" borderId="6" xfId="0" applyNumberFormat="1" applyFont="1" applyFill="1" applyBorder="1" applyAlignment="1" applyProtection="1">
      <alignment horizontal="center" vertical="center" wrapText="1"/>
    </xf>
    <xf numFmtId="0" fontId="1" fillId="0" borderId="4" xfId="0" applyNumberFormat="1" applyFont="1" applyFill="1" applyBorder="1" applyAlignment="1" applyProtection="1">
      <alignment horizontal="center" vertical="center" wrapText="1"/>
    </xf>
    <xf numFmtId="15" fontId="1" fillId="0" borderId="0" xfId="0" applyNumberFormat="1" applyFont="1" applyFill="1" applyBorder="1" applyAlignment="1" applyProtection="1">
      <alignment horizontal="center" vertical="center" wrapText="1"/>
    </xf>
    <xf numFmtId="4" fontId="1" fillId="0" borderId="0" xfId="0" applyNumberFormat="1" applyFont="1" applyFill="1" applyBorder="1" applyAlignment="1" applyProtection="1">
      <alignment horizontal="center" vertical="center" wrapText="1"/>
    </xf>
    <xf numFmtId="165" fontId="1" fillId="0" borderId="0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 wrapText="1"/>
    </xf>
    <xf numFmtId="49" fontId="2" fillId="0" borderId="0" xfId="0" applyNumberFormat="1" applyFont="1" applyFill="1" applyBorder="1" applyAlignment="1" applyProtection="1">
      <alignment horizontal="center" vertical="center" wrapText="1"/>
    </xf>
    <xf numFmtId="17" fontId="2" fillId="0" borderId="0" xfId="0" applyNumberFormat="1" applyFont="1" applyFill="1" applyBorder="1" applyAlignment="1" applyProtection="1">
      <alignment horizontal="center" vertical="center" wrapText="1"/>
    </xf>
    <xf numFmtId="9" fontId="2" fillId="0" borderId="0" xfId="0" quotePrefix="1" applyNumberFormat="1" applyFont="1" applyFill="1" applyBorder="1" applyAlignment="1" applyProtection="1">
      <alignment horizontal="center" vertical="center" wrapText="1"/>
    </xf>
    <xf numFmtId="4" fontId="2" fillId="0" borderId="0" xfId="0" applyNumberFormat="1" applyFont="1" applyFill="1" applyBorder="1" applyAlignment="1" applyProtection="1">
      <alignment horizontal="center" vertical="center" wrapText="1"/>
    </xf>
    <xf numFmtId="9" fontId="2" fillId="0" borderId="0" xfId="0" applyNumberFormat="1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horizontal="center" vertical="center" wrapText="1"/>
    </xf>
    <xf numFmtId="15" fontId="2" fillId="0" borderId="0" xfId="0" applyNumberFormat="1" applyFont="1" applyFill="1" applyBorder="1" applyAlignment="1" applyProtection="1">
      <alignment horizontal="center" vertical="center" wrapText="1"/>
    </xf>
    <xf numFmtId="170" fontId="2" fillId="0" borderId="0" xfId="0" applyNumberFormat="1" applyFont="1" applyFill="1" applyBorder="1" applyAlignment="1" applyProtection="1">
      <alignment horizontal="center" vertical="center" wrapText="1"/>
    </xf>
    <xf numFmtId="165" fontId="2" fillId="0" borderId="0" xfId="0" applyNumberFormat="1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vertical="center" wrapText="1"/>
    </xf>
    <xf numFmtId="15" fontId="4" fillId="0" borderId="0" xfId="0" applyNumberFormat="1" applyFont="1" applyFill="1" applyBorder="1" applyAlignment="1" applyProtection="1">
      <alignment vertical="center" wrapText="1"/>
    </xf>
    <xf numFmtId="9" fontId="4" fillId="0" borderId="0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 wrapText="1"/>
    </xf>
    <xf numFmtId="4" fontId="5" fillId="0" borderId="0" xfId="0" applyNumberFormat="1" applyFont="1" applyFill="1" applyBorder="1" applyAlignment="1" applyProtection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15" fontId="6" fillId="0" borderId="1" xfId="0" applyNumberFormat="1" applyFont="1" applyFill="1" applyBorder="1" applyAlignment="1">
      <alignment horizontal="center" vertical="center" wrapText="1"/>
    </xf>
    <xf numFmtId="164" fontId="6" fillId="0" borderId="1" xfId="0" applyNumberFormat="1" applyFont="1" applyFill="1" applyBorder="1" applyAlignment="1">
      <alignment horizontal="center" vertical="center" wrapText="1"/>
    </xf>
    <xf numFmtId="165" fontId="6" fillId="0" borderId="1" xfId="0" applyNumberFormat="1" applyFont="1" applyFill="1" applyBorder="1" applyAlignment="1">
      <alignment horizontal="center" vertical="center" wrapText="1"/>
    </xf>
    <xf numFmtId="168" fontId="6" fillId="0" borderId="1" xfId="0" applyNumberFormat="1" applyFont="1" applyFill="1" applyBorder="1" applyAlignment="1">
      <alignment horizontal="center" vertical="center" wrapText="1"/>
    </xf>
    <xf numFmtId="172" fontId="6" fillId="0" borderId="1" xfId="0" applyNumberFormat="1" applyFont="1" applyFill="1" applyBorder="1" applyAlignment="1">
      <alignment horizontal="center" vertical="center" wrapText="1"/>
    </xf>
    <xf numFmtId="17" fontId="6" fillId="0" borderId="1" xfId="0" applyNumberFormat="1" applyFont="1" applyFill="1" applyBorder="1" applyAlignment="1">
      <alignment horizontal="center" vertical="center" wrapText="1"/>
    </xf>
    <xf numFmtId="169" fontId="6" fillId="0" borderId="1" xfId="0" applyNumberFormat="1" applyFont="1" applyFill="1" applyBorder="1" applyAlignment="1">
      <alignment horizontal="center" vertical="center" wrapText="1"/>
    </xf>
    <xf numFmtId="4" fontId="6" fillId="0" borderId="1" xfId="0" applyNumberFormat="1" applyFont="1" applyFill="1" applyBorder="1" applyAlignment="1">
      <alignment horizontal="center" vertical="center" wrapText="1"/>
    </xf>
    <xf numFmtId="175" fontId="6" fillId="0" borderId="1" xfId="0" applyNumberFormat="1" applyFont="1" applyFill="1" applyBorder="1" applyAlignment="1">
      <alignment horizontal="center" vertical="center" wrapText="1"/>
    </xf>
    <xf numFmtId="175" fontId="6" fillId="0" borderId="1" xfId="0" applyNumberFormat="1" applyFont="1" applyFill="1" applyBorder="1" applyAlignment="1">
      <alignment horizontal="center" vertical="center" wrapText="1"/>
    </xf>
    <xf numFmtId="170" fontId="6" fillId="0" borderId="1" xfId="0" applyNumberFormat="1" applyFont="1" applyFill="1" applyBorder="1" applyAlignment="1">
      <alignment horizontal="center" vertical="center" wrapText="1"/>
    </xf>
    <xf numFmtId="172" fontId="6" fillId="0" borderId="1" xfId="0" applyNumberFormat="1" applyFont="1" applyFill="1" applyBorder="1" applyAlignment="1">
      <alignment horizontal="center" vertical="center" wrapText="1"/>
    </xf>
    <xf numFmtId="174" fontId="6" fillId="0" borderId="1" xfId="0" applyNumberFormat="1" applyFont="1" applyFill="1" applyBorder="1" applyAlignment="1">
      <alignment horizontal="center" vertical="center" wrapText="1"/>
    </xf>
    <xf numFmtId="40" fontId="6" fillId="0" borderId="1" xfId="0" applyNumberFormat="1" applyFont="1" applyFill="1" applyBorder="1" applyAlignment="1">
      <alignment horizontal="center" vertical="center" wrapText="1"/>
    </xf>
    <xf numFmtId="4" fontId="6" fillId="0" borderId="1" xfId="0" applyNumberFormat="1" applyFont="1" applyFill="1" applyBorder="1" applyAlignment="1">
      <alignment horizontal="center" vertical="center" wrapText="1"/>
    </xf>
    <xf numFmtId="15" fontId="3" fillId="0" borderId="2" xfId="0" applyNumberFormat="1" applyFont="1" applyFill="1" applyBorder="1" applyAlignment="1">
      <alignment vertical="center" wrapText="1"/>
    </xf>
    <xf numFmtId="171" fontId="3" fillId="0" borderId="2" xfId="0" applyNumberFormat="1" applyFont="1" applyFill="1" applyBorder="1" applyAlignment="1">
      <alignment vertical="center" wrapText="1"/>
    </xf>
    <xf numFmtId="166" fontId="3" fillId="0" borderId="2" xfId="0" applyNumberFormat="1" applyFont="1" applyFill="1" applyBorder="1" applyAlignment="1">
      <alignment horizontal="right" vertical="center" wrapText="1"/>
    </xf>
    <xf numFmtId="168" fontId="3" fillId="0" borderId="2" xfId="0" applyNumberFormat="1" applyFont="1" applyFill="1" applyBorder="1" applyAlignment="1">
      <alignment horizontal="center" vertical="center" wrapText="1"/>
    </xf>
    <xf numFmtId="172" fontId="3" fillId="0" borderId="2" xfId="0" applyNumberFormat="1" applyFont="1" applyFill="1" applyBorder="1" applyAlignment="1">
      <alignment horizontal="center" vertical="center" wrapText="1"/>
    </xf>
    <xf numFmtId="0" fontId="3" fillId="0" borderId="2" xfId="0" applyNumberFormat="1" applyFont="1" applyFill="1" applyBorder="1" applyAlignment="1">
      <alignment horizontal="center" vertical="center" wrapText="1"/>
    </xf>
    <xf numFmtId="169" fontId="3" fillId="0" borderId="2" xfId="0" applyNumberFormat="1" applyFont="1" applyFill="1" applyBorder="1" applyAlignment="1">
      <alignment horizontal="center" vertical="center" wrapText="1"/>
    </xf>
    <xf numFmtId="4" fontId="3" fillId="0" borderId="2" xfId="0" applyNumberFormat="1" applyFont="1" applyFill="1" applyBorder="1" applyAlignment="1">
      <alignment vertical="center" wrapText="1"/>
    </xf>
    <xf numFmtId="175" fontId="3" fillId="0" borderId="2" xfId="0" applyNumberFormat="1" applyFont="1" applyFill="1" applyBorder="1" applyAlignment="1">
      <alignment vertical="center" wrapText="1"/>
    </xf>
    <xf numFmtId="4" fontId="3" fillId="0" borderId="2" xfId="0" applyNumberFormat="1" applyFont="1" applyFill="1" applyBorder="1" applyAlignment="1">
      <alignment horizontal="center" vertical="center" wrapText="1"/>
    </xf>
    <xf numFmtId="170" fontId="3" fillId="0" borderId="2" xfId="0" applyNumberFormat="1" applyFont="1" applyFill="1" applyBorder="1" applyAlignment="1">
      <alignment horizontal="center" vertical="center" wrapText="1"/>
    </xf>
    <xf numFmtId="175" fontId="3" fillId="0" borderId="2" xfId="0" applyNumberFormat="1" applyFont="1" applyFill="1" applyBorder="1" applyAlignment="1">
      <alignment horizontal="center" vertical="center" wrapText="1"/>
    </xf>
    <xf numFmtId="172" fontId="3" fillId="0" borderId="2" xfId="0" applyNumberFormat="1" applyFont="1" applyFill="1" applyBorder="1" applyAlignment="1">
      <alignment horizontal="right" vertical="center" wrapText="1"/>
    </xf>
    <xf numFmtId="171" fontId="6" fillId="0" borderId="2" xfId="0" applyNumberFormat="1" applyFont="1" applyFill="1" applyBorder="1" applyAlignment="1">
      <alignment horizontal="center" vertical="center" wrapText="1"/>
    </xf>
    <xf numFmtId="164" fontId="6" fillId="0" borderId="2" xfId="0" applyNumberFormat="1" applyFont="1" applyFill="1" applyBorder="1" applyAlignment="1">
      <alignment horizontal="center" vertical="center" wrapText="1"/>
    </xf>
    <xf numFmtId="174" fontId="6" fillId="0" borderId="2" xfId="0" applyNumberFormat="1" applyFont="1" applyFill="1" applyBorder="1" applyAlignment="1">
      <alignment horizontal="center" vertical="center" wrapText="1"/>
    </xf>
    <xf numFmtId="40" fontId="6" fillId="0" borderId="2" xfId="0" applyNumberFormat="1" applyFont="1" applyFill="1" applyBorder="1" applyAlignment="1">
      <alignment horizontal="center" vertical="center" wrapText="1"/>
    </xf>
    <xf numFmtId="4" fontId="6" fillId="0" borderId="2" xfId="0" applyNumberFormat="1" applyFont="1" applyFill="1" applyBorder="1" applyAlignment="1">
      <alignment horizontal="center" vertical="center" wrapText="1"/>
    </xf>
    <xf numFmtId="173" fontId="6" fillId="0" borderId="2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170" fontId="3" fillId="0" borderId="2" xfId="0" applyNumberFormat="1" applyFont="1" applyFill="1" applyBorder="1" applyAlignment="1">
      <alignment vertical="center" wrapText="1"/>
    </xf>
    <xf numFmtId="174" fontId="6" fillId="0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4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5" formatCode="0.000%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0" formatCode="#,##0.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0" formatCode="#,##0.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0" formatCode="#,##0.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0" formatCode="#,##0.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0" formatCode="#,##0.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0" formatCode="#,##0.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20" formatCode="dd\-mmm\-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20" formatCode="dd\-mmm\-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71" formatCode="#,##0.00_ ;\-#,##0.00\ 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6" formatCode="0.0000%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22" formatCode="mmm\-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outline val="0"/>
        <shadow val="0"/>
        <u val="none"/>
        <vertAlign val="baseline"/>
        <color auto="1"/>
      </font>
      <numFmt numFmtId="4" formatCode="#,##0.00"/>
      <fill>
        <patternFill patternType="none">
          <fgColor indexed="64"/>
          <bgColor auto="1"/>
        </patternFill>
      </fill>
      <alignment vertical="center" textRotation="0" wrapText="1" justifyLastLine="0" readingOrder="0"/>
      <protection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3333FF"/>
      <color rgb="FFF68426"/>
      <color rgb="FFFF9900"/>
      <color rgb="FF99FFCC"/>
      <color rgb="FFFFFFCC"/>
      <color rgb="FFFF00FF"/>
      <color rgb="FFC0C0C0"/>
      <color rgb="FF66FFFF"/>
      <color rgb="FF00FF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2" name="Table2" displayName="Table2" ref="A1:AR4" totalsRowShown="0" headerRowDxfId="46" dataDxfId="45" tableBorderDxfId="44">
  <autoFilter ref="A1:AR4"/>
  <tableColumns count="44">
    <tableColumn id="1" name="MONTH" dataDxfId="43"/>
    <tableColumn id="34" name="NOTES" dataDxfId="42"/>
    <tableColumn id="2" name="REF" dataDxfId="41">
      <calculatedColumnFormula>IF(ISBLANK($A2),"",(TEXT(ROW(C2)-1,"2016CT000")))</calculatedColumnFormula>
    </tableColumn>
    <tableColumn id="3" name="OIC" dataDxfId="40"/>
    <tableColumn id="4" name="VSL" dataDxfId="39"/>
    <tableColumn id="5" name="GRADE" dataDxfId="38"/>
    <tableColumn id="6" name="LP" dataDxfId="37"/>
    <tableColumn id="7" name="INSURANCE" dataDxfId="36">
      <calculatedColumnFormula>IF(OR(AND(Table2[[#This Row],[TERMS (P)]]="DES",Table2[[#This Row],[TERMS (S)]]="DES"),AND(Table2[[#This Row],[TERMS (P)]]="CIF",Table2[[#This Row],[TERMS (S)]]="DES"),AND(Table2[[#This Row],[TERMS (P)]]="FOB",Table2[[#This Row],[TERMS (S)]]="FOB")),"N/A","N/A")</calculatedColumnFormula>
    </tableColumn>
    <tableColumn id="8" name="CT QTY" dataDxfId="35"/>
    <tableColumn id="9" name="TOLERANCE" dataDxfId="34"/>
    <tableColumn id="10" name="VSL MAX INT" dataDxfId="33"/>
    <tableColumn id="11" name="SUPPLIERS" dataDxfId="32"/>
    <tableColumn id="12" name="TERMS (P)" dataDxfId="31"/>
    <tableColumn id="13" name="DATES TERM" dataDxfId="30"/>
    <tableColumn id="14" name="CT DATES" dataDxfId="29"/>
    <tableColumn id="40" name="MIN TERM NOM QTY" dataDxfId="28"/>
    <tableColumn id="39" name="MAX TERM NOM QTY" dataDxfId="27"/>
    <tableColumn id="15" name="INSP LP" dataDxfId="26"/>
    <tableColumn id="16" name="INSP LP SHARING" dataDxfId="25"/>
    <tableColumn id="32" name="INSP INV RCVD" dataDxfId="24"/>
    <tableColumn id="30" name="AGT LP" dataDxfId="23"/>
    <tableColumn id="37" name="AGT LP CATEGORY" dataDxfId="22"/>
    <tableColumn id="17" name="RCVRS" dataDxfId="21"/>
    <tableColumn id="18" name="TERMS (S)" dataDxfId="20"/>
    <tableColumn id="19" name="DP" dataDxfId="19"/>
    <tableColumn id="36" name="MIN REQ QTY" dataDxfId="18"/>
    <tableColumn id="20" name="MAX REQ QTY" dataDxfId="17"/>
    <tableColumn id="21" name="SALE CONTRACTUAL DATE TERMS" dataDxfId="16">
      <calculatedColumnFormula>Table2[[#This Row],[DATES TERM]]</calculatedColumnFormula>
    </tableColumn>
    <tableColumn id="22" name="SALE CONTRACTUAL DATES" dataDxfId="15">
      <calculatedColumnFormula>O2</calculatedColumnFormula>
    </tableColumn>
    <tableColumn id="23" name="INSP DP" dataDxfId="14"/>
    <tableColumn id="24" name="INSP DP SHARING" dataDxfId="13"/>
    <tableColumn id="33" name="DP INSP INV" dataDxfId="12">
      <calculatedColumnFormula>IF(Table2[[#This Row],[INSP DP]]="INTERTEK","N/A","")</calculatedColumnFormula>
    </tableColumn>
    <tableColumn id="35" name="AGT DP" dataDxfId="11"/>
    <tableColumn id="38" name="AGT DP CATEGORY" dataDxfId="10"/>
    <tableColumn id="25" name="BL DATE" dataDxfId="9"/>
    <tableColumn id="26" name="COD DATE" dataDxfId="8"/>
    <tableColumn id="41" name="BL_GROSS_QTY_MTS" dataDxfId="7"/>
    <tableColumn id="42" name="BL_GROSS_QTY_BBLS" dataDxfId="6"/>
    <tableColumn id="27" name="BL_NET_QTY_BBLS" dataDxfId="5"/>
    <tableColumn id="43" name="BL_NET_QTY_MTS" dataDxfId="4"/>
    <tableColumn id="28" name="OT_NET_QTY_BBLS" dataDxfId="3"/>
    <tableColumn id="44" name="OT_NET_QTY_MTS" dataDxfId="2"/>
    <tableColumn id="29" name="LOSS" dataDxfId="1">
      <calculatedColumnFormula>IFERROR(IF(Table2[[#This Row],[OT_NET_QTY_BBLS]]="N/A","N/A",(AO2-AM2)/AM2),"N/A")</calculatedColumnFormula>
    </tableColumn>
    <tableColumn id="31" name="DEM" dataDxfId="0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able1" displayName="Table1" ref="A1:AL4" totalsRowShown="0" headerRowCellStyle="Normal" dataCellStyle="Normal">
  <autoFilter ref="A1:AL4"/>
  <tableColumns count="38">
    <tableColumn id="1" name="DEM_MONT" dataCellStyle="Normal">
      <calculatedColumnFormula>Table2[[#This Row],[MONTH]]</calculatedColumnFormula>
    </tableColumn>
    <tableColumn id="2" name="DEM_REF" dataCellStyle="Normal">
      <calculatedColumnFormula>Table2[REF]</calculatedColumnFormula>
    </tableColumn>
    <tableColumn id="3" name="DEM_OIC" dataCellStyle="Normal">
      <calculatedColumnFormula>Table2[OIC]</calculatedColumnFormula>
    </tableColumn>
    <tableColumn id="4" name="DEM_VSL" dataCellStyle="Normal">
      <calculatedColumnFormula>Table2[VSL]</calculatedColumnFormula>
    </tableColumn>
    <tableColumn id="5" name="DEM_GRADE" dataCellStyle="Normal">
      <calculatedColumnFormula>Table2[GRADE]</calculatedColumnFormula>
    </tableColumn>
    <tableColumn id="6" name="DEM_LP" dataCellStyle="Normal">
      <calculatedColumnFormula>Table2[LP]</calculatedColumnFormula>
    </tableColumn>
    <tableColumn id="7" name="DEM_SUPPLIERS" dataCellStyle="Normal">
      <calculatedColumnFormula>Table2[SUPPLIERS]</calculatedColumnFormula>
    </tableColumn>
    <tableColumn id="8" name="DEM_TERMS_P" dataCellStyle="Normal">
      <calculatedColumnFormula>Table2[TERMS (P)]</calculatedColumnFormula>
    </tableColumn>
    <tableColumn id="9" name="DEM_DATE_TERMS" dataCellStyle="Normal">
      <calculatedColumnFormula>Table2[DATES TERM]</calculatedColumnFormula>
    </tableColumn>
    <tableColumn id="10" name="DEM_CT_DATES" dataCellStyle="Normal">
      <calculatedColumnFormula>Table2[CT DATES]</calculatedColumnFormula>
    </tableColumn>
    <tableColumn id="11" name="RCVRS" dataCellStyle="Normal">
      <calculatedColumnFormula>Table2[RCVRS]</calculatedColumnFormula>
    </tableColumn>
    <tableColumn id="12" name="TERMS (S)" dataCellStyle="Normal">
      <calculatedColumnFormula>Table2[TERMS (S)]</calculatedColumnFormula>
    </tableColumn>
    <tableColumn id="13" name="DEM_DP" dataCellStyle="Normal">
      <calculatedColumnFormula>Table2[DP]</calculatedColumnFormula>
    </tableColumn>
    <tableColumn id="14" name="DEM RATE" dataCellStyle="Normal">
      <calculatedColumnFormula>Table2[DP]</calculatedColumnFormula>
    </tableColumn>
    <tableColumn id="15" name="ANCHORED" dataCellStyle="Normal">
      <calculatedColumnFormula>Table2[DP]</calculatedColumnFormula>
    </tableColumn>
    <tableColumn id="16" name="NOR TENDERED" dataCellStyle="Normal">
      <calculatedColumnFormula>Table2[DP]</calculatedColumnFormula>
    </tableColumn>
    <tableColumn id="17" name="6HRS AFTER VALID NOR" dataCellStyle="Normal">
      <calculatedColumnFormula>Table2[DP]</calculatedColumnFormula>
    </tableColumn>
    <tableColumn id="18" name="ANCHOR UP" dataCellStyle="Normal">
      <calculatedColumnFormula>Table2[DP]</calculatedColumnFormula>
    </tableColumn>
    <tableColumn id="19" name="POB" dataCellStyle="Normal">
      <calculatedColumnFormula>Table2[DP]</calculatedColumnFormula>
    </tableColumn>
    <tableColumn id="20" name="BERTHED" dataCellStyle="Normal">
      <calculatedColumnFormula>Table2[DP]</calculatedColumnFormula>
    </tableColumn>
    <tableColumn id="21" name="START DISCHARGE" dataCellStyle="Normal">
      <calculatedColumnFormula>Table2[DP]</calculatedColumnFormula>
    </tableColumn>
    <tableColumn id="22" name="TIME TO START" dataCellStyle="Normal">
      <calculatedColumnFormula>Table2[DP]</calculatedColumnFormula>
    </tableColumn>
    <tableColumn id="23" name="DEM_COD" dataCellStyle="Normal">
      <calculatedColumnFormula>Table2[DP]</calculatedColumnFormula>
    </tableColumn>
    <tableColumn id="24" name="HOSES OFF" dataCellStyle="Normal">
      <calculatedColumnFormula>Table2[DP]</calculatedColumnFormula>
    </tableColumn>
    <tableColumn id="25" name="TIME TO STOP" dataCellStyle="Normal">
      <calculatedColumnFormula>Table2[DP]</calculatedColumnFormula>
    </tableColumn>
    <tableColumn id="26" name="TOTAL TIME INVOLVED" dataCellStyle="Normal">
      <calculatedColumnFormula>Table2[DP]</calculatedColumnFormula>
    </tableColumn>
    <tableColumn id="27" name="BAD WEATHER FROM" dataCellStyle="Normal">
      <calculatedColumnFormula>Table2[DP]</calculatedColumnFormula>
    </tableColumn>
    <tableColumn id="28" name="BAD WEATHER TO" dataCellStyle="Normal">
      <calculatedColumnFormula>Table2[DP]</calculatedColumnFormula>
    </tableColumn>
    <tableColumn id="29" name="BAD WEATHER" dataCellStyle="Normal">
      <calculatedColumnFormula>Table2[DP]</calculatedColumnFormula>
    </tableColumn>
    <tableColumn id="30" name="SHIFTING FROM" dataCellStyle="Normal">
      <calculatedColumnFormula>Table2[DP]</calculatedColumnFormula>
    </tableColumn>
    <tableColumn id="31" name="SHIFTING TO" dataCellStyle="Normal">
      <calculatedColumnFormula>Table2[DP]</calculatedColumnFormula>
    </tableColumn>
    <tableColumn id="32" name="SHIFTING" dataCellStyle="Normal">
      <calculatedColumnFormula>Table2[DP]</calculatedColumnFormula>
    </tableColumn>
    <tableColumn id="33" name="TOTAL DEDUCTIONS" dataCellStyle="Normal">
      <calculatedColumnFormula>Table2[DP]</calculatedColumnFormula>
    </tableColumn>
    <tableColumn id="34" name="TOTAL TIME USED" dataCellStyle="Normal">
      <calculatedColumnFormula>Table2[DP]</calculatedColumnFormula>
    </tableColumn>
    <tableColumn id="35" name="TIME ALLOWED" dataCellStyle="Normal"/>
    <tableColumn id="36" name="TIME ON DEMURRAGE" dataCellStyle="Normal">
      <calculatedColumnFormula>IFERROR(IF(AH2-AI2&lt;0,"NIL",AH2-AI2),"")</calculatedColumnFormula>
    </tableColumn>
    <tableColumn id="37" name="DEMURRAGE RATE" dataCellStyle="Normal">
      <calculatedColumnFormula>N2</calculatedColumnFormula>
    </tableColumn>
    <tableColumn id="38" name="DEMURRAGE DUE" dataCellStyle="Normal">
      <calculatedColumnFormula>IFERROR(IF(AJ2="NIL","NIL",AJ2*AK2),"")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AR5"/>
  <sheetViews>
    <sheetView zoomScale="75" zoomScaleNormal="75" workbookViewId="0">
      <pane xSplit="7" ySplit="1" topLeftCell="AN2" activePane="bottomRight" state="frozen"/>
      <selection pane="topRight" activeCell="G1" sqref="G1"/>
      <selection pane="bottomLeft" activeCell="A2" sqref="A2"/>
      <selection pane="bottomRight" activeCell="C37" sqref="C37"/>
    </sheetView>
  </sheetViews>
  <sheetFormatPr baseColWidth="10" defaultColWidth="25.140625" defaultRowHeight="15" x14ac:dyDescent="0.25"/>
  <cols>
    <col min="1" max="1" width="15.5703125" bestFit="1" customWidth="1"/>
    <col min="2" max="2" width="15.140625" bestFit="1" customWidth="1"/>
    <col min="3" max="3" width="12" bestFit="1" customWidth="1"/>
    <col min="4" max="4" width="11.5703125" bestFit="1" customWidth="1"/>
    <col min="5" max="5" width="12.140625" bestFit="1" customWidth="1"/>
    <col min="6" max="6" width="15.42578125" bestFit="1" customWidth="1"/>
    <col min="7" max="7" width="10.5703125" bestFit="1" customWidth="1"/>
    <col min="8" max="8" width="20.28515625" bestFit="1" customWidth="1"/>
    <col min="9" max="9" width="15.7109375" bestFit="1" customWidth="1"/>
    <col min="10" max="10" width="20.85546875" bestFit="1" customWidth="1"/>
    <col min="11" max="11" width="21.7109375" bestFit="1" customWidth="1"/>
    <col min="12" max="12" width="20.140625" bestFit="1" customWidth="1"/>
    <col min="13" max="13" width="18.85546875" bestFit="1" customWidth="1"/>
    <col min="14" max="14" width="21.7109375" bestFit="1" customWidth="1"/>
    <col min="15" max="15" width="18.42578125" bestFit="1" customWidth="1"/>
    <col min="16" max="16" width="29.140625" bestFit="1" customWidth="1"/>
    <col min="17" max="17" width="30" bestFit="1" customWidth="1"/>
    <col min="18" max="18" width="16.28515625" bestFit="1" customWidth="1"/>
    <col min="19" max="19" width="27.140625" bestFit="1" customWidth="1"/>
    <col min="20" max="20" width="24" bestFit="1" customWidth="1"/>
    <col min="21" max="21" width="15.7109375" bestFit="1" customWidth="1"/>
    <col min="22" max="22" width="28.85546875" bestFit="1" customWidth="1"/>
    <col min="23" max="23" width="15.42578125" bestFit="1" customWidth="1"/>
    <col min="24" max="24" width="18.85546875" bestFit="1" customWidth="1"/>
    <col min="25" max="25" width="10.85546875" bestFit="1" customWidth="1"/>
    <col min="26" max="26" width="22" bestFit="1" customWidth="1"/>
    <col min="27" max="27" width="23" bestFit="1" customWidth="1"/>
    <col min="28" max="28" width="37.42578125" bestFit="1" customWidth="1"/>
    <col min="29" max="29" width="31" bestFit="1" customWidth="1"/>
    <col min="30" max="30" width="16.5703125" bestFit="1" customWidth="1"/>
    <col min="31" max="31" width="27.42578125" bestFit="1" customWidth="1"/>
    <col min="32" max="32" width="20.7109375" bestFit="1" customWidth="1"/>
    <col min="33" max="33" width="16" bestFit="1" customWidth="1"/>
    <col min="34" max="34" width="29.140625" bestFit="1" customWidth="1"/>
    <col min="35" max="35" width="16.85546875" bestFit="1" customWidth="1"/>
    <col min="36" max="36" width="18.85546875" bestFit="1" customWidth="1"/>
    <col min="37" max="37" width="32.28515625" bestFit="1" customWidth="1"/>
    <col min="38" max="38" width="33.7109375" bestFit="1" customWidth="1"/>
    <col min="39" max="39" width="29.7109375" bestFit="1" customWidth="1"/>
    <col min="40" max="40" width="28.28515625" bestFit="1" customWidth="1"/>
    <col min="41" max="41" width="29.85546875" bestFit="1" customWidth="1"/>
    <col min="42" max="42" width="28.5703125" bestFit="1" customWidth="1"/>
    <col min="43" max="43" width="13.85546875" bestFit="1" customWidth="1"/>
    <col min="44" max="44" width="12.28515625" bestFit="1" customWidth="1"/>
  </cols>
  <sheetData>
    <row r="1" spans="1:44" ht="36.75" customHeight="1" x14ac:dyDescent="0.25">
      <c r="A1" s="12" t="s">
        <v>101</v>
      </c>
      <c r="B1" s="13" t="s">
        <v>45</v>
      </c>
      <c r="C1" s="14" t="s">
        <v>3</v>
      </c>
      <c r="D1" s="14" t="s">
        <v>4</v>
      </c>
      <c r="E1" s="14" t="s">
        <v>102</v>
      </c>
      <c r="F1" s="14" t="s">
        <v>0</v>
      </c>
      <c r="G1" s="14" t="s">
        <v>103</v>
      </c>
      <c r="H1" s="15" t="s">
        <v>5</v>
      </c>
      <c r="I1" s="14" t="s">
        <v>104</v>
      </c>
      <c r="J1" s="16" t="s">
        <v>105</v>
      </c>
      <c r="K1" s="16" t="s">
        <v>6</v>
      </c>
      <c r="L1" s="14" t="s">
        <v>86</v>
      </c>
      <c r="M1" s="14" t="s">
        <v>125</v>
      </c>
      <c r="N1" s="17" t="s">
        <v>106</v>
      </c>
      <c r="O1" s="18" t="s">
        <v>107</v>
      </c>
      <c r="P1" s="19" t="s">
        <v>79</v>
      </c>
      <c r="Q1" s="19" t="s">
        <v>80</v>
      </c>
      <c r="R1" s="14" t="s">
        <v>67</v>
      </c>
      <c r="S1" s="20" t="s">
        <v>108</v>
      </c>
      <c r="T1" s="14" t="s">
        <v>43</v>
      </c>
      <c r="U1" s="14" t="s">
        <v>109</v>
      </c>
      <c r="V1" s="14" t="s">
        <v>110</v>
      </c>
      <c r="W1" s="14" t="s">
        <v>111</v>
      </c>
      <c r="X1" s="14" t="s">
        <v>124</v>
      </c>
      <c r="Y1" s="14" t="s">
        <v>112</v>
      </c>
      <c r="Z1" s="21" t="s">
        <v>113</v>
      </c>
      <c r="AA1" s="21" t="s">
        <v>114</v>
      </c>
      <c r="AB1" s="17" t="s">
        <v>42</v>
      </c>
      <c r="AC1" s="22" t="s">
        <v>41</v>
      </c>
      <c r="AD1" s="14" t="s">
        <v>70</v>
      </c>
      <c r="AE1" s="14" t="s">
        <v>115</v>
      </c>
      <c r="AF1" s="23" t="s">
        <v>44</v>
      </c>
      <c r="AG1" s="14" t="s">
        <v>116</v>
      </c>
      <c r="AH1" s="14" t="s">
        <v>117</v>
      </c>
      <c r="AI1" s="24" t="s">
        <v>10</v>
      </c>
      <c r="AJ1" s="24" t="s">
        <v>87</v>
      </c>
      <c r="AK1" s="25" t="s">
        <v>94</v>
      </c>
      <c r="AL1" s="25" t="s">
        <v>95</v>
      </c>
      <c r="AM1" s="25" t="s">
        <v>96</v>
      </c>
      <c r="AN1" s="25" t="s">
        <v>97</v>
      </c>
      <c r="AO1" s="25" t="s">
        <v>98</v>
      </c>
      <c r="AP1" s="25" t="s">
        <v>99</v>
      </c>
      <c r="AQ1" s="26" t="s">
        <v>11</v>
      </c>
      <c r="AR1" s="27" t="s">
        <v>12</v>
      </c>
    </row>
    <row r="2" spans="1:44" x14ac:dyDescent="0.25">
      <c r="A2" s="29" t="s">
        <v>91</v>
      </c>
      <c r="B2" s="30"/>
      <c r="C2" s="28" t="s">
        <v>100</v>
      </c>
      <c r="D2" s="28" t="s">
        <v>171</v>
      </c>
      <c r="E2" s="28" t="s">
        <v>171</v>
      </c>
      <c r="F2" s="28" t="s">
        <v>171</v>
      </c>
      <c r="G2" s="28" t="s">
        <v>171</v>
      </c>
      <c r="H2" s="28" t="s">
        <v>171</v>
      </c>
      <c r="I2" s="28" t="s">
        <v>171</v>
      </c>
      <c r="J2" s="31">
        <v>0.1</v>
      </c>
      <c r="K2" s="28" t="s">
        <v>171</v>
      </c>
      <c r="L2" s="28" t="s">
        <v>171</v>
      </c>
      <c r="M2" s="28" t="s">
        <v>171</v>
      </c>
      <c r="N2" s="28" t="s">
        <v>171</v>
      </c>
      <c r="O2" s="28" t="s">
        <v>171</v>
      </c>
      <c r="P2" s="32"/>
      <c r="Q2" s="32"/>
      <c r="R2" s="28" t="s">
        <v>46</v>
      </c>
      <c r="S2" s="28" t="s">
        <v>46</v>
      </c>
      <c r="T2" s="28" t="s">
        <v>46</v>
      </c>
      <c r="U2" s="28" t="s">
        <v>46</v>
      </c>
      <c r="V2" s="28" t="s">
        <v>46</v>
      </c>
      <c r="W2" s="28" t="s">
        <v>171</v>
      </c>
      <c r="X2" s="28" t="s">
        <v>171</v>
      </c>
      <c r="Y2" s="28" t="s">
        <v>171</v>
      </c>
      <c r="Z2" s="28" t="s">
        <v>171</v>
      </c>
      <c r="AA2" s="28" t="s">
        <v>171</v>
      </c>
      <c r="AB2" s="28" t="str">
        <f>Table2[[#This Row],[DATES TERM]]</f>
        <v>XXXX</v>
      </c>
      <c r="AC2" s="1" t="str">
        <f t="shared" ref="AC2:AC4" si="0">O2</f>
        <v>XXXX</v>
      </c>
      <c r="AD2" s="1" t="s">
        <v>171</v>
      </c>
      <c r="AE2" s="33">
        <v>0.5</v>
      </c>
      <c r="AF2" s="34"/>
      <c r="AG2" s="34"/>
      <c r="AH2" s="34"/>
      <c r="AI2" s="35">
        <v>42370</v>
      </c>
      <c r="AJ2" s="35">
        <f>+Table2[[#This Row],[BL DATE]]+7</f>
        <v>42377</v>
      </c>
      <c r="AK2" s="36">
        <v>1000</v>
      </c>
      <c r="AL2" s="36">
        <v>1000</v>
      </c>
      <c r="AM2" s="36">
        <v>1000</v>
      </c>
      <c r="AN2" s="36">
        <v>1000</v>
      </c>
      <c r="AO2" s="36">
        <v>1000</v>
      </c>
      <c r="AP2" s="36">
        <v>1000</v>
      </c>
      <c r="AQ2" s="37">
        <f>IFERROR(IF(Table2[[#This Row],[OT_NET_QTY_BBLS]]="N/A","N/A",(AO2-AM2)/AM2),"N/A")</f>
        <v>0</v>
      </c>
      <c r="AR2" s="36"/>
    </row>
    <row r="3" spans="1:44" x14ac:dyDescent="0.25">
      <c r="A3" s="29" t="s">
        <v>126</v>
      </c>
      <c r="B3" s="30"/>
      <c r="C3" s="28" t="str">
        <f t="shared" ref="C3" si="1">IF(ISBLANK($A3),"",(TEXT(ROW(C3)-1,"2016CT000")))</f>
        <v>2016CT002</v>
      </c>
      <c r="D3" s="28" t="s">
        <v>171</v>
      </c>
      <c r="E3" s="28" t="s">
        <v>171</v>
      </c>
      <c r="F3" s="28" t="s">
        <v>171</v>
      </c>
      <c r="G3" s="28" t="s">
        <v>171</v>
      </c>
      <c r="H3" s="28" t="s">
        <v>171</v>
      </c>
      <c r="I3" s="28" t="s">
        <v>171</v>
      </c>
      <c r="J3" s="31">
        <v>0.05</v>
      </c>
      <c r="K3" s="28" t="s">
        <v>171</v>
      </c>
      <c r="L3" s="28" t="s">
        <v>171</v>
      </c>
      <c r="M3" s="28" t="s">
        <v>171</v>
      </c>
      <c r="N3" s="28" t="s">
        <v>171</v>
      </c>
      <c r="O3" s="28" t="s">
        <v>171</v>
      </c>
      <c r="P3" s="32"/>
      <c r="Q3" s="32"/>
      <c r="R3" s="28" t="s">
        <v>46</v>
      </c>
      <c r="S3" s="28" t="s">
        <v>46</v>
      </c>
      <c r="T3" s="28" t="s">
        <v>46</v>
      </c>
      <c r="U3" s="28" t="s">
        <v>46</v>
      </c>
      <c r="V3" s="28" t="s">
        <v>46</v>
      </c>
      <c r="W3" s="28" t="s">
        <v>171</v>
      </c>
      <c r="X3" s="28" t="s">
        <v>171</v>
      </c>
      <c r="Y3" s="28" t="s">
        <v>171</v>
      </c>
      <c r="Z3" s="28" t="s">
        <v>171</v>
      </c>
      <c r="AA3" s="28" t="s">
        <v>171</v>
      </c>
      <c r="AB3" s="28" t="str">
        <f>Table2[[#This Row],[DATES TERM]]</f>
        <v>XXXX</v>
      </c>
      <c r="AC3" s="1" t="str">
        <f t="shared" si="0"/>
        <v>XXXX</v>
      </c>
      <c r="AD3" s="1" t="s">
        <v>171</v>
      </c>
      <c r="AE3" s="33">
        <v>0.5</v>
      </c>
      <c r="AF3" s="34" t="str">
        <f>IF(Table2[[#This Row],[INSP DP]]="INTERTEK","N/A","")</f>
        <v/>
      </c>
      <c r="AG3" s="34"/>
      <c r="AH3" s="34"/>
      <c r="AI3" s="35">
        <v>42371</v>
      </c>
      <c r="AJ3" s="35">
        <f>+Table2[[#This Row],[BL DATE]]+7</f>
        <v>42378</v>
      </c>
      <c r="AK3" s="36">
        <v>1000</v>
      </c>
      <c r="AL3" s="36">
        <v>1000</v>
      </c>
      <c r="AM3" s="36">
        <v>1000</v>
      </c>
      <c r="AN3" s="36">
        <v>1000</v>
      </c>
      <c r="AO3" s="36">
        <v>1000</v>
      </c>
      <c r="AP3" s="36">
        <v>1000</v>
      </c>
      <c r="AQ3" s="37">
        <f>IFERROR(IF(Table2[[#This Row],[OT_NET_QTY_BBLS]]="N/A","N/A",(AO3-AM3)/AM3),"N/A")</f>
        <v>0</v>
      </c>
      <c r="AR3" s="29"/>
    </row>
    <row r="4" spans="1:44" x14ac:dyDescent="0.25">
      <c r="A4" s="29" t="s">
        <v>91</v>
      </c>
      <c r="B4" s="30"/>
      <c r="C4" s="28" t="s">
        <v>123</v>
      </c>
      <c r="D4" s="28" t="s">
        <v>171</v>
      </c>
      <c r="E4" s="28" t="s">
        <v>171</v>
      </c>
      <c r="F4" s="28" t="s">
        <v>171</v>
      </c>
      <c r="G4" s="28" t="s">
        <v>171</v>
      </c>
      <c r="H4" s="28" t="s">
        <v>171</v>
      </c>
      <c r="I4" s="28" t="s">
        <v>171</v>
      </c>
      <c r="J4" s="31">
        <v>0.05</v>
      </c>
      <c r="K4" s="28" t="s">
        <v>171</v>
      </c>
      <c r="L4" s="28" t="s">
        <v>171</v>
      </c>
      <c r="M4" s="28" t="s">
        <v>171</v>
      </c>
      <c r="N4" s="28" t="s">
        <v>171</v>
      </c>
      <c r="O4" s="28" t="s">
        <v>171</v>
      </c>
      <c r="P4" s="32"/>
      <c r="Q4" s="32"/>
      <c r="R4" s="28" t="s">
        <v>171</v>
      </c>
      <c r="S4" s="28">
        <v>0.5</v>
      </c>
      <c r="T4" s="28"/>
      <c r="U4" s="28" t="s">
        <v>171</v>
      </c>
      <c r="V4" s="28" t="s">
        <v>171</v>
      </c>
      <c r="W4" s="28" t="s">
        <v>171</v>
      </c>
      <c r="X4" s="28" t="s">
        <v>171</v>
      </c>
      <c r="Y4" s="28" t="s">
        <v>171</v>
      </c>
      <c r="Z4" s="28" t="s">
        <v>171</v>
      </c>
      <c r="AA4" s="28" t="s">
        <v>171</v>
      </c>
      <c r="AB4" s="28" t="str">
        <f>Table2[[#This Row],[DATES TERM]]</f>
        <v>XXXX</v>
      </c>
      <c r="AC4" s="1" t="str">
        <f t="shared" si="0"/>
        <v>XXXX</v>
      </c>
      <c r="AD4" s="1" t="s">
        <v>171</v>
      </c>
      <c r="AE4" s="33">
        <v>1</v>
      </c>
      <c r="AF4" s="34" t="str">
        <f>IF(Table2[[#This Row],[INSP DP]]="INTERTEK","N/A","")</f>
        <v/>
      </c>
      <c r="AG4" s="34"/>
      <c r="AH4" s="34"/>
      <c r="AI4" s="35">
        <v>42372</v>
      </c>
      <c r="AJ4" s="35">
        <f>+Table2[[#This Row],[BL DATE]]+7</f>
        <v>42379</v>
      </c>
      <c r="AK4" s="36">
        <v>1000</v>
      </c>
      <c r="AL4" s="36">
        <v>1000</v>
      </c>
      <c r="AM4" s="36">
        <v>1000</v>
      </c>
      <c r="AN4" s="36">
        <v>1000</v>
      </c>
      <c r="AO4" s="36">
        <v>1000</v>
      </c>
      <c r="AP4" s="36">
        <v>1000</v>
      </c>
      <c r="AQ4" s="37">
        <f>IFERROR(IF(Table2[[#This Row],[OT_NET_QTY_BBLS]]="N/A","N/A",(AO4-AM4)/AM4),"N/A")</f>
        <v>0</v>
      </c>
      <c r="AR4" s="29"/>
    </row>
    <row r="5" spans="1:44" ht="18.75" x14ac:dyDescent="0.25">
      <c r="A5" s="34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8"/>
      <c r="O5" s="39"/>
      <c r="P5" s="39"/>
      <c r="Q5" s="39"/>
      <c r="R5" s="34"/>
      <c r="S5" s="40"/>
      <c r="T5" s="34"/>
      <c r="U5" s="34"/>
      <c r="V5" s="34"/>
      <c r="W5" s="34"/>
      <c r="X5" s="34"/>
      <c r="Y5" s="34"/>
      <c r="Z5" s="34"/>
      <c r="AA5" s="34"/>
      <c r="AB5" s="38"/>
      <c r="AC5" s="39"/>
      <c r="AD5" s="41" t="s">
        <v>48</v>
      </c>
      <c r="AE5" s="41"/>
      <c r="AF5" s="41"/>
      <c r="AG5" s="41"/>
      <c r="AH5" s="41"/>
      <c r="AI5" s="41"/>
      <c r="AJ5" s="41"/>
      <c r="AK5" s="42"/>
      <c r="AL5" s="42"/>
      <c r="AM5" s="42">
        <f>SUM(Table2[BL_NET_QTY_BBLS])</f>
        <v>3000</v>
      </c>
      <c r="AN5" s="42"/>
      <c r="AO5" s="42">
        <f>SUM(Table2[OT_NET_QTY_BBLS])</f>
        <v>3000</v>
      </c>
      <c r="AP5" s="42"/>
      <c r="AQ5" s="34"/>
      <c r="AR5" s="34"/>
    </row>
  </sheetData>
  <sortState ref="C36:AE42">
    <sortCondition ref="O36:O42"/>
  </sortState>
  <dataValidations count="9">
    <dataValidation type="list" allowBlank="1" showInputMessage="1" showErrorMessage="1" sqref="S2:V2 R2:R3">
      <formula1>LP_INSP</formula1>
    </dataValidation>
    <dataValidation type="list" allowBlank="1" showInputMessage="1" showErrorMessage="1" sqref="AE2:AE4">
      <formula1>INSP_SHARING</formula1>
    </dataValidation>
    <dataValidation type="list" allowBlank="1" showInputMessage="1" showErrorMessage="1" sqref="S3:S4">
      <formula1>DP_SHARE</formula1>
    </dataValidation>
    <dataValidation type="list" allowBlank="1" showInputMessage="1" showErrorMessage="1" sqref="K2:O4 R4 U4:AA4 D2:I4 W2:AA3">
      <formula1>OIC</formula1>
    </dataValidation>
    <dataValidation type="list" allowBlank="1" showInputMessage="1" showErrorMessage="1" sqref="AG2:AG4 U3:V3">
      <formula1>AGENTS</formula1>
    </dataValidation>
    <dataValidation type="list" allowBlank="1" showInputMessage="1" showErrorMessage="1" sqref="J2:J4">
      <formula1>TOL</formula1>
    </dataValidation>
    <dataValidation type="list" allowBlank="1" showInputMessage="1" showErrorMessage="1" sqref="AR3:AR4 A2:A4">
      <formula1>MONTH_OF_PROGRAM</formula1>
    </dataValidation>
    <dataValidation type="list" allowBlank="1" showInputMessage="1" showErrorMessage="1" sqref="AB2:AB4">
      <formula1>DATE</formula1>
    </dataValidation>
    <dataValidation type="list" allowBlank="1" showInputMessage="1" showErrorMessage="1" sqref="AH2:AH4">
      <formula1>AGT_CATEGORY</formula1>
    </dataValidation>
  </dataValidations>
  <printOptions horizontalCentered="1" verticalCentered="1"/>
  <pageMargins left="0" right="0" top="0.74803149606299213" bottom="0.74803149606299213" header="0.31496062992125984" footer="0.31496062992125984"/>
  <pageSetup paperSize="9" scale="21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BE4"/>
  <sheetViews>
    <sheetView zoomScale="75" zoomScaleNormal="75" workbookViewId="0">
      <pane xSplit="9" ySplit="1" topLeftCell="BD2" activePane="bottomRight" state="frozen"/>
      <selection pane="topRight" activeCell="J1" sqref="J1"/>
      <selection pane="bottomLeft" activeCell="A4" sqref="A4"/>
      <selection pane="bottomRight" activeCell="B43" sqref="B43"/>
    </sheetView>
  </sheetViews>
  <sheetFormatPr baseColWidth="10" defaultColWidth="47.42578125" defaultRowHeight="15" x14ac:dyDescent="0.25"/>
  <cols>
    <col min="1" max="1" width="31.5703125" bestFit="1" customWidth="1"/>
    <col min="2" max="2" width="12" bestFit="1" customWidth="1"/>
    <col min="3" max="3" width="12.5703125" bestFit="1" customWidth="1"/>
    <col min="4" max="4" width="26.42578125" bestFit="1" customWidth="1"/>
    <col min="5" max="5" width="19" bestFit="1" customWidth="1"/>
    <col min="6" max="6" width="17.7109375" bestFit="1" customWidth="1"/>
    <col min="7" max="7" width="22" bestFit="1" customWidth="1"/>
    <col min="8" max="8" width="22.28515625" bestFit="1" customWidth="1"/>
    <col min="9" max="9" width="18.85546875" bestFit="1" customWidth="1"/>
    <col min="10" max="10" width="18.5703125" bestFit="1" customWidth="1"/>
    <col min="11" max="11" width="18.85546875" bestFit="1" customWidth="1"/>
    <col min="12" max="12" width="11.42578125" bestFit="1" customWidth="1"/>
    <col min="13" max="13" width="32.7109375" bestFit="1" customWidth="1"/>
    <col min="14" max="14" width="16.5703125" bestFit="1" customWidth="1"/>
    <col min="15" max="15" width="53.85546875" bestFit="1" customWidth="1"/>
    <col min="16" max="16" width="18.28515625" bestFit="1" customWidth="1"/>
    <col min="17" max="18" width="12.5703125" bestFit="1" customWidth="1"/>
    <col min="19" max="19" width="32" bestFit="1" customWidth="1"/>
    <col min="20" max="20" width="23.42578125" bestFit="1" customWidth="1"/>
    <col min="21" max="21" width="24.85546875" bestFit="1" customWidth="1"/>
    <col min="22" max="22" width="32.85546875" bestFit="1" customWidth="1"/>
    <col min="23" max="23" width="28" bestFit="1" customWidth="1"/>
    <col min="24" max="24" width="21.42578125" bestFit="1" customWidth="1"/>
    <col min="25" max="25" width="16.85546875" bestFit="1" customWidth="1"/>
    <col min="26" max="26" width="20" bestFit="1" customWidth="1"/>
    <col min="27" max="27" width="15.140625" bestFit="1" customWidth="1"/>
    <col min="28" max="28" width="11.42578125" bestFit="1" customWidth="1"/>
    <col min="29" max="29" width="32.7109375" bestFit="1" customWidth="1"/>
    <col min="30" max="30" width="16.5703125" bestFit="1" customWidth="1"/>
    <col min="31" max="31" width="69.85546875" bestFit="1" customWidth="1"/>
    <col min="32" max="32" width="18.28515625" bestFit="1" customWidth="1"/>
    <col min="33" max="34" width="12.5703125" bestFit="1" customWidth="1"/>
    <col min="35" max="35" width="31.42578125" bestFit="1" customWidth="1"/>
    <col min="36" max="36" width="52.28515625" bestFit="1" customWidth="1"/>
    <col min="37" max="37" width="31.42578125" bestFit="1" customWidth="1"/>
    <col min="38" max="38" width="36.140625" bestFit="1" customWidth="1"/>
    <col min="39" max="39" width="31.140625" bestFit="1" customWidth="1"/>
    <col min="40" max="40" width="21.42578125" bestFit="1" customWidth="1"/>
    <col min="41" max="41" width="23" bestFit="1" customWidth="1"/>
    <col min="42" max="42" width="17.85546875" bestFit="1" customWidth="1"/>
    <col min="43" max="44" width="25.140625" bestFit="1" customWidth="1"/>
    <col min="45" max="45" width="17.28515625" bestFit="1" customWidth="1"/>
    <col min="46" max="46" width="11.7109375" bestFit="1" customWidth="1"/>
    <col min="47" max="47" width="20.140625" bestFit="1" customWidth="1"/>
    <col min="48" max="48" width="19.140625" bestFit="1" customWidth="1"/>
    <col min="49" max="49" width="20.140625" bestFit="1" customWidth="1"/>
    <col min="50" max="50" width="15" bestFit="1" customWidth="1"/>
    <col min="51" max="51" width="25.28515625" bestFit="1" customWidth="1"/>
    <col min="52" max="52" width="12.28515625" bestFit="1" customWidth="1"/>
    <col min="53" max="53" width="27.42578125" bestFit="1" customWidth="1"/>
    <col min="54" max="54" width="38.42578125" bestFit="1" customWidth="1"/>
    <col min="55" max="55" width="66.5703125" bestFit="1" customWidth="1"/>
    <col min="56" max="56" width="48.7109375" bestFit="1" customWidth="1"/>
    <col min="57" max="57" width="34.85546875" bestFit="1" customWidth="1"/>
  </cols>
  <sheetData>
    <row r="1" spans="1:57" x14ac:dyDescent="0.25">
      <c r="A1" s="43" t="s">
        <v>7</v>
      </c>
      <c r="B1" s="43" t="s">
        <v>14</v>
      </c>
      <c r="C1" s="43" t="s">
        <v>4</v>
      </c>
      <c r="D1" s="43" t="s">
        <v>15</v>
      </c>
      <c r="E1" s="43" t="s">
        <v>0</v>
      </c>
      <c r="F1" s="44" t="s">
        <v>16</v>
      </c>
      <c r="G1" s="45" t="s">
        <v>17</v>
      </c>
      <c r="H1" s="45" t="s">
        <v>18</v>
      </c>
      <c r="I1" s="46" t="s">
        <v>19</v>
      </c>
      <c r="J1" s="43" t="s">
        <v>8</v>
      </c>
      <c r="K1" s="43" t="s">
        <v>47</v>
      </c>
      <c r="L1" s="47" t="s">
        <v>20</v>
      </c>
      <c r="M1" s="47" t="s">
        <v>64</v>
      </c>
      <c r="N1" s="48" t="s">
        <v>65</v>
      </c>
      <c r="O1" s="49" t="s">
        <v>1</v>
      </c>
      <c r="P1" s="44" t="s">
        <v>21</v>
      </c>
      <c r="Q1" s="50" t="s">
        <v>2</v>
      </c>
      <c r="R1" s="51" t="s">
        <v>22</v>
      </c>
      <c r="S1" s="51" t="s">
        <v>23</v>
      </c>
      <c r="T1" s="51" t="s">
        <v>24</v>
      </c>
      <c r="U1" s="51" t="s">
        <v>25</v>
      </c>
      <c r="V1" s="52" t="s">
        <v>40</v>
      </c>
      <c r="W1" s="53" t="s">
        <v>26</v>
      </c>
      <c r="X1" s="44" t="s">
        <v>27</v>
      </c>
      <c r="Y1" s="43" t="s">
        <v>28</v>
      </c>
      <c r="Z1" s="43" t="s">
        <v>9</v>
      </c>
      <c r="AA1" s="43" t="s">
        <v>47</v>
      </c>
      <c r="AB1" s="43" t="s">
        <v>20</v>
      </c>
      <c r="AC1" s="47" t="s">
        <v>64</v>
      </c>
      <c r="AD1" s="51" t="s">
        <v>65</v>
      </c>
      <c r="AE1" s="49" t="s">
        <v>1</v>
      </c>
      <c r="AF1" s="44" t="s">
        <v>21</v>
      </c>
      <c r="AG1" s="50" t="s">
        <v>2</v>
      </c>
      <c r="AH1" s="51" t="s">
        <v>29</v>
      </c>
      <c r="AI1" s="51" t="s">
        <v>30</v>
      </c>
      <c r="AJ1" s="51" t="s">
        <v>51</v>
      </c>
      <c r="AK1" s="51" t="s">
        <v>31</v>
      </c>
      <c r="AL1" s="54" t="s">
        <v>50</v>
      </c>
      <c r="AM1" s="53" t="s">
        <v>49</v>
      </c>
      <c r="AN1" s="44" t="s">
        <v>27</v>
      </c>
      <c r="AO1" s="43" t="s">
        <v>32</v>
      </c>
      <c r="AP1" s="43" t="s">
        <v>119</v>
      </c>
      <c r="AQ1" s="55" t="s">
        <v>33</v>
      </c>
      <c r="AR1" s="45" t="s">
        <v>34</v>
      </c>
      <c r="AS1" s="45" t="s">
        <v>13</v>
      </c>
      <c r="AT1" s="45" t="s">
        <v>35</v>
      </c>
      <c r="AU1" s="45" t="s">
        <v>36</v>
      </c>
      <c r="AV1" s="56" t="s">
        <v>37</v>
      </c>
      <c r="AW1" s="45" t="s">
        <v>36</v>
      </c>
      <c r="AX1" s="57" t="s">
        <v>37</v>
      </c>
      <c r="AY1" s="56" t="s">
        <v>39</v>
      </c>
      <c r="AZ1" s="58" t="s">
        <v>52</v>
      </c>
      <c r="BA1" s="45" t="s">
        <v>54</v>
      </c>
      <c r="BB1" s="45" t="s">
        <v>81</v>
      </c>
      <c r="BC1" s="45" t="s">
        <v>82</v>
      </c>
      <c r="BD1" s="45" t="s">
        <v>53</v>
      </c>
      <c r="BE1" s="56" t="s">
        <v>38</v>
      </c>
    </row>
    <row r="2" spans="1:57" x14ac:dyDescent="0.25">
      <c r="A2" s="2" t="str">
        <f>RECAP!A2</f>
        <v>01 - JAN</v>
      </c>
      <c r="B2" s="3" t="str">
        <f>RECAP!C2</f>
        <v>2016CT001</v>
      </c>
      <c r="C2" s="3" t="str">
        <f>RECAP!D2</f>
        <v>XXXX</v>
      </c>
      <c r="D2" s="3" t="str">
        <f>RECAP!E2</f>
        <v>XXXX</v>
      </c>
      <c r="E2" s="3" t="str">
        <f>RECAP!F2</f>
        <v>XXXX</v>
      </c>
      <c r="F2" s="59">
        <f>RECAP!AI2</f>
        <v>42370</v>
      </c>
      <c r="G2" s="60">
        <f>Table2[BL_NET_QTY_BBLS]</f>
        <v>1000</v>
      </c>
      <c r="H2" s="60">
        <f>+RECAP!AO2</f>
        <v>1000</v>
      </c>
      <c r="I2" s="61">
        <f t="shared" ref="I2:I4" si="0">IFERROR(IF(H2&lt;&gt;"N/A",(H2-G2)/G2,"N/A"),"N/A")</f>
        <v>0</v>
      </c>
      <c r="J2" s="3" t="str">
        <f>+RECAP!L2</f>
        <v>XXXX</v>
      </c>
      <c r="K2" s="3" t="str">
        <f>+RECAP!M2</f>
        <v>XXXX</v>
      </c>
      <c r="L2" s="62" t="str">
        <f>+'PRICING FINAL'!L2</f>
        <v>N/A</v>
      </c>
      <c r="M2" s="62"/>
      <c r="N2" s="63">
        <f t="shared" ref="N2:N4" si="1">IF(M2="EXXON 0.5",((IF(H2="",ROUND(G2,0),ROUND(IF(AND((IF(H2="","",(G2*(0.5%)+H2)))&gt;G2,H2&lt;G2),G2,IF((IF(H2="","",(G2*(0.5%)+H2)))&lt;G2,(IF(H2="","",(G2*(0.5%)+H2))),IF(H2&gt;G2,H2,G2))),0)))),IF(M2="NET BL",ROUND(G2,0),ROUND(H2,0)))</f>
        <v>1000</v>
      </c>
      <c r="O2" s="64"/>
      <c r="P2" s="4">
        <f>+'PRICING FINAL'!P2</f>
        <v>0</v>
      </c>
      <c r="Q2" s="65"/>
      <c r="R2" s="66">
        <v>0</v>
      </c>
      <c r="S2" s="66">
        <f>+'PRICING FINAL'!S2</f>
        <v>3.4</v>
      </c>
      <c r="T2" s="66">
        <f t="shared" ref="T2:T4" si="2">+IF(ISNUMBER(SEARCH("DESC",O2)),"",0)</f>
        <v>0</v>
      </c>
      <c r="U2" s="66">
        <f t="shared" ref="U2:U3" si="3">IF(ISNUMBER(SEARCH("DIFFERENTIAL",O2)),N2*-0.06,IF(BE2&lt;&gt;"N/A",BE2,0))</f>
        <v>0</v>
      </c>
      <c r="V2" s="9">
        <f t="shared" ref="V2:V4" si="4">IFERROR(IF(ISNUMBER(SEARCH("NOC",J2)),(ROUND(SUM(Q2:T2),2)),IF(U2=0,ROUND(SUM(Q2:U2),3),ROUND(SUM(Q2:T2),3))),"N/A")</f>
        <v>3.4</v>
      </c>
      <c r="W2" s="67">
        <f t="shared" ref="W2:W4" si="5">IFERROR(IF(U2&lt;&gt;0,ROUND(V2*N2,2)+U2,ROUND(V2*N2,2)),"N/A")</f>
        <v>3400</v>
      </c>
      <c r="X2" s="4">
        <f t="shared" ref="X2:X4" si="6">IF(P2="30 days after B/L",F2+30,F2+29)</f>
        <v>42399</v>
      </c>
      <c r="Y2" s="3" t="s">
        <v>122</v>
      </c>
      <c r="Z2" s="3" t="str">
        <f>+RECAP!W2</f>
        <v>XXXX</v>
      </c>
      <c r="AA2" s="3" t="str">
        <f>+RECAP!X2</f>
        <v>XXXX</v>
      </c>
      <c r="AB2" s="3" t="str">
        <f>+'PRICING FINAL'!AD2</f>
        <v>N/A</v>
      </c>
      <c r="AC2" s="62">
        <f>+'PRICING FINAL'!AE2</f>
        <v>0</v>
      </c>
      <c r="AD2" s="68">
        <f t="shared" ref="AD2:AD4" si="7">IF(AC2="EXXON 0.5",((IF(H2="",ROUND(G2,0),ROUND(IF(AND((IF(H2="","",(G2*(0.5%)+H2)))&gt;G2,H2&lt;G2),G2,IF((IF(H2="","",(G2*(0.5%)+H2)))&lt;G2,(IF(H2="","",(G2*(0.5%)+H2))),IF(H2&gt;G2,H2,G2))),0)))),IF(AC2="NET BL",ROUND(G2,0),ROUND(H2,0)))</f>
        <v>1000</v>
      </c>
      <c r="AE2" s="64"/>
      <c r="AF2" s="2">
        <f>+'PRICING FINAL'!AH2</f>
        <v>0</v>
      </c>
      <c r="AG2" s="65"/>
      <c r="AH2" s="68">
        <v>0</v>
      </c>
      <c r="AI2" s="68">
        <f>+'PRICING FINAL'!AK2</f>
        <v>3.6</v>
      </c>
      <c r="AJ2" s="68">
        <f>IFERROR(IF(ISNUMBER(SEARCH("SERV",AE2)),(0.15),0)+(IF(ISNUMBER(SEARCH("OT",AE2)),0.05,0)),"N/A")</f>
        <v>0</v>
      </c>
      <c r="AK2" s="65">
        <f t="shared" ref="AK2:AK4" si="8">IFERROR(IF(AND((OR(Z2="TAMSA",Z2="HEMCL")),ISNUMBER(SEARCH("FRT",AE2))),ROUND(BE2/AD2,4),IF(AND((OR(Z2&lt;&gt;"TAMSA",Z2&lt;&gt;"HEMCL")),ISNUMBER(SEARCH("FRT",AE2))),ROUND(BE2,2),0)),"N/A")</f>
        <v>0</v>
      </c>
      <c r="AL2" s="69">
        <f t="shared" ref="AL2:AL3" si="9">IFERROR(IF(AK2&lt;3,ROUND(SUM(AG2:AK2),3),ROUND((SUM(AG2:AJ2)),3)),"N/A")</f>
        <v>3.6</v>
      </c>
      <c r="AM2" s="70">
        <f t="shared" ref="AM2:AM3" si="10">IFERROR(IF(AK2&lt;3,ROUND(AL2*AD2,2),ROUND(ROUND(AL2*AD2,2)+AK2,2)),"N/A")</f>
        <v>3600</v>
      </c>
      <c r="AN2" s="4">
        <f t="shared" ref="AN2:AN4" si="11">IF(AF2="30 days after B/L",F2+30,F2+29)</f>
        <v>42399</v>
      </c>
      <c r="AO2" s="3" t="s">
        <v>46</v>
      </c>
      <c r="AP2" s="3" t="s">
        <v>121</v>
      </c>
      <c r="AQ2" s="71">
        <f t="shared" ref="AQ2:AQ4" si="12">IFERROR(IF(AND(U2=0,AK2&lt;&gt;"",BE2&lt;&gt;"N/A"),(AM2-W2-BE2),AM2-W2),"N/A")</f>
        <v>200</v>
      </c>
      <c r="AR2" s="72"/>
      <c r="AS2" s="72"/>
      <c r="AT2" s="72"/>
      <c r="AU2" s="73"/>
      <c r="AV2" s="74"/>
      <c r="AW2" s="73"/>
      <c r="AX2" s="75"/>
      <c r="AY2" s="74"/>
      <c r="AZ2" s="76"/>
      <c r="BA2" s="77"/>
      <c r="BB2" s="77"/>
      <c r="BC2" s="77"/>
      <c r="BD2" s="74"/>
      <c r="BE2" s="74"/>
    </row>
    <row r="3" spans="1:57" x14ac:dyDescent="0.25">
      <c r="A3" s="2" t="str">
        <f>RECAP!A3</f>
        <v>02 - FEB</v>
      </c>
      <c r="B3" s="3" t="str">
        <f>RECAP!C3</f>
        <v>2016CT002</v>
      </c>
      <c r="C3" s="3" t="str">
        <f>RECAP!D3</f>
        <v>XXXX</v>
      </c>
      <c r="D3" s="3" t="str">
        <f>RECAP!E3</f>
        <v>XXXX</v>
      </c>
      <c r="E3" s="3" t="str">
        <f>RECAP!F3</f>
        <v>XXXX</v>
      </c>
      <c r="F3" s="59">
        <f>RECAP!AI3</f>
        <v>42371</v>
      </c>
      <c r="G3" s="60">
        <f>Table2[BL_NET_QTY_BBLS]</f>
        <v>1000</v>
      </c>
      <c r="H3" s="60">
        <f>+RECAP!AO3</f>
        <v>1000</v>
      </c>
      <c r="I3" s="61">
        <f t="shared" si="0"/>
        <v>0</v>
      </c>
      <c r="J3" s="3" t="str">
        <f>+RECAP!L3</f>
        <v>XXXX</v>
      </c>
      <c r="K3" s="3" t="str">
        <f>+RECAP!M3</f>
        <v>XXXX</v>
      </c>
      <c r="L3" s="62" t="str">
        <f>+'PRICING FINAL'!L3</f>
        <v>N/A</v>
      </c>
      <c r="M3" s="62"/>
      <c r="N3" s="63">
        <f t="shared" si="1"/>
        <v>1000</v>
      </c>
      <c r="O3" s="64"/>
      <c r="P3" s="4">
        <f>+'PRICING FINAL'!P3</f>
        <v>0</v>
      </c>
      <c r="Q3" s="65"/>
      <c r="R3" s="66">
        <v>0</v>
      </c>
      <c r="S3" s="66">
        <f>+'PRICING FINAL'!S3</f>
        <v>0.99</v>
      </c>
      <c r="T3" s="66">
        <f t="shared" si="2"/>
        <v>0</v>
      </c>
      <c r="U3" s="66">
        <f t="shared" si="3"/>
        <v>0</v>
      </c>
      <c r="V3" s="9">
        <f t="shared" si="4"/>
        <v>0.99</v>
      </c>
      <c r="W3" s="67">
        <f t="shared" si="5"/>
        <v>990</v>
      </c>
      <c r="X3" s="4">
        <f t="shared" si="6"/>
        <v>42400</v>
      </c>
      <c r="Y3" s="3" t="s">
        <v>118</v>
      </c>
      <c r="Z3" s="3" t="str">
        <f>+RECAP!W3</f>
        <v>XXXX</v>
      </c>
      <c r="AA3" s="3" t="str">
        <f>+RECAP!X3</f>
        <v>XXXX</v>
      </c>
      <c r="AB3" s="3" t="str">
        <f>+'PRICING FINAL'!AD3</f>
        <v>N/A</v>
      </c>
      <c r="AC3" s="62">
        <f>+'PRICING FINAL'!AE3</f>
        <v>0</v>
      </c>
      <c r="AD3" s="68">
        <f t="shared" si="7"/>
        <v>1000</v>
      </c>
      <c r="AE3" s="64"/>
      <c r="AF3" s="2">
        <f>+'PRICING FINAL'!AH3</f>
        <v>0</v>
      </c>
      <c r="AG3" s="65"/>
      <c r="AH3" s="68">
        <v>0</v>
      </c>
      <c r="AI3" s="68">
        <f>+'PRICING FINAL'!AK3</f>
        <v>1.55</v>
      </c>
      <c r="AJ3" s="68">
        <f t="shared" ref="AJ3:AJ4" si="13">IFERROR(IF(ISNUMBER(SEARCH("SERV",AE3)),(0.15),0)+(IF(ISNUMBER(SEARCH("OT",AE3)),0.05,0)),"N/A")</f>
        <v>0</v>
      </c>
      <c r="AK3" s="65">
        <f t="shared" si="8"/>
        <v>0</v>
      </c>
      <c r="AL3" s="69">
        <f t="shared" si="9"/>
        <v>1.55</v>
      </c>
      <c r="AM3" s="70">
        <f t="shared" si="10"/>
        <v>1550</v>
      </c>
      <c r="AN3" s="4">
        <f t="shared" si="11"/>
        <v>42400</v>
      </c>
      <c r="AO3" s="3" t="s">
        <v>46</v>
      </c>
      <c r="AP3" s="3" t="s">
        <v>120</v>
      </c>
      <c r="AQ3" s="71">
        <f t="shared" si="12"/>
        <v>560</v>
      </c>
      <c r="AR3" s="72"/>
      <c r="AS3" s="72"/>
      <c r="AT3" s="72"/>
      <c r="AU3" s="73"/>
      <c r="AV3" s="74"/>
      <c r="AW3" s="73"/>
      <c r="AX3" s="75"/>
      <c r="AY3" s="74"/>
      <c r="AZ3" s="76"/>
      <c r="BA3" s="77"/>
      <c r="BB3" s="77"/>
      <c r="BC3" s="77"/>
      <c r="BD3" s="74"/>
      <c r="BE3" s="74"/>
    </row>
    <row r="4" spans="1:57" x14ac:dyDescent="0.25">
      <c r="A4" s="2" t="str">
        <f>RECAP!A4</f>
        <v>01 - JAN</v>
      </c>
      <c r="B4" s="3" t="str">
        <f>RECAP!C4</f>
        <v>2016CT003</v>
      </c>
      <c r="C4" s="3" t="str">
        <f>RECAP!D4</f>
        <v>XXXX</v>
      </c>
      <c r="D4" s="3" t="str">
        <f>RECAP!E4</f>
        <v>XXXX</v>
      </c>
      <c r="E4" s="3" t="str">
        <f>RECAP!F4</f>
        <v>XXXX</v>
      </c>
      <c r="F4" s="59">
        <f>RECAP!AI4</f>
        <v>42372</v>
      </c>
      <c r="G4" s="60">
        <f>Table2[BL_NET_QTY_BBLS]</f>
        <v>1000</v>
      </c>
      <c r="H4" s="60">
        <f>+RECAP!AO4</f>
        <v>1000</v>
      </c>
      <c r="I4" s="61">
        <f t="shared" si="0"/>
        <v>0</v>
      </c>
      <c r="J4" s="3" t="str">
        <f>+RECAP!L4</f>
        <v>XXXX</v>
      </c>
      <c r="K4" s="3" t="str">
        <f>+RECAP!M4</f>
        <v>XXXX</v>
      </c>
      <c r="L4" s="62" t="str">
        <f>+'PRICING FINAL'!L4</f>
        <v>N/A</v>
      </c>
      <c r="M4" s="62"/>
      <c r="N4" s="63">
        <f t="shared" si="1"/>
        <v>1000</v>
      </c>
      <c r="O4" s="2"/>
      <c r="P4" s="4">
        <f>+'PRICING FINAL'!P4</f>
        <v>0</v>
      </c>
      <c r="Q4" s="65"/>
      <c r="R4" s="66">
        <v>0</v>
      </c>
      <c r="S4" s="66">
        <f>+'PRICING FINAL'!S4</f>
        <v>-1.1499999999999999</v>
      </c>
      <c r="T4" s="66">
        <f t="shared" si="2"/>
        <v>0</v>
      </c>
      <c r="U4" s="66">
        <v>742555</v>
      </c>
      <c r="V4" s="9">
        <f t="shared" si="4"/>
        <v>-1.1499999999999999</v>
      </c>
      <c r="W4" s="67">
        <f t="shared" si="5"/>
        <v>741405</v>
      </c>
      <c r="X4" s="4">
        <f t="shared" si="6"/>
        <v>42401</v>
      </c>
      <c r="Y4" s="3" t="s">
        <v>46</v>
      </c>
      <c r="Z4" s="3" t="str">
        <f>+RECAP!W4</f>
        <v>XXXX</v>
      </c>
      <c r="AA4" s="3" t="str">
        <f>+RECAP!X4</f>
        <v>XXXX</v>
      </c>
      <c r="AB4" s="3" t="str">
        <f>+'PRICING FINAL'!AD4</f>
        <v>N/A</v>
      </c>
      <c r="AC4" s="62">
        <f>+'PRICING FINAL'!AE4</f>
        <v>0</v>
      </c>
      <c r="AD4" s="68">
        <f t="shared" si="7"/>
        <v>1000</v>
      </c>
      <c r="AE4" s="64"/>
      <c r="AF4" s="2">
        <f>+'PRICING FINAL'!AH4</f>
        <v>0</v>
      </c>
      <c r="AG4" s="65"/>
      <c r="AH4" s="68">
        <v>0</v>
      </c>
      <c r="AI4" s="68">
        <f>+'PRICING FINAL'!AK4</f>
        <v>-0.85</v>
      </c>
      <c r="AJ4" s="68">
        <f t="shared" si="13"/>
        <v>0</v>
      </c>
      <c r="AK4" s="65">
        <f t="shared" si="8"/>
        <v>0</v>
      </c>
      <c r="AL4" s="69">
        <f>ROUND(SUM(AG4:AK4),3)</f>
        <v>-0.85</v>
      </c>
      <c r="AM4" s="70">
        <f>IFERROR(IF(AK4&lt;3,ROUND(AL4*AD4,2),ROUND(ROUND(AL4*AD4,2)+AK4,2)),"N/A")</f>
        <v>-850</v>
      </c>
      <c r="AN4" s="4">
        <f t="shared" si="11"/>
        <v>42401</v>
      </c>
      <c r="AO4" s="3" t="s">
        <v>46</v>
      </c>
      <c r="AP4" s="3" t="s">
        <v>46</v>
      </c>
      <c r="AQ4" s="71">
        <f t="shared" si="12"/>
        <v>-742255</v>
      </c>
      <c r="AR4" s="72"/>
      <c r="AS4" s="72"/>
      <c r="AT4" s="72"/>
      <c r="AU4" s="73"/>
      <c r="AV4" s="74"/>
      <c r="AW4" s="73"/>
      <c r="AX4" s="75"/>
      <c r="AY4" s="74"/>
      <c r="AZ4" s="76"/>
      <c r="BA4" s="77"/>
      <c r="BB4" s="77"/>
      <c r="BC4" s="77"/>
      <c r="BD4" s="74"/>
      <c r="BE4" s="74"/>
    </row>
  </sheetData>
  <autoFilter ref="A1:BE4"/>
  <dataValidations count="8">
    <dataValidation type="list" allowBlank="1" showInputMessage="1" showErrorMessage="1" sqref="L2:L4 AB2:AB4">
      <formula1>LC</formula1>
    </dataValidation>
    <dataValidation type="list" allowBlank="1" showInputMessage="1" showErrorMessage="1" sqref="O2:O4">
      <formula1>PRICING_IN</formula1>
    </dataValidation>
    <dataValidation type="list" allowBlank="1" showInputMessage="1" showErrorMessage="1" sqref="J2:K4">
      <formula1>suppliers</formula1>
    </dataValidation>
    <dataValidation type="list" allowBlank="1" showInputMessage="1" showErrorMessage="1" sqref="AC2:AC4">
      <formula1>INVQTYOUT</formula1>
    </dataValidation>
    <dataValidation type="list" allowBlank="1" showInputMessage="1" showErrorMessage="1" sqref="AE2:AF4">
      <formula1>PRICEOUT</formula1>
    </dataValidation>
    <dataValidation type="list" allowBlank="1" showInputMessage="1" showErrorMessage="1" sqref="Z2:AA4">
      <formula1>RCVRS</formula1>
    </dataValidation>
    <dataValidation type="list" allowBlank="1" showInputMessage="1" showErrorMessage="1" sqref="P2:P4">
      <formula1>PMTIN</formula1>
    </dataValidation>
    <dataValidation type="list" allowBlank="1" showInputMessage="1" showErrorMessage="1" sqref="M2:M4">
      <formula1>INVOICING_QTY_NET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pageSetUpPr fitToPage="1"/>
  </sheetPr>
  <dimension ref="A1:BI4"/>
  <sheetViews>
    <sheetView zoomScale="78" zoomScaleNormal="78" workbookViewId="0">
      <pane xSplit="9" ySplit="1" topLeftCell="P2" activePane="bottomRight" state="frozen"/>
      <selection pane="topRight" activeCell="J1" sqref="J1"/>
      <selection pane="bottomLeft" activeCell="A4" sqref="A4"/>
      <selection pane="bottomRight" activeCell="A5" sqref="A5:XFD5"/>
    </sheetView>
  </sheetViews>
  <sheetFormatPr baseColWidth="10" defaultColWidth="14.42578125" defaultRowHeight="15" x14ac:dyDescent="0.25"/>
  <cols>
    <col min="1" max="1" width="30.42578125" bestFit="1" customWidth="1"/>
    <col min="2" max="2" width="13.42578125" bestFit="1" customWidth="1"/>
    <col min="3" max="3" width="11.7109375" customWidth="1"/>
    <col min="4" max="4" width="26.42578125" bestFit="1" customWidth="1"/>
    <col min="5" max="5" width="19" bestFit="1" customWidth="1"/>
    <col min="6" max="6" width="17.42578125" bestFit="1" customWidth="1"/>
    <col min="7" max="7" width="22.28515625" bestFit="1" customWidth="1"/>
    <col min="8" max="8" width="22.85546875" bestFit="1" customWidth="1"/>
    <col min="9" max="9" width="18.85546875" bestFit="1" customWidth="1"/>
    <col min="10" max="10" width="18" customWidth="1"/>
    <col min="11" max="11" width="15.42578125" customWidth="1"/>
    <col min="12" max="12" width="11" customWidth="1"/>
    <col min="13" max="14" width="31.140625" customWidth="1"/>
    <col min="15" max="15" width="33.42578125" bestFit="1" customWidth="1"/>
    <col min="16" max="16" width="19" customWidth="1"/>
    <col min="17" max="17" width="15.7109375" customWidth="1"/>
    <col min="18" max="18" width="12" bestFit="1" customWidth="1"/>
    <col min="19" max="19" width="11.85546875" customWidth="1"/>
    <col min="20" max="20" width="24.140625" customWidth="1"/>
    <col min="21" max="21" width="25.140625" customWidth="1"/>
    <col min="22" max="22" width="33.42578125" customWidth="1"/>
    <col min="23" max="25" width="28.28515625" customWidth="1"/>
    <col min="26" max="26" width="21.42578125" customWidth="1"/>
    <col min="27" max="27" width="26" customWidth="1"/>
    <col min="28" max="28" width="20" customWidth="1"/>
    <col min="29" max="29" width="15.42578125" customWidth="1"/>
    <col min="30" max="30" width="11" customWidth="1"/>
    <col min="31" max="32" width="25.7109375" customWidth="1"/>
    <col min="33" max="33" width="42.85546875" customWidth="1"/>
    <col min="34" max="34" width="18.42578125" bestFit="1" customWidth="1"/>
    <col min="35" max="36" width="12.140625" bestFit="1" customWidth="1"/>
    <col min="37" max="37" width="28.85546875" bestFit="1" customWidth="1"/>
    <col min="38" max="38" width="36.140625" bestFit="1" customWidth="1"/>
    <col min="39" max="39" width="32" bestFit="1" customWidth="1"/>
    <col min="40" max="40" width="30.85546875" bestFit="1" customWidth="1"/>
    <col min="41" max="41" width="32" bestFit="1" customWidth="1"/>
    <col min="42" max="43" width="32" customWidth="1"/>
    <col min="44" max="44" width="21.42578125" bestFit="1" customWidth="1"/>
    <col min="45" max="45" width="28.140625" bestFit="1" customWidth="1"/>
    <col min="46" max="46" width="28.140625" customWidth="1"/>
    <col min="47" max="47" width="25.28515625" bestFit="1" customWidth="1"/>
    <col min="48" max="48" width="25.42578125" bestFit="1" customWidth="1"/>
    <col min="49" max="49" width="18" bestFit="1" customWidth="1"/>
    <col min="50" max="50" width="11.5703125" bestFit="1" customWidth="1"/>
    <col min="51" max="51" width="20.140625" bestFit="1" customWidth="1"/>
    <col min="52" max="52" width="21.140625" bestFit="1" customWidth="1"/>
    <col min="53" max="53" width="20.140625" bestFit="1" customWidth="1"/>
    <col min="54" max="54" width="18.85546875" bestFit="1" customWidth="1"/>
    <col min="55" max="55" width="26.85546875" bestFit="1" customWidth="1"/>
    <col min="56" max="60" width="20.85546875" customWidth="1"/>
    <col min="61" max="61" width="36.7109375" bestFit="1" customWidth="1"/>
    <col min="62" max="62" width="16.140625" bestFit="1" customWidth="1"/>
  </cols>
  <sheetData>
    <row r="1" spans="1:61" ht="38.25" x14ac:dyDescent="0.25">
      <c r="A1" s="78" t="s">
        <v>7</v>
      </c>
      <c r="B1" s="43" t="s">
        <v>14</v>
      </c>
      <c r="C1" s="43" t="s">
        <v>4</v>
      </c>
      <c r="D1" s="43" t="s">
        <v>15</v>
      </c>
      <c r="E1" s="43" t="s">
        <v>0</v>
      </c>
      <c r="F1" s="44" t="s">
        <v>16</v>
      </c>
      <c r="G1" s="58" t="s">
        <v>17</v>
      </c>
      <c r="H1" s="58" t="s">
        <v>18</v>
      </c>
      <c r="I1" s="46" t="s">
        <v>19</v>
      </c>
      <c r="J1" s="43" t="s">
        <v>8</v>
      </c>
      <c r="K1" s="43" t="s">
        <v>47</v>
      </c>
      <c r="L1" s="47" t="s">
        <v>20</v>
      </c>
      <c r="M1" s="47" t="s">
        <v>84</v>
      </c>
      <c r="N1" s="47" t="s">
        <v>88</v>
      </c>
      <c r="O1" s="49" t="s">
        <v>93</v>
      </c>
      <c r="P1" s="44" t="s">
        <v>85</v>
      </c>
      <c r="Q1" s="50" t="s">
        <v>2</v>
      </c>
      <c r="R1" s="51" t="s">
        <v>29</v>
      </c>
      <c r="S1" s="51" t="s">
        <v>165</v>
      </c>
      <c r="T1" s="51" t="s">
        <v>24</v>
      </c>
      <c r="U1" s="51" t="s">
        <v>25</v>
      </c>
      <c r="V1" s="54" t="s">
        <v>55</v>
      </c>
      <c r="W1" s="53" t="s">
        <v>56</v>
      </c>
      <c r="X1" s="53" t="s">
        <v>89</v>
      </c>
      <c r="Y1" s="53" t="s">
        <v>57</v>
      </c>
      <c r="Z1" s="44" t="s">
        <v>58</v>
      </c>
      <c r="AA1" s="43" t="s">
        <v>28</v>
      </c>
      <c r="AB1" s="43" t="s">
        <v>9</v>
      </c>
      <c r="AC1" s="43" t="s">
        <v>47</v>
      </c>
      <c r="AD1" s="43" t="s">
        <v>20</v>
      </c>
      <c r="AE1" s="47" t="s">
        <v>84</v>
      </c>
      <c r="AF1" s="47" t="s">
        <v>90</v>
      </c>
      <c r="AG1" s="49" t="s">
        <v>1</v>
      </c>
      <c r="AH1" s="44" t="s">
        <v>167</v>
      </c>
      <c r="AI1" s="50" t="s">
        <v>2</v>
      </c>
      <c r="AJ1" s="51">
        <v>0</v>
      </c>
      <c r="AK1" s="51" t="s">
        <v>165</v>
      </c>
      <c r="AL1" s="51" t="s">
        <v>51</v>
      </c>
      <c r="AM1" s="51" t="s">
        <v>31</v>
      </c>
      <c r="AN1" s="54" t="s">
        <v>59</v>
      </c>
      <c r="AO1" s="53" t="s">
        <v>60</v>
      </c>
      <c r="AP1" s="53" t="s">
        <v>61</v>
      </c>
      <c r="AQ1" s="53" t="s">
        <v>62</v>
      </c>
      <c r="AR1" s="44" t="s">
        <v>58</v>
      </c>
      <c r="AS1" s="43" t="s">
        <v>32</v>
      </c>
      <c r="AT1" s="52" t="s">
        <v>83</v>
      </c>
      <c r="AU1" s="55" t="s">
        <v>63</v>
      </c>
      <c r="AV1" s="45" t="s">
        <v>34</v>
      </c>
      <c r="AW1" s="45" t="s">
        <v>127</v>
      </c>
      <c r="AX1" s="45" t="s">
        <v>35</v>
      </c>
      <c r="AY1" s="58" t="s">
        <v>36</v>
      </c>
      <c r="AZ1" s="45" t="s">
        <v>37</v>
      </c>
      <c r="BA1" s="45" t="s">
        <v>36</v>
      </c>
      <c r="BB1" s="45" t="s">
        <v>37</v>
      </c>
      <c r="BC1" s="45" t="s">
        <v>39</v>
      </c>
      <c r="BD1" s="58" t="s">
        <v>52</v>
      </c>
      <c r="BE1" s="45" t="s">
        <v>66</v>
      </c>
      <c r="BF1" s="45" t="s">
        <v>81</v>
      </c>
      <c r="BG1" s="45" t="s">
        <v>82</v>
      </c>
      <c r="BH1" s="45" t="s">
        <v>53</v>
      </c>
      <c r="BI1" s="45" t="s">
        <v>38</v>
      </c>
    </row>
    <row r="2" spans="1:61" ht="12" customHeight="1" x14ac:dyDescent="0.25">
      <c r="A2" s="64" t="str">
        <f>RECAP!A2</f>
        <v>01 - JAN</v>
      </c>
      <c r="B2" s="3" t="str">
        <f>RECAP!C2</f>
        <v>2016CT001</v>
      </c>
      <c r="C2" s="3" t="str">
        <f>RECAP!D2</f>
        <v>XXXX</v>
      </c>
      <c r="D2" s="3" t="str">
        <f>RECAP!E2</f>
        <v>XXXX</v>
      </c>
      <c r="E2" s="3" t="str">
        <f>RECAP!F2</f>
        <v>XXXX</v>
      </c>
      <c r="F2" s="59">
        <f>RECAP!AI2</f>
        <v>42370</v>
      </c>
      <c r="G2" s="5">
        <f>Table2[BL_NET_QTY_BBLS]</f>
        <v>1000</v>
      </c>
      <c r="H2" s="5">
        <f>Table2[OT_NET_QTY_BBLS]</f>
        <v>1000</v>
      </c>
      <c r="I2" s="6">
        <f>IF(H2&lt;&gt;"N/A",(H2-G2)/G2,"N/A")</f>
        <v>0</v>
      </c>
      <c r="J2" s="3" t="str">
        <f>+RECAP!L2</f>
        <v>XXXX</v>
      </c>
      <c r="K2" s="3" t="str">
        <f>+RECAP!M2</f>
        <v>XXXX</v>
      </c>
      <c r="L2" s="62" t="s">
        <v>46</v>
      </c>
      <c r="M2" s="62" t="s">
        <v>84</v>
      </c>
      <c r="N2" s="68">
        <f t="shared" ref="N2:N4" si="0">IF(M2="EXXON 0.5",((IF(H2="",ROUND(G2,0),ROUND(IF(AND((IF(H2="","",(G2*(0.5%)+H2)))&gt;G2,H2&lt;G2),G2,IF((IF(H2="","",(G2*(0.5%)+H2)))&lt;G2,(IF(H2="","",(G2*(0.5%)+H2))),IF(H2&gt;G2,H2,G2))),0)))),IF(M2="NET BL",ROUND(G2,0),ROUND(H2,0)))</f>
        <v>1000</v>
      </c>
      <c r="O2" s="64"/>
      <c r="P2" s="64"/>
      <c r="Q2" s="65" t="s">
        <v>172</v>
      </c>
      <c r="R2" s="66">
        <v>0</v>
      </c>
      <c r="S2" s="66">
        <v>3.4</v>
      </c>
      <c r="T2" s="66">
        <v>0</v>
      </c>
      <c r="U2" s="66">
        <f t="shared" ref="U2:U4" si="1">IF(ISNUMBER(SEARCH("DIFFERENTIAL",O2)),N2*-0.06,IF(BI2&lt;&gt;"N/A",BI2,0))</f>
        <v>0</v>
      </c>
      <c r="V2" s="79">
        <f>+IF(ISNUMBER(SEARCH("NOC",J2)),(IF(ISNUMBER(SEARCH("FRT",O2)),(ROUND(SUM(Q2:T2),2)),(ROUND(SUM(Q2:U2),2)))),(IF(ISNUMBER(SEARCH("FRT",O2)),(ROUND(SUM(Q2:T2),3)),(ROUND(SUM(Q2:U2),3)))))</f>
        <v>3.4</v>
      </c>
      <c r="W2" s="67">
        <f t="shared" ref="W2:W4" si="2">IFERROR(IF(U2&lt;&gt;0,ROUND(V2*N2,2)+U2,ROUND(V2*N2,2)),"N/A")</f>
        <v>3400</v>
      </c>
      <c r="X2" s="67">
        <f>IF('PRICING PROVISIONAL'!W2="",0,'PRICING PROVISIONAL'!W2)</f>
        <v>3400</v>
      </c>
      <c r="Y2" s="67">
        <f t="shared" ref="Y2:Y4" si="3">IF(X2=0,"N/A",W2-X2)</f>
        <v>0</v>
      </c>
      <c r="Z2" s="4">
        <v>42404</v>
      </c>
      <c r="AA2" s="3" t="s">
        <v>128</v>
      </c>
      <c r="AB2" s="3" t="str">
        <f>+RECAP!W2</f>
        <v>XXXX</v>
      </c>
      <c r="AC2" s="3" t="str">
        <f>+RECAP!X2</f>
        <v>XXXX</v>
      </c>
      <c r="AD2" s="3" t="s">
        <v>46</v>
      </c>
      <c r="AE2" s="62"/>
      <c r="AF2" s="63">
        <f>IF(AE2="EXXON 0.5",((IF(H2="",ROUND(G2,0),ROUND(IF(AND((IF(H2="","",(G2*(0.5%)+H2)))&gt;G2,H2&lt;G2),G2,IF((IF(H2="","",(G2*(0.5%)+H2)))&lt;G2,(IF(H2="","",(G2*(0.5%)+H2))),IF(H2&gt;G2,H2,G2))),0)))),IF(AE2="NET BL",ROUND(G2,0),ROUND(H2,0)))</f>
        <v>1000</v>
      </c>
      <c r="AG2" s="2"/>
      <c r="AH2" s="4"/>
      <c r="AI2" s="65" t="s">
        <v>172</v>
      </c>
      <c r="AJ2" s="68">
        <v>0</v>
      </c>
      <c r="AK2" s="68">
        <v>3.6</v>
      </c>
      <c r="AL2" s="68">
        <f t="shared" ref="AL2:AL4" si="4">IFERROR(IF(ISNUMBER(SEARCH("SERV",AG2)),(0.15),0)+(IF(ISNUMBER(SEARCH("OT",AG2)),0.05,0)),"N/A")</f>
        <v>0</v>
      </c>
      <c r="AM2" s="65">
        <f t="shared" ref="AM2:AM4" si="5">IFERROR(IF(AND((OR(AB2="TAMSA",AB2="HEMCL")),ISNUMBER(SEARCH("FRT",AG2))),ROUND(BI2/AF2,4),IF(AND((OR(AB2&lt;&gt;"TAMSA",AB2&lt;&gt;"HEMCL")),ISNUMBER(SEARCH("FRT",AG2))),ROUND(BI2,2),0)),"N/A")</f>
        <v>0</v>
      </c>
      <c r="AN2" s="69">
        <f t="shared" ref="AN2:AN4" si="6">IFERROR(IF(AM2&lt;3,ROUND(SUM(AI2:AM2),3),ROUND((SUM(AI2:AL2)),3)),"N/A")</f>
        <v>3.6</v>
      </c>
      <c r="AO2" s="70">
        <f t="shared" ref="AO2:AO4" si="7">IFERROR(IF(AM2&lt;3,ROUND(AN2*AF2,2),ROUND(ROUND(AN2*AF2,2)+AM2,2)),"N/A")</f>
        <v>3600</v>
      </c>
      <c r="AP2" s="70">
        <f>'PRICING PROVISIONAL'!AM2</f>
        <v>3600</v>
      </c>
      <c r="AQ2" s="70">
        <f t="shared" ref="AQ2:AQ4" si="8">IFERROR(IF(AP2=0,"N/A",AO2-AP2),"N/A")</f>
        <v>0</v>
      </c>
      <c r="AR2" s="4">
        <v>42404</v>
      </c>
      <c r="AS2" s="3"/>
      <c r="AT2" s="7" t="e">
        <f>IF(AK2&lt;&gt;S2,((S2-AK2)*RECAP!I2),0)</f>
        <v>#VALUE!</v>
      </c>
      <c r="AU2" s="71" t="str">
        <f>IFERROR(IF(AND(U2=0,AO2&lt;&gt;"",BI2&lt;&gt;"N/A"),(AO2-W2-BI2+AT2),AO2-W2+AT2),"N/A")</f>
        <v>N/A</v>
      </c>
      <c r="AV2" s="72"/>
      <c r="AW2" s="72"/>
      <c r="AX2" s="72"/>
      <c r="AY2" s="76"/>
      <c r="AZ2" s="77"/>
      <c r="BA2" s="73"/>
      <c r="BB2" s="73"/>
      <c r="BC2" s="77"/>
      <c r="BD2" s="76"/>
      <c r="BE2" s="77"/>
      <c r="BF2" s="77"/>
      <c r="BG2" s="77"/>
      <c r="BH2" s="77"/>
      <c r="BI2" s="77"/>
    </row>
    <row r="3" spans="1:61" ht="12" customHeight="1" x14ac:dyDescent="0.25">
      <c r="A3" s="64" t="str">
        <f>RECAP!A3</f>
        <v>02 - FEB</v>
      </c>
      <c r="B3" s="3" t="str">
        <f>RECAP!C3</f>
        <v>2016CT002</v>
      </c>
      <c r="C3" s="3" t="str">
        <f>RECAP!D3</f>
        <v>XXXX</v>
      </c>
      <c r="D3" s="3" t="str">
        <f>RECAP!E3</f>
        <v>XXXX</v>
      </c>
      <c r="E3" s="3" t="str">
        <f>RECAP!F3</f>
        <v>XXXX</v>
      </c>
      <c r="F3" s="59">
        <f>RECAP!AI3</f>
        <v>42371</v>
      </c>
      <c r="G3" s="5">
        <f>Table2[BL_NET_QTY_BBLS]</f>
        <v>1000</v>
      </c>
      <c r="H3" s="5">
        <f>Table2[OT_NET_QTY_BBLS]</f>
        <v>1000</v>
      </c>
      <c r="I3" s="6">
        <f>IF(H3&lt;&gt;"N/A",(H3-G3)/G3,"N/A")</f>
        <v>0</v>
      </c>
      <c r="J3" s="3" t="str">
        <f>+RECAP!L3</f>
        <v>XXXX</v>
      </c>
      <c r="K3" s="3" t="str">
        <f>+RECAP!M3</f>
        <v>XXXX</v>
      </c>
      <c r="L3" s="62" t="s">
        <v>46</v>
      </c>
      <c r="M3" s="62" t="s">
        <v>84</v>
      </c>
      <c r="N3" s="68">
        <f>IF(M3="EXXON 0.5",((IF(H3="",ROUND(G3,0),ROUND(IF(AND((IF(H3="","",(G3*(0.5%)+H3)))&gt;G3,H3&lt;G3),G3,IF((IF(H3="","",(G3*(0.5%)+H3)))&lt;G3,(IF(H3="","",(G3*(0.5%)+H3))),IF(H3&gt;G3,H3,G3))),0)))),IF(M3="NET BL",ROUND(G3,0),ROUND(H3,0)))</f>
        <v>1000</v>
      </c>
      <c r="O3" s="64"/>
      <c r="P3" s="64"/>
      <c r="Q3" s="65" t="s">
        <v>172</v>
      </c>
      <c r="R3" s="66">
        <v>0</v>
      </c>
      <c r="S3" s="66">
        <v>0.99</v>
      </c>
      <c r="T3" s="66">
        <v>0</v>
      </c>
      <c r="U3" s="66">
        <f t="shared" si="1"/>
        <v>0</v>
      </c>
      <c r="V3" s="79">
        <f t="shared" ref="V3:V4" si="9">+IF(ISNUMBER(SEARCH("NOC",J3)),(IF(ISNUMBER(SEARCH("FRT",O3)),(ROUND(SUM(Q3:T3),2)),(ROUND(SUM(Q3:U3),2)))),(IF(ISNUMBER(SEARCH("FRT",O3)),(ROUND(SUM(Q3:T3),3)),(ROUND(SUM(Q3:U3),3)))))</f>
        <v>0.99</v>
      </c>
      <c r="W3" s="67">
        <f t="shared" si="2"/>
        <v>990</v>
      </c>
      <c r="X3" s="67">
        <f>IF('PRICING PROVISIONAL'!W3="",0,'PRICING PROVISIONAL'!W3)</f>
        <v>990</v>
      </c>
      <c r="Y3" s="67">
        <f>IF(X3=0,"N/A",W3-X3)</f>
        <v>0</v>
      </c>
      <c r="Z3" s="4">
        <v>42437</v>
      </c>
      <c r="AA3" s="3" t="s">
        <v>168</v>
      </c>
      <c r="AB3" s="3" t="str">
        <f>+RECAP!W3</f>
        <v>XXXX</v>
      </c>
      <c r="AC3" s="3" t="str">
        <f>+RECAP!X3</f>
        <v>XXXX</v>
      </c>
      <c r="AD3" s="3" t="s">
        <v>46</v>
      </c>
      <c r="AE3" s="62"/>
      <c r="AF3" s="63">
        <f>IF(AE3="EXXON 0.5",((IF(H3="",ROUND(G3,0),ROUND(IF(AND((IF(H3="","",(G3*(0.5%)+H3)))&gt;G3,H3&lt;G3),G3,IF((IF(H3="","",(G3*(0.5%)+H3)))&lt;G3,(IF(H3="","",(G3*(0.5%)+H3))),IF(H3&gt;G3,H3,G3))),0)))),IF(AE3="NET BL",ROUND(G3,0),ROUND(H3,0)))</f>
        <v>1000</v>
      </c>
      <c r="AG3" s="2"/>
      <c r="AH3" s="4"/>
      <c r="AI3" s="65" t="s">
        <v>172</v>
      </c>
      <c r="AJ3" s="68">
        <v>0</v>
      </c>
      <c r="AK3" s="68">
        <v>1.55</v>
      </c>
      <c r="AL3" s="68">
        <f>IFERROR(IF(ISNUMBER(SEARCH("SERV",AG3)),(0.15),0)+(IF(ISNUMBER(SEARCH("OT",AG3)),0.05,0)),"N/A")</f>
        <v>0</v>
      </c>
      <c r="AM3" s="65">
        <f t="shared" si="5"/>
        <v>0</v>
      </c>
      <c r="AN3" s="69">
        <f>IFERROR(IF(AM3&lt;3,ROUND(SUM(AI3:AM3),3),ROUND((SUM(AI3:AL3)),3)),"N/A")</f>
        <v>1.55</v>
      </c>
      <c r="AO3" s="70">
        <f>IFERROR(IF(AM3&lt;3,ROUND(AN3*AF3,2),ROUND(ROUND(AN3*AF3,2)+AM3,2)),"N/A")</f>
        <v>1550</v>
      </c>
      <c r="AP3" s="70">
        <f>'PRICING PROVISIONAL'!AM3</f>
        <v>1550</v>
      </c>
      <c r="AQ3" s="70">
        <f>IFERROR(IF(AP3=0,"N/A",AO3-AP3),"N/A")</f>
        <v>0</v>
      </c>
      <c r="AR3" s="4">
        <v>42437</v>
      </c>
      <c r="AS3" s="3"/>
      <c r="AT3" s="7" t="e">
        <f>IF(AK3&lt;&gt;S3,((S3-AK3)*RECAP!I3),0)</f>
        <v>#VALUE!</v>
      </c>
      <c r="AU3" s="71" t="str">
        <f>IFERROR(IF(AND(U3=0,AO3&lt;&gt;"",BI3&lt;&gt;"N/A"),(AO3-W3-BI3+AT3),AO3-W3+AT3),"N/A")</f>
        <v>N/A</v>
      </c>
      <c r="AV3" s="72"/>
      <c r="AW3" s="72"/>
      <c r="AX3" s="72"/>
      <c r="AY3" s="76"/>
      <c r="AZ3" s="77"/>
      <c r="BA3" s="73"/>
      <c r="BB3" s="73"/>
      <c r="BC3" s="77"/>
      <c r="BD3" s="76"/>
      <c r="BE3" s="77"/>
      <c r="BF3" s="77"/>
      <c r="BG3" s="77"/>
      <c r="BH3" s="77"/>
      <c r="BI3" s="77"/>
    </row>
    <row r="4" spans="1:61" ht="12" customHeight="1" x14ac:dyDescent="0.25">
      <c r="A4" s="64" t="str">
        <f>RECAP!A4</f>
        <v>01 - JAN</v>
      </c>
      <c r="B4" s="3" t="str">
        <f>RECAP!C4</f>
        <v>2016CT003</v>
      </c>
      <c r="C4" s="3" t="str">
        <f>RECAP!D4</f>
        <v>XXXX</v>
      </c>
      <c r="D4" s="3" t="str">
        <f>RECAP!E4</f>
        <v>XXXX</v>
      </c>
      <c r="E4" s="3" t="str">
        <f>RECAP!F4</f>
        <v>XXXX</v>
      </c>
      <c r="F4" s="59">
        <f>RECAP!AI4</f>
        <v>42372</v>
      </c>
      <c r="G4" s="5">
        <f>Table2[BL_NET_QTY_BBLS]</f>
        <v>1000</v>
      </c>
      <c r="H4" s="5">
        <f>Table2[OT_NET_QTY_BBLS]</f>
        <v>1000</v>
      </c>
      <c r="I4" s="6">
        <f>IF(H4&lt;&gt;"N/A",(H4-G4)/G4,"N/A")</f>
        <v>0</v>
      </c>
      <c r="J4" s="3" t="str">
        <f>+RECAP!L4</f>
        <v>XXXX</v>
      </c>
      <c r="K4" s="3" t="str">
        <f>+RECAP!M4</f>
        <v>XXXX</v>
      </c>
      <c r="L4" s="62" t="s">
        <v>46</v>
      </c>
      <c r="M4" s="62" t="s">
        <v>92</v>
      </c>
      <c r="N4" s="68">
        <f t="shared" si="0"/>
        <v>1000</v>
      </c>
      <c r="O4" s="64"/>
      <c r="P4" s="64"/>
      <c r="Q4" s="65" t="s">
        <v>172</v>
      </c>
      <c r="R4" s="66">
        <v>0</v>
      </c>
      <c r="S4" s="66">
        <v>-1.1499999999999999</v>
      </c>
      <c r="T4" s="66">
        <v>0</v>
      </c>
      <c r="U4" s="66">
        <f t="shared" si="1"/>
        <v>0</v>
      </c>
      <c r="V4" s="79">
        <f t="shared" si="9"/>
        <v>-1.1499999999999999</v>
      </c>
      <c r="W4" s="67">
        <f t="shared" si="2"/>
        <v>-1150</v>
      </c>
      <c r="X4" s="67">
        <f>IF('PRICING PROVISIONAL'!W4="",0,'PRICING PROVISIONAL'!W4)</f>
        <v>741405</v>
      </c>
      <c r="Y4" s="67">
        <f t="shared" si="3"/>
        <v>-742555</v>
      </c>
      <c r="Z4" s="4">
        <f t="shared" ref="Z4" si="10">IF(P4="30 days after B/L",F4+30,F4+29)</f>
        <v>42401</v>
      </c>
      <c r="AA4" s="3" t="s">
        <v>169</v>
      </c>
      <c r="AB4" s="3" t="str">
        <f>+RECAP!W4</f>
        <v>XXXX</v>
      </c>
      <c r="AC4" s="3" t="str">
        <f>+RECAP!X4</f>
        <v>XXXX</v>
      </c>
      <c r="AD4" s="3" t="s">
        <v>46</v>
      </c>
      <c r="AE4" s="62"/>
      <c r="AF4" s="63">
        <f t="shared" ref="AF4" si="11">IF(AE4="EXXON 0.5",((IF(H4="",ROUND(G4,0),ROUND(IF(AND((IF(H4="","",(G4*(0.5%)+H4)))&gt;G4,H4&lt;G4),G4,IF((IF(H4="","",(G4*(0.5%)+H4)))&lt;G4,(IF(H4="","",(G4*(0.5%)+H4))),IF(H4&gt;G4,H4,G4))),0)))),IF(AE4="NET BL",ROUND(G4,0),ROUND(H4,0)))</f>
        <v>1000</v>
      </c>
      <c r="AG4" s="2"/>
      <c r="AH4" s="4"/>
      <c r="AI4" s="65" t="s">
        <v>172</v>
      </c>
      <c r="AJ4" s="68">
        <v>0</v>
      </c>
      <c r="AK4" s="68">
        <v>-0.85</v>
      </c>
      <c r="AL4" s="68">
        <f t="shared" si="4"/>
        <v>0</v>
      </c>
      <c r="AM4" s="65">
        <f t="shared" si="5"/>
        <v>0</v>
      </c>
      <c r="AN4" s="69">
        <f t="shared" si="6"/>
        <v>-0.85</v>
      </c>
      <c r="AO4" s="70">
        <f t="shared" si="7"/>
        <v>-850</v>
      </c>
      <c r="AP4" s="70">
        <f>'PRICING PROVISIONAL'!AM4</f>
        <v>-850</v>
      </c>
      <c r="AQ4" s="70">
        <f t="shared" si="8"/>
        <v>0</v>
      </c>
      <c r="AR4" s="4">
        <f t="shared" ref="AR4" si="12">IF(AH4="30 days after B/L",F4+30,F4+29)</f>
        <v>42401</v>
      </c>
      <c r="AS4" s="3"/>
      <c r="AT4" s="7" t="e">
        <f>IF(AK4&lt;&gt;S4,((S4-AK4)*RECAP!I4),0)</f>
        <v>#VALUE!</v>
      </c>
      <c r="AU4" s="71" t="str">
        <f t="shared" ref="AU4" si="13">IFERROR(IF(AND(U4=0,AO4&lt;&gt;"",BI4&lt;&gt;"N/A"),(AO4-W4-BI4+AT4),AO4-W4+AT4),"N/A")</f>
        <v>N/A</v>
      </c>
      <c r="AV4" s="72"/>
      <c r="AW4" s="72"/>
      <c r="AX4" s="72"/>
      <c r="AY4" s="76"/>
      <c r="AZ4" s="77"/>
      <c r="BA4" s="73"/>
      <c r="BB4" s="73"/>
      <c r="BC4" s="77"/>
      <c r="BD4" s="76"/>
      <c r="BE4" s="77"/>
      <c r="BF4" s="77"/>
      <c r="BG4" s="77"/>
      <c r="BH4" s="77"/>
      <c r="BI4" s="77"/>
    </row>
  </sheetData>
  <autoFilter ref="A1:BI4"/>
  <sortState ref="A5:BF35">
    <sortCondition ref="B5:B35" customList="January,February,March,April,May,June,July,August,September,October,November,December"/>
  </sortState>
  <dataValidations count="9">
    <dataValidation type="list" allowBlank="1" showInputMessage="1" showErrorMessage="1" sqref="AB2:AC4">
      <formula1>RCVRS</formula1>
    </dataValidation>
    <dataValidation type="list" allowBlank="1" showInputMessage="1" showErrorMessage="1" sqref="AG2:AG4">
      <formula1>PRICEOUT</formula1>
    </dataValidation>
    <dataValidation type="list" allowBlank="1" showInputMessage="1" showErrorMessage="1" sqref="AH2:AH4">
      <formula1>PMTOUT</formula1>
    </dataValidation>
    <dataValidation type="list" allowBlank="1" showInputMessage="1" showErrorMessage="1" sqref="AE2:AE4">
      <formula1>INVQTYOUT</formula1>
    </dataValidation>
    <dataValidation type="list" allowBlank="1" showInputMessage="1" showErrorMessage="1" sqref="J2:K4">
      <formula1>suppliers</formula1>
    </dataValidation>
    <dataValidation type="list" allowBlank="1" showInputMessage="1" showErrorMessage="1" sqref="O2:O4">
      <formula1>PRICING_IN</formula1>
    </dataValidation>
    <dataValidation type="list" allowBlank="1" showInputMessage="1" showErrorMessage="1" sqref="L2:L4 AD2:AD4">
      <formula1>LC</formula1>
    </dataValidation>
    <dataValidation type="list" allowBlank="1" showInputMessage="1" showErrorMessage="1" sqref="M2:M4">
      <formula1>INVOICING_QTY_NET</formula1>
    </dataValidation>
    <dataValidation type="list" allowBlank="1" showInputMessage="1" showErrorMessage="1" sqref="P2:P4">
      <formula1>PMTIN</formula1>
    </dataValidation>
  </dataValidations>
  <printOptions horizontalCentered="1" verticalCentered="1"/>
  <pageMargins left="0" right="0" top="0.74803149606299213" bottom="0.74803149606299213" header="0.31496062992125984" footer="0.31496062992125984"/>
  <pageSetup paperSize="9" scale="10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AG4"/>
  <sheetViews>
    <sheetView workbookViewId="0">
      <pane xSplit="9" ySplit="1" topLeftCell="V2" activePane="bottomRight" state="frozen"/>
      <selection pane="topRight" activeCell="J1" sqref="J1"/>
      <selection pane="bottomLeft" activeCell="A4" sqref="A4"/>
      <selection pane="bottomRight" activeCell="A5" sqref="A5:XFD5"/>
    </sheetView>
  </sheetViews>
  <sheetFormatPr baseColWidth="10" defaultColWidth="65.28515625" defaultRowHeight="15" x14ac:dyDescent="0.25"/>
  <cols>
    <col min="1" max="1" width="20.5703125" bestFit="1" customWidth="1"/>
    <col min="2" max="2" width="9.28515625" bestFit="1" customWidth="1"/>
    <col min="3" max="3" width="12" bestFit="1" customWidth="1"/>
    <col min="4" max="4" width="19.140625" bestFit="1" customWidth="1"/>
    <col min="5" max="5" width="12.7109375" bestFit="1" customWidth="1"/>
    <col min="6" max="6" width="9.140625" bestFit="1" customWidth="1"/>
    <col min="7" max="7" width="12" bestFit="1" customWidth="1"/>
    <col min="8" max="8" width="12.140625" bestFit="1" customWidth="1"/>
    <col min="9" max="9" width="9.85546875" bestFit="1" customWidth="1"/>
    <col min="10" max="10" width="11.28515625" bestFit="1" customWidth="1"/>
    <col min="11" max="11" width="17.85546875" bestFit="1" customWidth="1"/>
    <col min="12" max="12" width="15" bestFit="1" customWidth="1"/>
    <col min="13" max="13" width="12.7109375" bestFit="1" customWidth="1"/>
    <col min="14" max="14" width="8" bestFit="1" customWidth="1"/>
    <col min="15" max="15" width="17.5703125" bestFit="1" customWidth="1"/>
    <col min="16" max="16" width="11" bestFit="1" customWidth="1"/>
    <col min="17" max="17" width="8.85546875" bestFit="1" customWidth="1"/>
    <col min="18" max="18" width="11.28515625" bestFit="1" customWidth="1"/>
    <col min="19" max="19" width="12.140625" bestFit="1" customWidth="1"/>
    <col min="20" max="20" width="8.28515625" bestFit="1" customWidth="1"/>
    <col min="21" max="21" width="18" bestFit="1" customWidth="1"/>
    <col min="22" max="22" width="10.85546875" bestFit="1" customWidth="1"/>
    <col min="23" max="23" width="7.140625" bestFit="1" customWidth="1"/>
    <col min="24" max="24" width="15" bestFit="1" customWidth="1"/>
    <col min="25" max="25" width="8" bestFit="1" customWidth="1"/>
    <col min="26" max="26" width="8.85546875" bestFit="1" customWidth="1"/>
    <col min="27" max="27" width="12.140625" bestFit="1" customWidth="1"/>
    <col min="28" max="28" width="10.28515625" bestFit="1" customWidth="1"/>
    <col min="29" max="29" width="10.42578125" bestFit="1" customWidth="1"/>
    <col min="30" max="30" width="13.42578125" bestFit="1" customWidth="1"/>
    <col min="31" max="31" width="8.28515625" bestFit="1" customWidth="1"/>
    <col min="32" max="32" width="20.140625" bestFit="1" customWidth="1"/>
    <col min="33" max="33" width="21" bestFit="1" customWidth="1"/>
    <col min="34" max="34" width="10.85546875" bestFit="1" customWidth="1"/>
    <col min="35" max="35" width="3.5703125" bestFit="1" customWidth="1"/>
  </cols>
  <sheetData>
    <row r="1" spans="1:33" ht="25.5" x14ac:dyDescent="0.25">
      <c r="A1" s="43" t="s">
        <v>7</v>
      </c>
      <c r="B1" s="43" t="s">
        <v>14</v>
      </c>
      <c r="C1" s="43" t="s">
        <v>4</v>
      </c>
      <c r="D1" s="43" t="s">
        <v>15</v>
      </c>
      <c r="E1" s="43" t="s">
        <v>0</v>
      </c>
      <c r="F1" s="44" t="s">
        <v>16</v>
      </c>
      <c r="G1" s="58" t="s">
        <v>17</v>
      </c>
      <c r="H1" s="58" t="s">
        <v>18</v>
      </c>
      <c r="I1" s="46" t="s">
        <v>19</v>
      </c>
      <c r="J1" s="43" t="s">
        <v>8</v>
      </c>
      <c r="K1" s="43" t="s">
        <v>47</v>
      </c>
      <c r="L1" s="52" t="s">
        <v>170</v>
      </c>
      <c r="M1" s="52" t="s">
        <v>69</v>
      </c>
      <c r="N1" s="52" t="s">
        <v>68</v>
      </c>
      <c r="O1" s="52" t="s">
        <v>67</v>
      </c>
      <c r="P1" s="52" t="s">
        <v>70</v>
      </c>
      <c r="Q1" s="52" t="s">
        <v>71</v>
      </c>
      <c r="R1" s="52" t="s">
        <v>5</v>
      </c>
      <c r="S1" s="52" t="s">
        <v>72</v>
      </c>
      <c r="T1" s="52" t="s">
        <v>73</v>
      </c>
      <c r="U1" s="52" t="s">
        <v>74</v>
      </c>
      <c r="V1" s="43" t="s">
        <v>9</v>
      </c>
      <c r="W1" s="43" t="s">
        <v>47</v>
      </c>
      <c r="X1" s="43" t="s">
        <v>75</v>
      </c>
      <c r="Y1" s="43" t="s">
        <v>68</v>
      </c>
      <c r="Z1" s="43" t="s">
        <v>71</v>
      </c>
      <c r="AA1" s="80" t="s">
        <v>72</v>
      </c>
      <c r="AB1" s="52" t="s">
        <v>77</v>
      </c>
      <c r="AC1" s="52" t="s">
        <v>78</v>
      </c>
      <c r="AD1" s="43" t="s">
        <v>83</v>
      </c>
      <c r="AE1" s="43" t="s">
        <v>73</v>
      </c>
      <c r="AF1" s="43" t="s">
        <v>76</v>
      </c>
      <c r="AG1" s="55" t="s">
        <v>63</v>
      </c>
    </row>
    <row r="2" spans="1:33" x14ac:dyDescent="0.25">
      <c r="A2" s="2" t="str">
        <f>RECAP!A2</f>
        <v>01 - JAN</v>
      </c>
      <c r="B2" s="3" t="str">
        <f>RECAP!C2</f>
        <v>2016CT001</v>
      </c>
      <c r="C2" s="3" t="str">
        <f>RECAP!D2</f>
        <v>XXXX</v>
      </c>
      <c r="D2" s="3" t="str">
        <f>RECAP!E2</f>
        <v>XXXX</v>
      </c>
      <c r="E2" s="3" t="str">
        <f>RECAP!F2</f>
        <v>XXXX</v>
      </c>
      <c r="F2" s="4">
        <f>RECAP!AI2</f>
        <v>42370</v>
      </c>
      <c r="G2" s="5">
        <f>RECAP!AM2</f>
        <v>1000</v>
      </c>
      <c r="H2" s="5">
        <f>RECAP!AO2</f>
        <v>1000</v>
      </c>
      <c r="I2" s="6">
        <f>IF(H2&lt;&gt;"N/A",(H2-G2)/G2,"N/A")</f>
        <v>0</v>
      </c>
      <c r="J2" s="3" t="str">
        <f>RECAP!L2</f>
        <v>XXXX</v>
      </c>
      <c r="K2" s="3" t="str">
        <f>RECAP!M2</f>
        <v>XXXX</v>
      </c>
      <c r="L2" s="7">
        <f>IFERROR(IF('PRICING FINAL'!AO2&lt;1,IF('PRICING PROVISIONAL'!U2&gt;1,'PRICING PROVISIONAL'!W2-'PRICING PROVISIONAL'!U2,'PRICING PROVISIONAL'!W2),IF('PRICING FINAL'!U2&gt;1,'PRICING FINAL'!W2-'PRICING FINAL'!U2,'PRICING FINAL'!W2)),"N/A")</f>
        <v>3400</v>
      </c>
      <c r="M2" s="7">
        <f>'PRICING FINAL'!U2</f>
        <v>0</v>
      </c>
      <c r="N2" s="7">
        <v>0</v>
      </c>
      <c r="O2" s="8">
        <v>0</v>
      </c>
      <c r="P2" s="7">
        <v>1364.71</v>
      </c>
      <c r="Q2" s="7">
        <v>0</v>
      </c>
      <c r="R2" s="9">
        <v>0</v>
      </c>
      <c r="S2" s="9">
        <v>0</v>
      </c>
      <c r="T2" s="9">
        <v>0</v>
      </c>
      <c r="U2" s="9">
        <f>IFERROR(SUM(L2:T2),"N/A")</f>
        <v>4764.71</v>
      </c>
      <c r="V2" s="3" t="str">
        <f>RECAP!W2</f>
        <v>XXXX</v>
      </c>
      <c r="W2" s="3" t="str">
        <f>RECAP!X2</f>
        <v>XXXX</v>
      </c>
      <c r="X2" s="10">
        <f>IFERROR(IF('PRICING FINAL'!AP2&lt;&gt;'PRICING FINAL'!AO2,'PRICING FINAL'!AO2,'PRICING FINAL'!AP2),"ERROR")</f>
        <v>3600</v>
      </c>
      <c r="Y2" s="7">
        <v>0</v>
      </c>
      <c r="Z2" s="7">
        <v>0</v>
      </c>
      <c r="AA2" s="8">
        <v>0</v>
      </c>
      <c r="AB2" s="7" t="s">
        <v>173</v>
      </c>
      <c r="AC2" s="7" t="s">
        <v>173</v>
      </c>
      <c r="AD2" s="7">
        <v>0</v>
      </c>
      <c r="AE2" s="7">
        <v>0</v>
      </c>
      <c r="AF2" s="11">
        <f>SUM(X2:AE2)</f>
        <v>3600</v>
      </c>
      <c r="AG2" s="11">
        <f>AF2-U2</f>
        <v>-1164.71</v>
      </c>
    </row>
    <row r="3" spans="1:33" x14ac:dyDescent="0.25">
      <c r="A3" s="2" t="str">
        <f>RECAP!A3</f>
        <v>02 - FEB</v>
      </c>
      <c r="B3" s="3" t="str">
        <f>RECAP!C3</f>
        <v>2016CT002</v>
      </c>
      <c r="C3" s="3" t="str">
        <f>RECAP!D3</f>
        <v>XXXX</v>
      </c>
      <c r="D3" s="3" t="str">
        <f>RECAP!E3</f>
        <v>XXXX</v>
      </c>
      <c r="E3" s="3" t="str">
        <f>RECAP!F3</f>
        <v>XXXX</v>
      </c>
      <c r="F3" s="4">
        <f>RECAP!AI3</f>
        <v>42371</v>
      </c>
      <c r="G3" s="5">
        <f>RECAP!AM3</f>
        <v>1000</v>
      </c>
      <c r="H3" s="5">
        <f>RECAP!AO3</f>
        <v>1000</v>
      </c>
      <c r="I3" s="6">
        <f t="shared" ref="I3:I4" si="0">IF(H3&lt;&gt;"N/A",(H3-G3)/G3,"N/A")</f>
        <v>0</v>
      </c>
      <c r="J3" s="3" t="str">
        <f>RECAP!L3</f>
        <v>XXXX</v>
      </c>
      <c r="K3" s="3" t="str">
        <f>RECAP!M3</f>
        <v>XXXX</v>
      </c>
      <c r="L3" s="7">
        <f>IFERROR(IF('PRICING FINAL'!AO3&lt;1,IF('PRICING PROVISIONAL'!U3&gt;1,'PRICING PROVISIONAL'!W3-'PRICING PROVISIONAL'!U3,'PRICING PROVISIONAL'!W3),IF('PRICING FINAL'!U3&gt;1,'PRICING FINAL'!W3-'PRICING FINAL'!U3,'PRICING FINAL'!W3)),"N/A")</f>
        <v>990</v>
      </c>
      <c r="M3" s="7">
        <f>'PRICING FINAL'!U3</f>
        <v>0</v>
      </c>
      <c r="N3" s="7">
        <v>0</v>
      </c>
      <c r="O3" s="8">
        <v>0</v>
      </c>
      <c r="P3" s="7">
        <v>0</v>
      </c>
      <c r="Q3" s="7">
        <v>0</v>
      </c>
      <c r="R3" s="9">
        <v>0</v>
      </c>
      <c r="S3" s="9">
        <v>0</v>
      </c>
      <c r="T3" s="9">
        <v>0</v>
      </c>
      <c r="U3" s="9">
        <f t="shared" ref="U3:U4" si="1">IFERROR(SUM(L3:T3),"N/A")</f>
        <v>990</v>
      </c>
      <c r="V3" s="3" t="str">
        <f>RECAP!W3</f>
        <v>XXXX</v>
      </c>
      <c r="W3" s="3" t="str">
        <f>RECAP!X3</f>
        <v>XXXX</v>
      </c>
      <c r="X3" s="10">
        <f>IFERROR(IF('PRICING FINAL'!AP3&lt;&gt;'PRICING FINAL'!AO3,'PRICING FINAL'!AO3,'PRICING FINAL'!AP3),"ERROR")</f>
        <v>1550</v>
      </c>
      <c r="Y3" s="7">
        <v>0</v>
      </c>
      <c r="Z3" s="7">
        <v>0</v>
      </c>
      <c r="AA3" s="8">
        <v>0</v>
      </c>
      <c r="AB3" s="7" t="s">
        <v>173</v>
      </c>
      <c r="AC3" s="7" t="s">
        <v>173</v>
      </c>
      <c r="AD3" s="7">
        <v>0</v>
      </c>
      <c r="AE3" s="7">
        <v>0</v>
      </c>
      <c r="AF3" s="11">
        <f>SUM(X3:AE3)</f>
        <v>1550</v>
      </c>
      <c r="AG3" s="11">
        <f t="shared" ref="AG3:AG4" si="2">AF3-U3</f>
        <v>560</v>
      </c>
    </row>
    <row r="4" spans="1:33" x14ac:dyDescent="0.25">
      <c r="A4" s="2" t="str">
        <f>RECAP!A4</f>
        <v>01 - JAN</v>
      </c>
      <c r="B4" s="3" t="str">
        <f>RECAP!C4</f>
        <v>2016CT003</v>
      </c>
      <c r="C4" s="3" t="str">
        <f>RECAP!D4</f>
        <v>XXXX</v>
      </c>
      <c r="D4" s="3" t="str">
        <f>RECAP!E4</f>
        <v>XXXX</v>
      </c>
      <c r="E4" s="3" t="str">
        <f>RECAP!F4</f>
        <v>XXXX</v>
      </c>
      <c r="F4" s="4">
        <f>RECAP!AI4</f>
        <v>42372</v>
      </c>
      <c r="G4" s="5">
        <f>RECAP!AM4</f>
        <v>1000</v>
      </c>
      <c r="H4" s="5">
        <f>RECAP!AO4</f>
        <v>1000</v>
      </c>
      <c r="I4" s="6">
        <f t="shared" si="0"/>
        <v>0</v>
      </c>
      <c r="J4" s="3" t="str">
        <f>RECAP!L4</f>
        <v>XXXX</v>
      </c>
      <c r="K4" s="3" t="str">
        <f>RECAP!M4</f>
        <v>XXXX</v>
      </c>
      <c r="L4" s="7">
        <f>IFERROR(IF('PRICING FINAL'!AO4&lt;1,IF('PRICING PROVISIONAL'!U4&gt;1,'PRICING PROVISIONAL'!W4-'PRICING PROVISIONAL'!U4,'PRICING PROVISIONAL'!W4),IF('PRICING FINAL'!U4&gt;1,'PRICING FINAL'!W4-'PRICING FINAL'!U4,'PRICING FINAL'!W4)),"N/A")</f>
        <v>-1150</v>
      </c>
      <c r="M4" s="7">
        <f>'PRICING FINAL'!U4</f>
        <v>0</v>
      </c>
      <c r="N4" s="7">
        <v>0</v>
      </c>
      <c r="O4" s="8">
        <v>0</v>
      </c>
      <c r="P4" s="7">
        <v>0</v>
      </c>
      <c r="Q4" s="7">
        <v>0</v>
      </c>
      <c r="R4" s="9">
        <v>0</v>
      </c>
      <c r="S4" s="9">
        <v>0</v>
      </c>
      <c r="T4" s="9">
        <v>0</v>
      </c>
      <c r="U4" s="9">
        <f t="shared" si="1"/>
        <v>-1150</v>
      </c>
      <c r="V4" s="3" t="str">
        <f>RECAP!W4</f>
        <v>XXXX</v>
      </c>
      <c r="W4" s="3" t="str">
        <f>RECAP!X4</f>
        <v>XXXX</v>
      </c>
      <c r="X4" s="10">
        <f>IFERROR(IF('PRICING FINAL'!AP4&lt;&gt;'PRICING FINAL'!AO4,'PRICING FINAL'!AO4,'PRICING FINAL'!AP4),"ERROR")</f>
        <v>-850</v>
      </c>
      <c r="Y4" s="7">
        <v>0</v>
      </c>
      <c r="Z4" s="7">
        <v>0</v>
      </c>
      <c r="AA4" s="8">
        <v>0</v>
      </c>
      <c r="AB4" s="7" t="s">
        <v>173</v>
      </c>
      <c r="AC4" s="7" t="s">
        <v>173</v>
      </c>
      <c r="AD4" s="7">
        <v>0</v>
      </c>
      <c r="AE4" s="7">
        <v>0</v>
      </c>
      <c r="AF4" s="11">
        <f t="shared" ref="AF4" si="3">SUM(X4:AE4)</f>
        <v>-850</v>
      </c>
      <c r="AG4" s="11">
        <f t="shared" si="2"/>
        <v>300</v>
      </c>
    </row>
  </sheetData>
  <dataValidations count="2">
    <dataValidation type="list" allowBlank="1" showInputMessage="1" showErrorMessage="1" sqref="J2:K4">
      <formula1>suppliers</formula1>
    </dataValidation>
    <dataValidation type="list" allowBlank="1" showInputMessage="1" showErrorMessage="1" sqref="V2:W4">
      <formula1>RCVRS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AL4"/>
  <sheetViews>
    <sheetView tabSelected="1" workbookViewId="0">
      <pane xSplit="5" ySplit="4" topLeftCell="AF5" activePane="bottomRight" state="frozen"/>
      <selection pane="topRight" activeCell="F1" sqref="F1"/>
      <selection pane="bottomLeft" activeCell="A13" sqref="A13"/>
      <selection pane="bottomRight" activeCell="E3" sqref="E3"/>
    </sheetView>
  </sheetViews>
  <sheetFormatPr baseColWidth="10" defaultColWidth="29" defaultRowHeight="15" x14ac:dyDescent="0.25"/>
  <cols>
    <col min="1" max="1" width="15.85546875" bestFit="1" customWidth="1"/>
    <col min="2" max="3" width="13.7109375" bestFit="1" customWidth="1"/>
    <col min="4" max="4" width="22.85546875" bestFit="1" customWidth="1"/>
    <col min="5" max="5" width="17" bestFit="1" customWidth="1"/>
    <col min="6" max="6" width="30.28515625" bestFit="1" customWidth="1"/>
    <col min="7" max="7" width="20.28515625" bestFit="1" customWidth="1"/>
    <col min="8" max="8" width="18.85546875" bestFit="1" customWidth="1"/>
    <col min="9" max="9" width="22.5703125" bestFit="1" customWidth="1"/>
    <col min="10" max="10" width="27.5703125" bestFit="1" customWidth="1"/>
    <col min="11" max="11" width="11.85546875" bestFit="1" customWidth="1"/>
    <col min="12" max="12" width="14.42578125" bestFit="1" customWidth="1"/>
    <col min="13" max="13" width="20.5703125" bestFit="1" customWidth="1"/>
    <col min="14" max="14" width="14.5703125" bestFit="1" customWidth="1"/>
    <col min="15" max="15" width="15.85546875" bestFit="1" customWidth="1"/>
    <col min="16" max="16" width="19.42578125" bestFit="1" customWidth="1"/>
    <col min="17" max="17" width="27.28515625" bestFit="1" customWidth="1"/>
    <col min="18" max="18" width="16.140625" bestFit="1" customWidth="1"/>
    <col min="19" max="20" width="15.85546875" bestFit="1" customWidth="1"/>
    <col min="21" max="21" width="22.7109375" bestFit="1" customWidth="1"/>
    <col min="22" max="22" width="19.42578125" bestFit="1" customWidth="1"/>
    <col min="23" max="24" width="15.85546875" bestFit="1" customWidth="1"/>
    <col min="25" max="25" width="18.28515625" bestFit="1" customWidth="1"/>
    <col min="26" max="26" width="26.5703125" bestFit="1" customWidth="1"/>
    <col min="27" max="27" width="24.7109375" bestFit="1" customWidth="1"/>
    <col min="28" max="28" width="22" bestFit="1" customWidth="1"/>
    <col min="29" max="29" width="18.85546875" bestFit="1" customWidth="1"/>
    <col min="30" max="30" width="19.7109375" bestFit="1" customWidth="1"/>
    <col min="31" max="31" width="16.85546875" bestFit="1" customWidth="1"/>
    <col min="32" max="32" width="13.85546875" bestFit="1" customWidth="1"/>
    <col min="33" max="33" width="24" bestFit="1" customWidth="1"/>
    <col min="34" max="34" width="21.5703125" bestFit="1" customWidth="1"/>
    <col min="35" max="35" width="19.5703125" bestFit="1" customWidth="1"/>
    <col min="36" max="36" width="24.85546875" bestFit="1" customWidth="1"/>
    <col min="37" max="37" width="22.140625" bestFit="1" customWidth="1"/>
    <col min="38" max="38" width="20.7109375" bestFit="1" customWidth="1"/>
  </cols>
  <sheetData>
    <row r="1" spans="1:38" x14ac:dyDescent="0.25">
      <c r="A1" t="s">
        <v>149</v>
      </c>
      <c r="B1" t="s">
        <v>150</v>
      </c>
      <c r="C1" t="s">
        <v>151</v>
      </c>
      <c r="D1" t="s">
        <v>152</v>
      </c>
      <c r="E1" t="s">
        <v>153</v>
      </c>
      <c r="F1" t="s">
        <v>154</v>
      </c>
      <c r="G1" t="s">
        <v>155</v>
      </c>
      <c r="H1" t="s">
        <v>156</v>
      </c>
      <c r="I1" t="s">
        <v>157</v>
      </c>
      <c r="J1" t="s">
        <v>158</v>
      </c>
      <c r="K1" t="s">
        <v>111</v>
      </c>
      <c r="L1" t="s">
        <v>124</v>
      </c>
      <c r="M1" t="s">
        <v>159</v>
      </c>
      <c r="N1" t="s">
        <v>129</v>
      </c>
      <c r="O1" t="s">
        <v>130</v>
      </c>
      <c r="P1" t="s">
        <v>131</v>
      </c>
      <c r="Q1" t="s">
        <v>132</v>
      </c>
      <c r="R1" t="s">
        <v>133</v>
      </c>
      <c r="S1" t="s">
        <v>134</v>
      </c>
      <c r="T1" t="s">
        <v>135</v>
      </c>
      <c r="U1" t="s">
        <v>136</v>
      </c>
      <c r="V1" t="s">
        <v>160</v>
      </c>
      <c r="W1" t="s">
        <v>161</v>
      </c>
      <c r="X1" t="s">
        <v>137</v>
      </c>
      <c r="Y1" t="s">
        <v>162</v>
      </c>
      <c r="Z1" t="s">
        <v>163</v>
      </c>
      <c r="AA1" t="s">
        <v>138</v>
      </c>
      <c r="AB1" t="s">
        <v>139</v>
      </c>
      <c r="AC1" t="s">
        <v>140</v>
      </c>
      <c r="AD1" t="s">
        <v>141</v>
      </c>
      <c r="AE1" t="s">
        <v>142</v>
      </c>
      <c r="AF1" t="s">
        <v>143</v>
      </c>
      <c r="AG1" t="s">
        <v>144</v>
      </c>
      <c r="AH1" t="s">
        <v>164</v>
      </c>
      <c r="AI1" t="s">
        <v>145</v>
      </c>
      <c r="AJ1" t="s">
        <v>146</v>
      </c>
      <c r="AK1" t="s">
        <v>147</v>
      </c>
      <c r="AL1" t="s">
        <v>148</v>
      </c>
    </row>
    <row r="2" spans="1:38" x14ac:dyDescent="0.25">
      <c r="A2" t="str">
        <f>Table2[[#This Row],[MONTH]]</f>
        <v>01 - JAN</v>
      </c>
      <c r="B2" t="str">
        <f>Table2[REF]</f>
        <v>2016CT001</v>
      </c>
      <c r="C2" t="str">
        <f>Table2[OIC]</f>
        <v>XXXX</v>
      </c>
      <c r="D2" t="str">
        <f>Table2[VSL]</f>
        <v>XXXX</v>
      </c>
      <c r="E2" t="str">
        <f>Table2[GRADE]</f>
        <v>XXXX</v>
      </c>
      <c r="F2" t="str">
        <f>Table2[LP]</f>
        <v>XXXX</v>
      </c>
      <c r="G2" t="str">
        <f>Table2[SUPPLIERS]</f>
        <v>XXXX</v>
      </c>
      <c r="H2" t="str">
        <f>Table2[TERMS (P)]</f>
        <v>XXXX</v>
      </c>
      <c r="I2" t="str">
        <f>Table2[DATES TERM]</f>
        <v>XXXX</v>
      </c>
      <c r="J2" t="str">
        <f>Table2[CT DATES]</f>
        <v>XXXX</v>
      </c>
      <c r="K2" t="str">
        <f>Table2[RCVRS]</f>
        <v>XXXX</v>
      </c>
      <c r="L2" t="str">
        <f>Table2[TERMS (S)]</f>
        <v>XXXX</v>
      </c>
      <c r="M2" t="str">
        <f>Table2[DP]</f>
        <v>XXXX</v>
      </c>
      <c r="N2" t="str">
        <f>Table2[DP]</f>
        <v>XXXX</v>
      </c>
      <c r="O2" t="str">
        <f>Table2[DP]</f>
        <v>XXXX</v>
      </c>
      <c r="P2" t="str">
        <f>Table2[DP]</f>
        <v>XXXX</v>
      </c>
      <c r="Q2" t="str">
        <f>Table2[DP]</f>
        <v>XXXX</v>
      </c>
      <c r="R2" t="str">
        <f>Table2[DP]</f>
        <v>XXXX</v>
      </c>
      <c r="S2" t="str">
        <f>Table2[DP]</f>
        <v>XXXX</v>
      </c>
      <c r="T2" t="str">
        <f>Table2[DP]</f>
        <v>XXXX</v>
      </c>
      <c r="U2" t="str">
        <f>Table2[DP]</f>
        <v>XXXX</v>
      </c>
      <c r="V2" t="str">
        <f>Table2[DP]</f>
        <v>XXXX</v>
      </c>
      <c r="W2" t="str">
        <f>Table2[DP]</f>
        <v>XXXX</v>
      </c>
      <c r="X2" t="str">
        <f>Table2[DP]</f>
        <v>XXXX</v>
      </c>
      <c r="Y2" t="str">
        <f>Table2[DP]</f>
        <v>XXXX</v>
      </c>
      <c r="Z2" t="str">
        <f>Table2[DP]</f>
        <v>XXXX</v>
      </c>
      <c r="AA2" t="str">
        <f>Table2[DP]</f>
        <v>XXXX</v>
      </c>
      <c r="AB2" t="str">
        <f>Table2[DP]</f>
        <v>XXXX</v>
      </c>
      <c r="AC2" t="str">
        <f>Table2[DP]</f>
        <v>XXXX</v>
      </c>
      <c r="AD2" t="str">
        <f>Table2[DP]</f>
        <v>XXXX</v>
      </c>
      <c r="AE2" t="str">
        <f>Table2[DP]</f>
        <v>XXXX</v>
      </c>
      <c r="AF2" t="str">
        <f>Table2[DP]</f>
        <v>XXXX</v>
      </c>
      <c r="AG2" t="str">
        <f>Table2[DP]</f>
        <v>XXXX</v>
      </c>
      <c r="AH2" t="str">
        <f>Table2[DP]</f>
        <v>XXXX</v>
      </c>
      <c r="AI2" t="s">
        <v>166</v>
      </c>
      <c r="AJ2" t="str">
        <f t="shared" ref="AJ2:AJ4" si="0">IFERROR(IF(AH2-AI2&lt;0,"NIL",AH2-AI2),"")</f>
        <v/>
      </c>
      <c r="AK2" t="str">
        <f>N2</f>
        <v>XXXX</v>
      </c>
      <c r="AL2" t="str">
        <f t="shared" ref="AL2:AL4" si="1">IFERROR(IF(AJ2="NIL","NIL",AJ2*AK2),"")</f>
        <v/>
      </c>
    </row>
    <row r="3" spans="1:38" x14ac:dyDescent="0.25">
      <c r="A3" t="str">
        <f>Table2[[#This Row],[MONTH]]</f>
        <v>02 - FEB</v>
      </c>
      <c r="B3" t="str">
        <f>Table2[REF]</f>
        <v>2016CT002</v>
      </c>
      <c r="C3" t="str">
        <f>Table2[OIC]</f>
        <v>XXXX</v>
      </c>
      <c r="D3" t="str">
        <f>Table2[VSL]</f>
        <v>XXXX</v>
      </c>
      <c r="E3" t="str">
        <f>Table2[GRADE]</f>
        <v>XXXX</v>
      </c>
      <c r="F3" t="str">
        <f>Table2[LP]</f>
        <v>XXXX</v>
      </c>
      <c r="G3" t="str">
        <f>Table2[SUPPLIERS]</f>
        <v>XXXX</v>
      </c>
      <c r="H3" t="str">
        <f>Table2[TERMS (P)]</f>
        <v>XXXX</v>
      </c>
      <c r="I3" t="str">
        <f>Table2[DATES TERM]</f>
        <v>XXXX</v>
      </c>
      <c r="J3" t="str">
        <f>Table2[CT DATES]</f>
        <v>XXXX</v>
      </c>
      <c r="K3" t="str">
        <f>Table2[RCVRS]</f>
        <v>XXXX</v>
      </c>
      <c r="L3" t="str">
        <f>Table2[TERMS (S)]</f>
        <v>XXXX</v>
      </c>
      <c r="M3" t="str">
        <f>Table2[DP]</f>
        <v>XXXX</v>
      </c>
      <c r="N3" t="str">
        <f>Table2[DP]</f>
        <v>XXXX</v>
      </c>
      <c r="O3" t="str">
        <f>Table2[DP]</f>
        <v>XXXX</v>
      </c>
      <c r="P3" t="str">
        <f>Table2[DP]</f>
        <v>XXXX</v>
      </c>
      <c r="Q3" t="str">
        <f>Table2[DP]</f>
        <v>XXXX</v>
      </c>
      <c r="R3" t="str">
        <f>Table2[DP]</f>
        <v>XXXX</v>
      </c>
      <c r="S3" t="str">
        <f>Table2[DP]</f>
        <v>XXXX</v>
      </c>
      <c r="T3" t="str">
        <f>Table2[DP]</f>
        <v>XXXX</v>
      </c>
      <c r="U3" t="str">
        <f>Table2[DP]</f>
        <v>XXXX</v>
      </c>
      <c r="V3" t="str">
        <f>Table2[DP]</f>
        <v>XXXX</v>
      </c>
      <c r="W3" t="str">
        <f>Table2[DP]</f>
        <v>XXXX</v>
      </c>
      <c r="X3" t="str">
        <f>Table2[DP]</f>
        <v>XXXX</v>
      </c>
      <c r="Y3" t="str">
        <f>Table2[DP]</f>
        <v>XXXX</v>
      </c>
      <c r="Z3" t="str">
        <f>Table2[DP]</f>
        <v>XXXX</v>
      </c>
      <c r="AA3" t="str">
        <f>Table2[DP]</f>
        <v>XXXX</v>
      </c>
      <c r="AB3" t="str">
        <f>Table2[DP]</f>
        <v>XXXX</v>
      </c>
      <c r="AC3" t="str">
        <f>Table2[DP]</f>
        <v>XXXX</v>
      </c>
      <c r="AD3" t="str">
        <f>Table2[DP]</f>
        <v>XXXX</v>
      </c>
      <c r="AE3" t="str">
        <f>Table2[DP]</f>
        <v>XXXX</v>
      </c>
      <c r="AF3" t="str">
        <f>Table2[DP]</f>
        <v>XXXX</v>
      </c>
      <c r="AG3" t="str">
        <f>Table2[DP]</f>
        <v>XXXX</v>
      </c>
      <c r="AH3" t="str">
        <f>Table2[DP]</f>
        <v>XXXX</v>
      </c>
      <c r="AI3" t="s">
        <v>166</v>
      </c>
      <c r="AJ3" t="str">
        <f t="shared" si="0"/>
        <v/>
      </c>
      <c r="AK3" t="str">
        <f t="shared" ref="AK3:AK4" si="2">N3</f>
        <v>XXXX</v>
      </c>
      <c r="AL3" t="str">
        <f t="shared" si="1"/>
        <v/>
      </c>
    </row>
    <row r="4" spans="1:38" x14ac:dyDescent="0.25">
      <c r="A4" t="str">
        <f>Table2[[#This Row],[MONTH]]</f>
        <v>01 - JAN</v>
      </c>
      <c r="B4" t="str">
        <f>Table2[REF]</f>
        <v>2016CT003</v>
      </c>
      <c r="C4" t="str">
        <f>Table2[OIC]</f>
        <v>XXXX</v>
      </c>
      <c r="D4" t="str">
        <f>Table2[VSL]</f>
        <v>XXXX</v>
      </c>
      <c r="E4" t="str">
        <f>Table2[GRADE]</f>
        <v>XXXX</v>
      </c>
      <c r="F4" t="str">
        <f>Table2[LP]</f>
        <v>XXXX</v>
      </c>
      <c r="G4" t="str">
        <f>Table2[SUPPLIERS]</f>
        <v>XXXX</v>
      </c>
      <c r="H4" t="str">
        <f>Table2[TERMS (P)]</f>
        <v>XXXX</v>
      </c>
      <c r="I4" t="str">
        <f>Table2[DATES TERM]</f>
        <v>XXXX</v>
      </c>
      <c r="J4" t="str">
        <f>Table2[CT DATES]</f>
        <v>XXXX</v>
      </c>
      <c r="K4" t="str">
        <f>Table2[RCVRS]</f>
        <v>XXXX</v>
      </c>
      <c r="L4" t="str">
        <f>Table2[TERMS (S)]</f>
        <v>XXXX</v>
      </c>
      <c r="M4" t="str">
        <f>Table2[DP]</f>
        <v>XXXX</v>
      </c>
      <c r="N4" t="str">
        <f>Table2[DP]</f>
        <v>XXXX</v>
      </c>
      <c r="O4" t="str">
        <f>Table2[DP]</f>
        <v>XXXX</v>
      </c>
      <c r="P4" t="str">
        <f>Table2[DP]</f>
        <v>XXXX</v>
      </c>
      <c r="Q4" t="str">
        <f>Table2[DP]</f>
        <v>XXXX</v>
      </c>
      <c r="R4" t="str">
        <f>Table2[DP]</f>
        <v>XXXX</v>
      </c>
      <c r="S4" t="str">
        <f>Table2[DP]</f>
        <v>XXXX</v>
      </c>
      <c r="T4" t="str">
        <f>Table2[DP]</f>
        <v>XXXX</v>
      </c>
      <c r="U4" t="str">
        <f>Table2[DP]</f>
        <v>XXXX</v>
      </c>
      <c r="V4" t="str">
        <f>Table2[DP]</f>
        <v>XXXX</v>
      </c>
      <c r="W4" t="str">
        <f>Table2[DP]</f>
        <v>XXXX</v>
      </c>
      <c r="X4" t="str">
        <f>Table2[DP]</f>
        <v>XXXX</v>
      </c>
      <c r="Y4" t="str">
        <f>Table2[DP]</f>
        <v>XXXX</v>
      </c>
      <c r="Z4" t="str">
        <f>Table2[DP]</f>
        <v>XXXX</v>
      </c>
      <c r="AA4" t="str">
        <f>Table2[DP]</f>
        <v>XXXX</v>
      </c>
      <c r="AB4" t="str">
        <f>Table2[DP]</f>
        <v>XXXX</v>
      </c>
      <c r="AC4" t="str">
        <f>Table2[DP]</f>
        <v>XXXX</v>
      </c>
      <c r="AD4" t="str">
        <f>Table2[DP]</f>
        <v>XXXX</v>
      </c>
      <c r="AE4" t="str">
        <f>Table2[DP]</f>
        <v>XXXX</v>
      </c>
      <c r="AF4" t="str">
        <f>Table2[DP]</f>
        <v>XXXX</v>
      </c>
      <c r="AG4" t="str">
        <f>Table2[DP]</f>
        <v>XXXX</v>
      </c>
      <c r="AH4" t="str">
        <f>Table2[DP]</f>
        <v>XXXX</v>
      </c>
      <c r="AI4" t="s">
        <v>166</v>
      </c>
      <c r="AJ4" t="str">
        <f t="shared" si="0"/>
        <v/>
      </c>
      <c r="AK4" t="str">
        <f t="shared" si="2"/>
        <v>XXXX</v>
      </c>
      <c r="AL4" t="str">
        <f t="shared" si="1"/>
        <v/>
      </c>
    </row>
  </sheetData>
  <dataValidations disablePrompts="1" count="1">
    <dataValidation type="list" allowBlank="1" showInputMessage="1" showErrorMessage="1" sqref="AI2:AI4">
      <formula1>LAYTIME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RECAP</vt:lpstr>
      <vt:lpstr>PRICING PROVISIONAL</vt:lpstr>
      <vt:lpstr>PRICING FINAL</vt:lpstr>
      <vt:lpstr>PANDL</vt:lpstr>
      <vt:lpstr>DEM CALC</vt:lpstr>
      <vt:lpstr>'PRICING FINAL'!Impression_des_titres</vt:lpstr>
      <vt:lpstr>RECAP!Impression_des_titres</vt:lpstr>
      <vt:lpstr>'PRICING FINAL'!Zone_d_impression</vt:lpstr>
      <vt:lpstr>RECAP!Zone_d_impression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Ciavaldini</dc:creator>
  <cp:lastModifiedBy>Jean-Eric Pelouas</cp:lastModifiedBy>
  <cp:lastPrinted>2015-07-01T07:44:20Z</cp:lastPrinted>
  <dcterms:created xsi:type="dcterms:W3CDTF">2013-07-18T09:40:11Z</dcterms:created>
  <dcterms:modified xsi:type="dcterms:W3CDTF">2016-04-13T07:00:30Z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CARGO2016Form_1" visible="true" label="CARGO2016Form" imageMso="ListMacros" onAction="CARGO2016Form"/>
      </mso:documentControls>
    </mso:qat>
  </mso:ribbon>
</mso:customUI>
</file>