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BULLETIN" sheetId="1" r:id="rId1"/>
    <sheet name="Liste des salariés" sheetId="2" r:id="rId2"/>
    <sheet name="Déclaration" sheetId="3" r:id="rId3"/>
  </sheets>
  <definedNames>
    <definedName name="CDR">BULLETIN!$F$32:$F$36</definedName>
    <definedName name="CR">BULLETIN!$D$32:$D$36</definedName>
    <definedName name="Matrice">'Liste des salariés'!$A$4:$H$9</definedName>
    <definedName name="SB">BULLETIN!$E$15</definedName>
    <definedName name="SNI">BULLETIN!$F$39</definedName>
    <definedName name="SNP">BULLETIN!$C$39</definedName>
    <definedName name="TA">'Liste des salariés'!$H$1</definedName>
    <definedName name="TB">'Liste des salariés'!$H$2</definedName>
    <definedName name="UNEDIC">BULLETIN!$D$30:$D$31</definedName>
    <definedName name="UNEDIC2">BULLETIN!$F$30:$F$31</definedName>
    <definedName name="URSSAF">BULLETIN!$D$21:$D$29</definedName>
    <definedName name="URSSAF2">BULLETIN!$F$21:$F$29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3" l="1"/>
  <c r="F5" i="3"/>
  <c r="F6" i="3"/>
  <c r="F4" i="3"/>
  <c r="E7" i="3"/>
  <c r="E5" i="3"/>
  <c r="E6" i="3"/>
  <c r="E4" i="3"/>
  <c r="D7" i="3"/>
  <c r="D6" i="3"/>
  <c r="D5" i="3"/>
  <c r="D4" i="3"/>
  <c r="C7" i="3"/>
  <c r="C5" i="3"/>
  <c r="C6" i="3"/>
  <c r="C4" i="3"/>
  <c r="B7" i="3"/>
  <c r="B6" i="3"/>
  <c r="B5" i="3"/>
  <c r="B4" i="3"/>
  <c r="C12" i="1"/>
  <c r="D1" i="2"/>
  <c r="E12" i="1"/>
  <c r="E13" i="1"/>
  <c r="E14" i="1"/>
  <c r="E15" i="1"/>
  <c r="B32" i="1"/>
  <c r="F32" i="1"/>
  <c r="H2" i="2"/>
  <c r="B33" i="1"/>
  <c r="F33" i="1"/>
  <c r="B34" i="1"/>
  <c r="F34" i="1"/>
  <c r="B35" i="1"/>
  <c r="F35" i="1"/>
  <c r="B36" i="1"/>
  <c r="F36" i="1"/>
  <c r="B30" i="1"/>
  <c r="F30" i="1"/>
  <c r="B31" i="1"/>
  <c r="F31" i="1"/>
  <c r="B21" i="1"/>
  <c r="F21" i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B29" i="1"/>
  <c r="F29" i="1"/>
  <c r="D32" i="1"/>
  <c r="D33" i="1"/>
  <c r="D34" i="1"/>
  <c r="D35" i="1"/>
  <c r="D36" i="1"/>
  <c r="D30" i="1"/>
  <c r="D31" i="1"/>
  <c r="D21" i="1"/>
  <c r="D22" i="1"/>
  <c r="D23" i="1"/>
  <c r="D24" i="1"/>
  <c r="D25" i="1"/>
  <c r="D26" i="1"/>
  <c r="D27" i="1"/>
  <c r="D28" i="1"/>
  <c r="D29" i="1"/>
  <c r="B6" i="1"/>
  <c r="D37" i="1"/>
  <c r="C39" i="1"/>
  <c r="F39" i="1"/>
  <c r="F37" i="1"/>
  <c r="E7" i="1"/>
  <c r="E5" i="1"/>
  <c r="B7" i="1"/>
  <c r="C3" i="1"/>
  <c r="F8" i="2"/>
  <c r="H33" i="1"/>
</calcChain>
</file>

<file path=xl/sharedStrings.xml><?xml version="1.0" encoding="utf-8"?>
<sst xmlns="http://schemas.openxmlformats.org/spreadsheetml/2006/main" count="87" uniqueCount="78">
  <si>
    <t>Date du bulletin</t>
  </si>
  <si>
    <t>SALAIRE BRUT</t>
  </si>
  <si>
    <t>NOM</t>
  </si>
  <si>
    <t>Prénom</t>
  </si>
  <si>
    <t>Adresse</t>
  </si>
  <si>
    <t>Qualification</t>
  </si>
  <si>
    <t>Taux</t>
  </si>
  <si>
    <t>Montant</t>
  </si>
  <si>
    <t>Salaire de base</t>
  </si>
  <si>
    <t>Prime sur le chiffre d'affaires réalisé</t>
  </si>
  <si>
    <t>ASSURANCE MALADIE</t>
  </si>
  <si>
    <t>ALLOCATIONS FAMILIALES</t>
  </si>
  <si>
    <t>ACCIDENT DU TRAVAIL</t>
  </si>
  <si>
    <t>ADRESSE</t>
  </si>
  <si>
    <t>QUALIFICATION</t>
  </si>
  <si>
    <t>Rue Grande</t>
  </si>
  <si>
    <t>Place du Marché</t>
  </si>
  <si>
    <t>Place Jean Jaurès</t>
  </si>
  <si>
    <t>Rue du Cluzel</t>
  </si>
  <si>
    <t>Commercial</t>
  </si>
  <si>
    <t>Directeur</t>
  </si>
  <si>
    <t>Chef Comptable</t>
  </si>
  <si>
    <t>Chef Produit</t>
  </si>
  <si>
    <t>TOTAUX</t>
  </si>
  <si>
    <t>URSSAF</t>
  </si>
  <si>
    <t>CAISSES DE RETRAITE</t>
  </si>
  <si>
    <t>Av. Pompidou</t>
  </si>
  <si>
    <t>CSG DÉDUCTIBLE</t>
  </si>
  <si>
    <t>AIDE AU LOGEMENT (Tranche A)</t>
  </si>
  <si>
    <t>ASSURANCE VIEILLESSE (Tranche A)</t>
  </si>
  <si>
    <t>RETRAITE Cadres ARRCO (Tranche A)</t>
  </si>
  <si>
    <t>RETRAITE Cadres AGIRC (Tranche B)</t>
  </si>
  <si>
    <t>RETRAITE Cadres AGIRC (Tranche C)</t>
  </si>
  <si>
    <t>AGFF (Tranche A)</t>
  </si>
  <si>
    <t>AGFF (Tranche B)</t>
  </si>
  <si>
    <t>MONTANT DES COTISATIONS SOCIALES</t>
  </si>
  <si>
    <t>DÉCOMPOSITION DU SALAIRE BRUT</t>
  </si>
  <si>
    <t>PRÉNOM</t>
  </si>
  <si>
    <t>Cotisations sociales patronales</t>
  </si>
  <si>
    <t>Cotisations sociales salariales</t>
  </si>
  <si>
    <t>TOTAL DES COTISATIONS SOCIALES</t>
  </si>
  <si>
    <t>Base de calcul
= Assiette</t>
  </si>
  <si>
    <t>CHIFFRE D'AFFAIRES 
RÉALISÉ</t>
  </si>
  <si>
    <t>CODE 
SALARIÉ</t>
  </si>
  <si>
    <t>Taux de prélèvement
(en % du salaire brut)</t>
  </si>
  <si>
    <r>
      <rPr>
        <b/>
        <sz val="28"/>
        <color theme="0"/>
        <rFont val="Calibri"/>
        <family val="2"/>
        <scheme val="minor"/>
      </rPr>
      <t>D</t>
    </r>
    <r>
      <rPr>
        <b/>
        <sz val="24"/>
        <color theme="0"/>
        <rFont val="Calibri"/>
        <family val="2"/>
        <scheme val="minor"/>
      </rPr>
      <t>ÉCLARATION</t>
    </r>
    <r>
      <rPr>
        <b/>
        <sz val="20"/>
        <color theme="0"/>
        <rFont val="Calibri"/>
        <family val="2"/>
        <scheme val="minor"/>
      </rPr>
      <t xml:space="preserve"> DES COTISATIONS SOCIALES DUES</t>
    </r>
  </si>
  <si>
    <r>
      <rPr>
        <b/>
        <sz val="18"/>
        <color theme="0"/>
        <rFont val="Calibri"/>
        <family val="2"/>
        <scheme val="minor"/>
      </rPr>
      <t xml:space="preserve">Montant </t>
    </r>
    <r>
      <rPr>
        <b/>
        <sz val="12"/>
        <color theme="0"/>
        <rFont val="Calibri"/>
        <family val="2"/>
        <scheme val="minor"/>
      </rPr>
      <t xml:space="preserve">
des retenues salariales</t>
    </r>
  </si>
  <si>
    <r>
      <rPr>
        <b/>
        <sz val="18"/>
        <color theme="0"/>
        <rFont val="Calibri"/>
        <family val="2"/>
        <scheme val="minor"/>
      </rPr>
      <t xml:space="preserve">Montant </t>
    </r>
    <r>
      <rPr>
        <b/>
        <sz val="12"/>
        <color theme="0"/>
        <rFont val="Calibri"/>
        <family val="2"/>
        <scheme val="minor"/>
      </rPr>
      <t xml:space="preserve">
des cotisations patronales</t>
    </r>
  </si>
  <si>
    <t>Heures Supplémentaires</t>
  </si>
  <si>
    <t>Nombres d'heures légales mensuelles</t>
  </si>
  <si>
    <t xml:space="preserve"> Plafond Tranche A</t>
  </si>
  <si>
    <t xml:space="preserve"> Plafond Tranche B</t>
  </si>
  <si>
    <t>SMIC horaire Brut</t>
  </si>
  <si>
    <t>Nombre d'heures
effectuées</t>
  </si>
  <si>
    <t>Coefficient
multiplicateur</t>
  </si>
  <si>
    <t>UNEDIC</t>
  </si>
  <si>
    <t>ASSURANCE CHÔMAGE (Tranche A + Tranche B)</t>
  </si>
  <si>
    <t>Pour vérification</t>
  </si>
  <si>
    <t>SALAIRE NET IMPOSABLE</t>
  </si>
  <si>
    <t>SALAIRE NET A PAYER</t>
  </si>
  <si>
    <r>
      <t>B</t>
    </r>
    <r>
      <rPr>
        <b/>
        <sz val="36"/>
        <color theme="0"/>
        <rFont val="Calibri"/>
        <family val="2"/>
        <scheme val="minor"/>
      </rPr>
      <t>ULLETIN DE PAIE</t>
    </r>
  </si>
  <si>
    <r>
      <rPr>
        <b/>
        <sz val="16"/>
        <color theme="0"/>
        <rFont val="Calibri"/>
        <family val="2"/>
        <scheme val="minor"/>
      </rPr>
      <t>C</t>
    </r>
    <r>
      <rPr>
        <b/>
        <sz val="10"/>
        <color theme="0"/>
        <rFont val="Calibri"/>
        <family val="2"/>
        <scheme val="minor"/>
      </rPr>
      <t>ODE SALARI</t>
    </r>
    <r>
      <rPr>
        <b/>
        <sz val="10"/>
        <color theme="0"/>
        <rFont val="Calibri"/>
        <family val="2"/>
      </rPr>
      <t>É</t>
    </r>
  </si>
  <si>
    <t>CSG NON DÉDUCTIBLE</t>
  </si>
  <si>
    <t>CRDS NON DÉDUCTIBLE</t>
  </si>
  <si>
    <t>ASSURANCE VIEILLESSE (Déplafonnée)</t>
  </si>
  <si>
    <t>Taux horaire Brut</t>
  </si>
  <si>
    <t>AGS (Tranche A + Tranche B)</t>
  </si>
  <si>
    <r>
      <rPr>
        <b/>
        <sz val="14"/>
        <color theme="0"/>
        <rFont val="Calibri"/>
        <family val="2"/>
        <scheme val="minor"/>
      </rPr>
      <t xml:space="preserve">Tranches </t>
    </r>
    <r>
      <rPr>
        <b/>
        <sz val="10"/>
        <color theme="0"/>
        <rFont val="Calibri"/>
        <family val="2"/>
        <scheme val="minor"/>
      </rPr>
      <t xml:space="preserve">
de la sécurité sociale 
au 01/01/2018</t>
    </r>
  </si>
  <si>
    <t>Bulletin de paie
Nom du salarié</t>
  </si>
  <si>
    <t>A</t>
  </si>
  <si>
    <t>B</t>
  </si>
  <si>
    <t>C</t>
  </si>
  <si>
    <t>D</t>
  </si>
  <si>
    <t>E</t>
  </si>
  <si>
    <t>P</t>
  </si>
  <si>
    <t>T</t>
  </si>
  <si>
    <t>R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</si>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</sst>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F_-;\-* #,##0.00\ _F_-;_-* &quot;-&quot;??\ _F_-;_-@_-"/>
    <numFmt numFmtId="165" formatCode="_-* #\ ##0.00_ \€_-;\-* #\ ##0.00_ \€_-;_-* &quot;-&quot;??_ \€_-;_-@_-"/>
    <numFmt numFmtId="166" formatCode="#,##0.00\ &quot;€&quot;"/>
    <numFmt numFmtId="167" formatCode="#,##0\ &quot;€&quot;"/>
    <numFmt numFmtId="168" formatCode="0#"/>
  </numFmts>
  <fonts count="33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8"/>
      <name val="Calibri"/>
      <family val="2"/>
      <scheme val="minor"/>
    </font>
    <font>
      <b/>
      <sz val="26"/>
      <color theme="0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6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i/>
      <sz val="18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4"/>
      <color rgb="FF7030A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 (Corps)"/>
    </font>
    <font>
      <b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5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7" fontId="6" fillId="0" borderId="1" xfId="1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vertical="center"/>
    </xf>
    <xf numFmtId="0" fontId="18" fillId="3" borderId="1" xfId="0" applyFont="1" applyFill="1" applyBorder="1" applyAlignment="1">
      <alignment horizontal="center" vertical="center"/>
    </xf>
    <xf numFmtId="10" fontId="7" fillId="0" borderId="1" xfId="2" applyNumberFormat="1" applyFont="1" applyBorder="1" applyAlignment="1">
      <alignment vertical="center"/>
    </xf>
    <xf numFmtId="9" fontId="7" fillId="0" borderId="1" xfId="2" applyNumberFormat="1" applyFont="1" applyBorder="1" applyAlignment="1">
      <alignment vertical="center"/>
    </xf>
    <xf numFmtId="10" fontId="7" fillId="0" borderId="2" xfId="2" applyNumberFormat="1" applyFont="1" applyBorder="1" applyAlignment="1">
      <alignment vertical="center"/>
    </xf>
    <xf numFmtId="165" fontId="7" fillId="0" borderId="1" xfId="0" applyNumberFormat="1" applyFont="1" applyFill="1" applyBorder="1" applyAlignment="1">
      <alignment vertical="center"/>
    </xf>
    <xf numFmtId="165" fontId="16" fillId="0" borderId="6" xfId="0" applyNumberFormat="1" applyFont="1" applyFill="1" applyBorder="1" applyAlignment="1">
      <alignment vertical="center"/>
    </xf>
    <xf numFmtId="165" fontId="16" fillId="5" borderId="6" xfId="0" applyNumberFormat="1" applyFont="1" applyFill="1" applyBorder="1" applyAlignment="1">
      <alignment vertical="center"/>
    </xf>
    <xf numFmtId="165" fontId="16" fillId="5" borderId="12" xfId="0" applyNumberFormat="1" applyFont="1" applyFill="1" applyBorder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vertical="center"/>
    </xf>
    <xf numFmtId="0" fontId="19" fillId="9" borderId="7" xfId="0" applyFont="1" applyFill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vertical="center"/>
    </xf>
    <xf numFmtId="0" fontId="15" fillId="10" borderId="1" xfId="0" applyFont="1" applyFill="1" applyBorder="1" applyAlignment="1">
      <alignment vertical="center"/>
    </xf>
    <xf numFmtId="0" fontId="29" fillId="10" borderId="1" xfId="0" applyFont="1" applyFill="1" applyBorder="1" applyAlignment="1">
      <alignment horizontal="center" vertical="center" wrapText="1"/>
    </xf>
    <xf numFmtId="168" fontId="30" fillId="5" borderId="6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66" fontId="26" fillId="0" borderId="1" xfId="2" applyNumberFormat="1" applyFont="1" applyBorder="1" applyAlignment="1">
      <alignment vertical="center"/>
    </xf>
    <xf numFmtId="166" fontId="16" fillId="0" borderId="1" xfId="0" applyNumberFormat="1" applyFont="1" applyBorder="1" applyAlignment="1">
      <alignment vertical="center"/>
    </xf>
    <xf numFmtId="0" fontId="13" fillId="9" borderId="2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165" fontId="27" fillId="0" borderId="12" xfId="0" applyNumberFormat="1" applyFont="1" applyBorder="1" applyAlignment="1">
      <alignment horizontal="right" vertical="center"/>
    </xf>
    <xf numFmtId="165" fontId="27" fillId="0" borderId="4" xfId="0" applyNumberFormat="1" applyFont="1" applyBorder="1" applyAlignment="1">
      <alignment horizontal="right" vertical="center"/>
    </xf>
    <xf numFmtId="0" fontId="13" fillId="9" borderId="12" xfId="0" applyFont="1" applyFill="1" applyBorder="1" applyAlignment="1">
      <alignment horizontal="left" vertical="center"/>
    </xf>
    <xf numFmtId="0" fontId="13" fillId="9" borderId="3" xfId="0" applyFont="1" applyFill="1" applyBorder="1" applyAlignment="1">
      <alignment horizontal="left" vertical="center"/>
    </xf>
    <xf numFmtId="0" fontId="13" fillId="9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165" fontId="16" fillId="0" borderId="2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66" fontId="16" fillId="0" borderId="8" xfId="0" applyNumberFormat="1" applyFont="1" applyBorder="1" applyAlignment="1">
      <alignment horizontal="right" vertical="center"/>
    </xf>
    <xf numFmtId="0" fontId="16" fillId="0" borderId="9" xfId="0" applyFont="1" applyBorder="1" applyAlignment="1">
      <alignment horizontal="right" vertical="center"/>
    </xf>
    <xf numFmtId="0" fontId="22" fillId="9" borderId="12" xfId="0" applyFont="1" applyFill="1" applyBorder="1" applyAlignment="1">
      <alignment horizontal="center" vertical="center"/>
    </xf>
    <xf numFmtId="0" fontId="22" fillId="9" borderId="3" xfId="0" applyFont="1" applyFill="1" applyBorder="1" applyAlignment="1">
      <alignment horizontal="center" vertical="center"/>
    </xf>
    <xf numFmtId="0" fontId="22" fillId="9" borderId="4" xfId="0" applyFont="1" applyFill="1" applyBorder="1" applyAlignment="1">
      <alignment horizontal="center" vertical="center"/>
    </xf>
    <xf numFmtId="0" fontId="25" fillId="9" borderId="8" xfId="0" applyFont="1" applyFill="1" applyBorder="1" applyAlignment="1">
      <alignment horizontal="right" vertical="center"/>
    </xf>
    <xf numFmtId="0" fontId="25" fillId="9" borderId="9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center" vertical="center"/>
    </xf>
    <xf numFmtId="0" fontId="17" fillId="9" borderId="12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 vertical="center"/>
    </xf>
    <xf numFmtId="0" fontId="17" fillId="9" borderId="4" xfId="0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/>
    </xf>
    <xf numFmtId="0" fontId="19" fillId="9" borderId="13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5" fillId="9" borderId="18" xfId="0" applyFont="1" applyFill="1" applyBorder="1" applyAlignment="1">
      <alignment horizontal="center" vertical="center"/>
    </xf>
    <xf numFmtId="0" fontId="25" fillId="9" borderId="19" xfId="0" applyFont="1" applyFill="1" applyBorder="1" applyAlignment="1">
      <alignment horizontal="center" vertical="center"/>
    </xf>
    <xf numFmtId="0" fontId="25" fillId="9" borderId="20" xfId="0" applyFont="1" applyFill="1" applyBorder="1" applyAlignment="1">
      <alignment horizontal="center" vertical="center"/>
    </xf>
    <xf numFmtId="0" fontId="25" fillId="9" borderId="21" xfId="0" applyFont="1" applyFill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31" fillId="6" borderId="25" xfId="0" applyFont="1" applyFill="1" applyBorder="1" applyAlignment="1">
      <alignment horizontal="center" vertical="center"/>
    </xf>
    <xf numFmtId="0" fontId="32" fillId="6" borderId="4" xfId="0" applyFont="1" applyFill="1" applyBorder="1" applyAlignment="1">
      <alignment horizontal="center" vertical="center"/>
    </xf>
    <xf numFmtId="10" fontId="26" fillId="0" borderId="1" xfId="2" applyNumberFormat="1" applyFont="1" applyBorder="1" applyAlignment="1">
      <alignment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857250</xdr:colOff>
      <xdr:row>18</xdr:row>
      <xdr:rowOff>301626</xdr:rowOff>
    </xdr:from>
    <xdr:to>
      <xdr:col>9</xdr:col>
      <xdr:colOff>111125</xdr:colOff>
      <xdr:row>22</xdr:row>
      <xdr:rowOff>190499</xdr:rowOff>
    </xdr:to>
    <xdr:sp macro="" textlink="">
      <xdr:nvSpPr>
        <xdr:cNvPr id="2" name="Rectangle 1"/>
        <xdr:cNvSpPr/>
      </xdr:nvSpPr>
      <xdr:spPr>
        <a:xfrm>
          <a:off x="11834813" y="6016626"/>
          <a:ext cx="3075781" cy="11509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Montant</a:t>
          </a:r>
          <a:r>
            <a:rPr lang="fr-FR" sz="1600" baseline="0"/>
            <a:t> URSSAF : A21:A29</a:t>
          </a:r>
        </a:p>
        <a:p>
          <a:pPr algn="l"/>
          <a:r>
            <a:rPr lang="fr-FR" sz="1600" baseline="0"/>
            <a:t>Montant UNEDIC : A30:A31</a:t>
          </a:r>
        </a:p>
        <a:p>
          <a:pPr algn="l"/>
          <a:r>
            <a:rPr lang="fr-FR" sz="1600" baseline="0"/>
            <a:t>Montant Caisse de retraite : A32:A36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1422400</xdr:colOff>
      <xdr:row>10</xdr:row>
      <xdr:rowOff>139700</xdr:rowOff>
    </xdr:from>
    <xdr:to>
      <xdr:col>2</xdr:col>
      <xdr:colOff>165100</xdr:colOff>
      <xdr:row>16</xdr:row>
      <xdr:rowOff>114300</xdr:rowOff>
    </xdr:to>
    <xdr:sp macro="" textlink="">
      <xdr:nvSpPr>
        <xdr:cNvPr id="2" name="Rectangle 1"/>
        <xdr:cNvSpPr/>
      </xdr:nvSpPr>
      <xdr:spPr>
        <a:xfrm>
          <a:off x="1422400" y="3352800"/>
          <a:ext cx="3111500" cy="1041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1524000</xdr:colOff>
      <xdr:row>11</xdr:row>
      <xdr:rowOff>38100</xdr:rowOff>
    </xdr:from>
    <xdr:to>
      <xdr:col>2</xdr:col>
      <xdr:colOff>185802</xdr:colOff>
      <xdr:row>16</xdr:row>
      <xdr:rowOff>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3429000"/>
          <a:ext cx="3030602" cy="850900"/>
        </a:xfrm>
        <a:prstGeom prst="rect">
          <a:avLst/>
        </a:prstGeom>
      </xdr:spPr>
    </xdr:pic>
    <xdr:clientData/>
  </xdr:twoCellAnchor>
  <xdr:twoCellAnchor>
    <xdr:from>
      <xdr:col>2</xdr:col>
      <xdr:colOff>1397000</xdr:colOff>
      <xdr:row>11</xdr:row>
      <xdr:rowOff>38099</xdr:rowOff>
    </xdr:from>
    <xdr:to>
      <xdr:col>5</xdr:col>
      <xdr:colOff>660400</xdr:colOff>
      <xdr:row>18</xdr:row>
      <xdr:rowOff>114299</xdr:rowOff>
    </xdr:to>
    <xdr:sp macro="" textlink="">
      <xdr:nvSpPr>
        <xdr:cNvPr id="4" name="Rectangle 3"/>
        <xdr:cNvSpPr/>
      </xdr:nvSpPr>
      <xdr:spPr>
        <a:xfrm>
          <a:off x="5216525" y="3381374"/>
          <a:ext cx="5216525" cy="1209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Taux de prélèvement URSSAF</a:t>
          </a:r>
          <a:r>
            <a:rPr lang="fr-FR" sz="1100" baseline="0"/>
            <a:t> = montant cotisations Salariales ou Patronales/Salaire BRUT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Taux de prélèvement UNEDIC</a:t>
          </a:r>
          <a:r>
            <a:rPr lang="fr-FR" sz="1100" baseline="0"/>
            <a:t>= = montant cotisations Salariales ou Patronales/Salaire BRUT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Taux de prélèvement Caisse de retraite</a:t>
          </a:r>
          <a:r>
            <a:rPr lang="fr-FR" sz="1100" baseline="0"/>
            <a:t>= = montant cotisations Salariales ou Patronales/Salaire BRUT</a:t>
          </a:r>
          <a:endParaRPr lang="fr-FR" sz="1100"/>
        </a:p>
      </xdr:txBody>
    </xdr:sp>
    <xdr:clientData/>
  </xdr:twoCellAnchor>
  <xdr:twoCellAnchor>
    <xdr:from>
      <xdr:col>6</xdr:col>
      <xdr:colOff>444500</xdr:colOff>
      <xdr:row>2</xdr:row>
      <xdr:rowOff>177800</xdr:rowOff>
    </xdr:from>
    <xdr:to>
      <xdr:col>7</xdr:col>
      <xdr:colOff>520700</xdr:colOff>
      <xdr:row>2</xdr:row>
      <xdr:rowOff>546100</xdr:rowOff>
    </xdr:to>
    <xdr:sp macro="" textlink="">
      <xdr:nvSpPr>
        <xdr:cNvPr id="5" name="Rectangle 4"/>
        <xdr:cNvSpPr/>
      </xdr:nvSpPr>
      <xdr:spPr>
        <a:xfrm>
          <a:off x="13893800" y="914400"/>
          <a:ext cx="901700" cy="368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salarié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25400</xdr:colOff>
      <xdr:row>1</xdr:row>
      <xdr:rowOff>0</xdr:rowOff>
    </xdr:from>
    <xdr:to>
      <xdr:col>6</xdr:col>
      <xdr:colOff>431800</xdr:colOff>
      <xdr:row>2</xdr:row>
      <xdr:rowOff>190500</xdr:rowOff>
    </xdr:to>
    <xdr:cxnSp macro="">
      <xdr:nvCxnSpPr>
        <xdr:cNvPr id="7" name="Connecteur droit avec flèche 6"/>
        <xdr:cNvCxnSpPr/>
      </xdr:nvCxnSpPr>
      <xdr:spPr>
        <a:xfrm flipH="1" flipV="1">
          <a:off x="13474700" y="558800"/>
          <a:ext cx="406400" cy="368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opLeftCell="A18" zoomScale="80" workbookViewId="0">
      <selection activeCell="C29" sqref="C29"/>
    </sheetView>
  </sheetViews>
  <sheetFormatPr baseColWidth="10" defaultColWidth="19.140625" defaultRowHeight="15.75"/>
  <cols>
    <col min="1" max="1" width="47.28515625" style="3" bestFit="1" customWidth="1"/>
    <col min="2" max="2" width="22.42578125" style="3" customWidth="1"/>
    <col min="3" max="5" width="23.85546875" style="3" customWidth="1"/>
    <col min="6" max="6" width="23" style="3" customWidth="1"/>
    <col min="7" max="16384" width="19.140625" style="3"/>
  </cols>
  <sheetData>
    <row r="1" spans="1:7" ht="54" customHeight="1" thickBot="1">
      <c r="A1" s="72" t="s">
        <v>60</v>
      </c>
      <c r="B1" s="73"/>
      <c r="C1" s="73"/>
      <c r="D1" s="73"/>
      <c r="E1" s="73"/>
      <c r="F1" s="74"/>
    </row>
    <row r="2" spans="1:7">
      <c r="A2" s="77"/>
      <c r="B2" s="77"/>
      <c r="C2" s="77"/>
      <c r="D2" s="77"/>
      <c r="E2" s="77"/>
      <c r="F2" s="77"/>
    </row>
    <row r="3" spans="1:7" ht="24" customHeight="1">
      <c r="A3" s="75" t="s">
        <v>0</v>
      </c>
      <c r="B3" s="76"/>
      <c r="C3" s="78">
        <f ca="1">TODAY()</f>
        <v>43166</v>
      </c>
      <c r="D3" s="77"/>
      <c r="E3" s="77"/>
      <c r="F3" s="77"/>
    </row>
    <row r="4" spans="1:7" ht="20.25" customHeight="1" thickBot="1">
      <c r="A4" s="93"/>
      <c r="B4" s="93"/>
      <c r="C4" s="93"/>
      <c r="D4" s="93"/>
      <c r="E4" s="93"/>
      <c r="F4" s="93"/>
    </row>
    <row r="5" spans="1:7" ht="25.5" customHeight="1" thickBot="1">
      <c r="A5" s="36" t="s">
        <v>61</v>
      </c>
      <c r="B5" s="44">
        <v>1</v>
      </c>
      <c r="C5" s="94" t="s">
        <v>4</v>
      </c>
      <c r="D5" s="95"/>
      <c r="E5" s="79" t="str">
        <f>VLOOKUP(B5,'Liste des salariés'!A4:H9,4)</f>
        <v>Rue Grande</v>
      </c>
      <c r="F5" s="80"/>
    </row>
    <row r="6" spans="1:7" ht="30" customHeight="1" thickBot="1">
      <c r="A6" s="23" t="s">
        <v>2</v>
      </c>
      <c r="B6" s="45" t="str">
        <f>VLOOKUP(B5,'Liste des salariés'!A4:H9,2)</f>
        <v>A</v>
      </c>
      <c r="C6" s="96"/>
      <c r="D6" s="97"/>
      <c r="E6" s="81"/>
      <c r="F6" s="82"/>
    </row>
    <row r="7" spans="1:7" ht="30" customHeight="1" thickBot="1">
      <c r="A7" s="24" t="s">
        <v>3</v>
      </c>
      <c r="B7" s="45" t="str">
        <f>VLOOKUP(B5,'Liste des salariés'!A5:H10,3)</f>
        <v>P</v>
      </c>
      <c r="C7" s="88" t="s">
        <v>5</v>
      </c>
      <c r="D7" s="89"/>
      <c r="E7" s="90" t="str">
        <f>VLOOKUP(B5,'Liste des salariés'!A4:H9,5)</f>
        <v>Commercial</v>
      </c>
      <c r="F7" s="91"/>
    </row>
    <row r="8" spans="1:7" ht="15" customHeight="1" thickBot="1">
      <c r="A8" s="4"/>
      <c r="B8" s="5"/>
      <c r="C8" s="5"/>
      <c r="D8" s="5"/>
      <c r="E8" s="5"/>
      <c r="F8" s="5"/>
    </row>
    <row r="9" spans="1:7" ht="29.25" customHeight="1" thickBot="1">
      <c r="A9" s="85" t="s">
        <v>36</v>
      </c>
      <c r="B9" s="86"/>
      <c r="C9" s="86"/>
      <c r="D9" s="86"/>
      <c r="E9" s="86"/>
      <c r="F9" s="87"/>
    </row>
    <row r="10" spans="1:7">
      <c r="A10" s="50"/>
      <c r="B10" s="50"/>
      <c r="C10" s="50"/>
      <c r="D10" s="50"/>
      <c r="E10" s="50"/>
      <c r="F10" s="50"/>
    </row>
    <row r="11" spans="1:7" ht="21.75" customHeight="1">
      <c r="C11" s="92" t="s">
        <v>65</v>
      </c>
      <c r="D11" s="92"/>
      <c r="E11" s="92" t="s">
        <v>7</v>
      </c>
      <c r="F11" s="92"/>
    </row>
    <row r="12" spans="1:7" ht="26.25" customHeight="1">
      <c r="A12" s="67" t="s">
        <v>8</v>
      </c>
      <c r="B12" s="69"/>
      <c r="C12" s="83">
        <f>VLOOKUP(B5,Matrice,7)*9.88</f>
        <v>14.82</v>
      </c>
      <c r="D12" s="84"/>
      <c r="E12" s="70">
        <f>C12*'Liste des salariés'!D1</f>
        <v>2247.6999999999998</v>
      </c>
      <c r="F12" s="71"/>
    </row>
    <row r="13" spans="1:7" ht="26.25" customHeight="1">
      <c r="A13" s="67" t="s">
        <v>48</v>
      </c>
      <c r="B13" s="68"/>
      <c r="C13" s="68"/>
      <c r="D13" s="69"/>
      <c r="E13" s="70">
        <f>C12*IF(VLOOKUP(B5,Matrice,6)-151.67&lt;8,(VLOOKUP(B5,Matrice,6)-151.67)*1.25,8*1.25+(VLOOKUP(B5,Matrice,6)-159.67)*1.5)</f>
        <v>162.87180000000055</v>
      </c>
      <c r="F13" s="71"/>
    </row>
    <row r="14" spans="1:7" ht="26.25" customHeight="1" thickBot="1">
      <c r="A14" s="64" t="s">
        <v>9</v>
      </c>
      <c r="B14" s="64"/>
      <c r="C14" s="64"/>
      <c r="D14" s="65"/>
      <c r="E14" s="66">
        <f>IF(AND(VLOOKUP(B5,Matrice,5)="Commercial",VLOOKUP(B5,Matrice,8)&gt;100000),VLOOKUP(B5,Matrice,8)*0.25%,0)</f>
        <v>3055</v>
      </c>
      <c r="F14" s="66"/>
    </row>
    <row r="15" spans="1:7" ht="30.75" customHeight="1" thickBot="1">
      <c r="A15" s="61" t="s">
        <v>1</v>
      </c>
      <c r="B15" s="62"/>
      <c r="C15" s="62"/>
      <c r="D15" s="63"/>
      <c r="E15" s="59">
        <f>SUM(E12:F14)</f>
        <v>5465.5717999999997</v>
      </c>
      <c r="F15" s="60"/>
    </row>
    <row r="16" spans="1:7" ht="16.5" thickBot="1">
      <c r="A16" s="50"/>
      <c r="B16" s="50"/>
      <c r="C16" s="50"/>
      <c r="D16" s="50"/>
      <c r="E16" s="50"/>
      <c r="F16" s="50"/>
      <c r="G16" s="8"/>
    </row>
    <row r="17" spans="1:8" ht="25.5" customHeight="1" thickBot="1">
      <c r="A17" s="56" t="s">
        <v>35</v>
      </c>
      <c r="B17" s="57"/>
      <c r="C17" s="57"/>
      <c r="D17" s="57"/>
      <c r="E17" s="57"/>
      <c r="F17" s="58"/>
    </row>
    <row r="18" spans="1:8">
      <c r="A18" s="50"/>
      <c r="B18" s="50"/>
      <c r="C18" s="50"/>
      <c r="D18" s="50"/>
      <c r="E18" s="50"/>
      <c r="F18" s="50"/>
    </row>
    <row r="19" spans="1:8" ht="27.75" customHeight="1">
      <c r="B19" s="51" t="s">
        <v>41</v>
      </c>
      <c r="C19" s="53" t="s">
        <v>39</v>
      </c>
      <c r="D19" s="53"/>
      <c r="E19" s="53" t="s">
        <v>38</v>
      </c>
      <c r="F19" s="53"/>
    </row>
    <row r="20" spans="1:8" ht="26.25" customHeight="1">
      <c r="B20" s="52"/>
      <c r="C20" s="38" t="s">
        <v>6</v>
      </c>
      <c r="D20" s="38" t="s">
        <v>7</v>
      </c>
      <c r="E20" s="38" t="s">
        <v>6</v>
      </c>
      <c r="F20" s="38" t="s">
        <v>7</v>
      </c>
      <c r="H20" s="8"/>
    </row>
    <row r="21" spans="1:8" ht="22.5" customHeight="1">
      <c r="A21" s="7" t="s">
        <v>27</v>
      </c>
      <c r="B21" s="31">
        <f>SB*0.9825</f>
        <v>5369.9242935000002</v>
      </c>
      <c r="C21" s="28">
        <v>6.8000000000000005E-2</v>
      </c>
      <c r="D21" s="31">
        <f>B21*C21</f>
        <v>365.15485195800005</v>
      </c>
      <c r="E21" s="29">
        <v>0</v>
      </c>
      <c r="F21" s="31">
        <f>B21*E21</f>
        <v>0</v>
      </c>
    </row>
    <row r="22" spans="1:8" ht="22.5" customHeight="1">
      <c r="A22" s="7" t="s">
        <v>62</v>
      </c>
      <c r="B22" s="31">
        <f>SB*0.9825</f>
        <v>5369.9242935000002</v>
      </c>
      <c r="C22" s="28">
        <v>2.4E-2</v>
      </c>
      <c r="D22" s="31">
        <f t="shared" ref="D22:D36" si="0">B22*C22</f>
        <v>128.878183044</v>
      </c>
      <c r="E22" s="29">
        <v>0</v>
      </c>
      <c r="F22" s="31">
        <f t="shared" ref="F22:F36" si="1">B22*E22</f>
        <v>0</v>
      </c>
    </row>
    <row r="23" spans="1:8" ht="22.5" customHeight="1">
      <c r="A23" s="7" t="s">
        <v>63</v>
      </c>
      <c r="B23" s="31">
        <f>SB*0.9825</f>
        <v>5369.9242935000002</v>
      </c>
      <c r="C23" s="28">
        <v>5.0000000000000001E-3</v>
      </c>
      <c r="D23" s="31">
        <f t="shared" si="0"/>
        <v>26.8496214675</v>
      </c>
      <c r="E23" s="29">
        <v>0</v>
      </c>
      <c r="F23" s="31">
        <f t="shared" si="1"/>
        <v>0</v>
      </c>
    </row>
    <row r="24" spans="1:8" ht="22.5" customHeight="1">
      <c r="A24" s="7" t="s">
        <v>10</v>
      </c>
      <c r="B24" s="31">
        <f>SB*0.9825</f>
        <v>5369.9242935000002</v>
      </c>
      <c r="C24" s="28">
        <v>0</v>
      </c>
      <c r="D24" s="31">
        <f t="shared" si="0"/>
        <v>0</v>
      </c>
      <c r="E24" s="28">
        <v>0.13300000000000001</v>
      </c>
      <c r="F24" s="31">
        <f t="shared" si="1"/>
        <v>714.19993103550007</v>
      </c>
    </row>
    <row r="25" spans="1:8" ht="22.5" customHeight="1">
      <c r="A25" s="7" t="s">
        <v>29</v>
      </c>
      <c r="B25" s="31">
        <f>IF(SB&gt;TA,TA*0.9825,SB*0.9825)</f>
        <v>3253.0575000000003</v>
      </c>
      <c r="C25" s="28">
        <v>6.9000000000000006E-2</v>
      </c>
      <c r="D25" s="31">
        <f t="shared" si="0"/>
        <v>224.46096750000004</v>
      </c>
      <c r="E25" s="28">
        <v>8.5500000000000007E-2</v>
      </c>
      <c r="F25" s="31">
        <f t="shared" si="1"/>
        <v>278.13641625000002</v>
      </c>
    </row>
    <row r="26" spans="1:8" ht="22.5" customHeight="1">
      <c r="A26" s="7" t="s">
        <v>64</v>
      </c>
      <c r="B26" s="31">
        <f>SB*0.9825</f>
        <v>5369.9242935000002</v>
      </c>
      <c r="C26" s="28">
        <v>4.0000000000000001E-3</v>
      </c>
      <c r="D26" s="31">
        <f t="shared" si="0"/>
        <v>21.479697174000002</v>
      </c>
      <c r="E26" s="28">
        <v>1.9E-2</v>
      </c>
      <c r="F26" s="31">
        <f t="shared" si="1"/>
        <v>102.0285615765</v>
      </c>
    </row>
    <row r="27" spans="1:8" ht="22.5" customHeight="1">
      <c r="A27" s="7" t="s">
        <v>11</v>
      </c>
      <c r="B27" s="31">
        <f>SB*0.9825</f>
        <v>5369.9242935000002</v>
      </c>
      <c r="C27" s="29">
        <v>0</v>
      </c>
      <c r="D27" s="31">
        <f t="shared" si="0"/>
        <v>0</v>
      </c>
      <c r="E27" s="28">
        <v>3.4500000000000003E-2</v>
      </c>
      <c r="F27" s="31">
        <f t="shared" si="1"/>
        <v>185.26238812575002</v>
      </c>
    </row>
    <row r="28" spans="1:8" ht="22.5" customHeight="1">
      <c r="A28" s="7" t="s">
        <v>12</v>
      </c>
      <c r="B28" s="31">
        <f>SB*0.9825</f>
        <v>5369.9242935000002</v>
      </c>
      <c r="C28" s="29">
        <v>0</v>
      </c>
      <c r="D28" s="31">
        <f t="shared" si="0"/>
        <v>0</v>
      </c>
      <c r="E28" s="28">
        <v>1.7999999999999999E-2</v>
      </c>
      <c r="F28" s="31">
        <f t="shared" si="1"/>
        <v>96.65863728299999</v>
      </c>
    </row>
    <row r="29" spans="1:8" ht="22.5" customHeight="1">
      <c r="A29" s="6" t="s">
        <v>28</v>
      </c>
      <c r="B29" s="31">
        <f>IF(SB&gt;TA,TA*0.9825,SB*0.9825)</f>
        <v>3253.0575000000003</v>
      </c>
      <c r="C29" s="29">
        <v>0</v>
      </c>
      <c r="D29" s="31">
        <f t="shared" si="0"/>
        <v>0</v>
      </c>
      <c r="E29" s="30">
        <v>1E-3</v>
      </c>
      <c r="F29" s="31">
        <f t="shared" si="1"/>
        <v>3.2530575000000006</v>
      </c>
    </row>
    <row r="30" spans="1:8" ht="22.5" customHeight="1">
      <c r="A30" s="6" t="s">
        <v>56</v>
      </c>
      <c r="B30" s="31">
        <f>IF(SB&gt;TB,TB*0.9825,SB*0.9825)</f>
        <v>5369.9242935000002</v>
      </c>
      <c r="C30" s="30">
        <v>9.4999999999999998E-3</v>
      </c>
      <c r="D30" s="31">
        <f t="shared" si="0"/>
        <v>51.014280788249998</v>
      </c>
      <c r="E30" s="30">
        <v>4.0500000000000001E-2</v>
      </c>
      <c r="F30" s="31">
        <f t="shared" si="1"/>
        <v>217.48193388675003</v>
      </c>
    </row>
    <row r="31" spans="1:8" ht="22.5" customHeight="1">
      <c r="A31" s="6" t="s">
        <v>66</v>
      </c>
      <c r="B31" s="31">
        <f>IF(SB&gt;TB,TB*0.9825,SB*0.9825)</f>
        <v>5369.9242935000002</v>
      </c>
      <c r="C31" s="29">
        <v>0</v>
      </c>
      <c r="D31" s="31">
        <f t="shared" si="0"/>
        <v>0</v>
      </c>
      <c r="E31" s="30">
        <v>1.5E-3</v>
      </c>
      <c r="F31" s="31">
        <f t="shared" si="1"/>
        <v>8.0548864402499998</v>
      </c>
    </row>
    <row r="32" spans="1:8" ht="22.5" customHeight="1">
      <c r="A32" s="7" t="s">
        <v>30</v>
      </c>
      <c r="B32" s="31">
        <f>IF(SB&gt;TA,TA*0.9825,SB*0.9825)</f>
        <v>3253.0575000000003</v>
      </c>
      <c r="C32" s="28">
        <v>3.1E-2</v>
      </c>
      <c r="D32" s="31">
        <f t="shared" si="0"/>
        <v>100.84478250000001</v>
      </c>
      <c r="E32" s="28">
        <v>4.65E-2</v>
      </c>
      <c r="F32" s="31">
        <f t="shared" si="1"/>
        <v>151.26717375000001</v>
      </c>
      <c r="H32" s="27" t="s">
        <v>57</v>
      </c>
    </row>
    <row r="33" spans="1:8" ht="22.5" customHeight="1">
      <c r="A33" s="7" t="s">
        <v>31</v>
      </c>
      <c r="B33" s="31">
        <f>IF(AND(SB&gt;TA,SB&lt;TB),(SB-TA)*0.9825,TB*0.9825)</f>
        <v>2116.8667934999999</v>
      </c>
      <c r="C33" s="28">
        <v>7.8E-2</v>
      </c>
      <c r="D33" s="31">
        <f t="shared" si="0"/>
        <v>165.115609893</v>
      </c>
      <c r="E33" s="28">
        <v>0.1275</v>
      </c>
      <c r="F33" s="31">
        <f t="shared" si="1"/>
        <v>269.90051617124999</v>
      </c>
      <c r="H33" s="10">
        <f>SUM(B32:B34)</f>
        <v>5369.9242935000002</v>
      </c>
    </row>
    <row r="34" spans="1:8" ht="22.5" customHeight="1">
      <c r="A34" s="7" t="s">
        <v>32</v>
      </c>
      <c r="B34" s="31">
        <f>IF(SB&gt;TB,(SB-TB)*0.9825,0)</f>
        <v>0</v>
      </c>
      <c r="C34" s="28">
        <v>8.3599999999999994E-2</v>
      </c>
      <c r="D34" s="31">
        <f t="shared" si="0"/>
        <v>0</v>
      </c>
      <c r="E34" s="28">
        <v>0.12189999999999999</v>
      </c>
      <c r="F34" s="31">
        <f t="shared" si="1"/>
        <v>0</v>
      </c>
    </row>
    <row r="35" spans="1:8" ht="22.5" customHeight="1">
      <c r="A35" s="7" t="s">
        <v>33</v>
      </c>
      <c r="B35" s="31">
        <f>IF(SB&gt;TA,TA*0.9825,SB*0.9825)</f>
        <v>3253.0575000000003</v>
      </c>
      <c r="C35" s="28">
        <v>8.0000000000000002E-3</v>
      </c>
      <c r="D35" s="31">
        <f t="shared" si="0"/>
        <v>26.024460000000005</v>
      </c>
      <c r="E35" s="28">
        <v>1.2E-2</v>
      </c>
      <c r="F35" s="31">
        <f t="shared" si="1"/>
        <v>39.036690000000007</v>
      </c>
    </row>
    <row r="36" spans="1:8" ht="22.5" customHeight="1" thickBot="1">
      <c r="A36" s="7" t="s">
        <v>34</v>
      </c>
      <c r="B36" s="31">
        <f>IF(AND(SB&gt;TA,SB&lt;TB),(SB-TA)*0.9825,TB*0.9825)</f>
        <v>2116.8667934999999</v>
      </c>
      <c r="C36" s="28">
        <v>8.9999999999999993E-3</v>
      </c>
      <c r="D36" s="31">
        <f t="shared" si="0"/>
        <v>19.051801141499997</v>
      </c>
      <c r="E36" s="28">
        <v>1.2999999999999999E-2</v>
      </c>
      <c r="F36" s="31">
        <f t="shared" si="1"/>
        <v>27.519268315499996</v>
      </c>
    </row>
    <row r="37" spans="1:8" ht="23.25" customHeight="1" thickBot="1">
      <c r="A37" s="54" t="s">
        <v>40</v>
      </c>
      <c r="B37" s="54"/>
      <c r="C37" s="55"/>
      <c r="D37" s="32">
        <f>SUM(D21:D36)</f>
        <v>1128.8742554662501</v>
      </c>
      <c r="E37" s="37"/>
      <c r="F37" s="32">
        <f>SUM(F21:F36)</f>
        <v>2092.7994603345001</v>
      </c>
    </row>
    <row r="38" spans="1:8" ht="16.5" thickBot="1">
      <c r="A38" s="50"/>
      <c r="B38" s="50"/>
      <c r="C38" s="50"/>
      <c r="D38" s="50"/>
      <c r="E38" s="50"/>
      <c r="F38" s="50"/>
    </row>
    <row r="39" spans="1:8" ht="24" customHeight="1" thickBot="1">
      <c r="A39" s="48" t="s">
        <v>59</v>
      </c>
      <c r="B39" s="49"/>
      <c r="C39" s="34">
        <f>SB-D37</f>
        <v>4336.6975445337494</v>
      </c>
      <c r="D39" s="48" t="s">
        <v>58</v>
      </c>
      <c r="E39" s="49"/>
      <c r="F39" s="33">
        <f>SNP+D22+D23</f>
        <v>4492.4253490452493</v>
      </c>
    </row>
  </sheetData>
  <mergeCells count="32">
    <mergeCell ref="A1:F1"/>
    <mergeCell ref="A3:B3"/>
    <mergeCell ref="A2:F2"/>
    <mergeCell ref="C3:F3"/>
    <mergeCell ref="E12:F12"/>
    <mergeCell ref="E5:F6"/>
    <mergeCell ref="C12:D12"/>
    <mergeCell ref="A9:F9"/>
    <mergeCell ref="C7:D7"/>
    <mergeCell ref="E7:F7"/>
    <mergeCell ref="C11:D11"/>
    <mergeCell ref="E11:F11"/>
    <mergeCell ref="A12:B12"/>
    <mergeCell ref="A4:F4"/>
    <mergeCell ref="C5:D6"/>
    <mergeCell ref="A16:F16"/>
    <mergeCell ref="A17:F17"/>
    <mergeCell ref="E15:F15"/>
    <mergeCell ref="A10:F10"/>
    <mergeCell ref="A15:D15"/>
    <mergeCell ref="A14:D14"/>
    <mergeCell ref="E14:F14"/>
    <mergeCell ref="A13:D13"/>
    <mergeCell ref="E13:F13"/>
    <mergeCell ref="A39:B39"/>
    <mergeCell ref="D39:E39"/>
    <mergeCell ref="A18:F18"/>
    <mergeCell ref="B19:B20"/>
    <mergeCell ref="C19:D19"/>
    <mergeCell ref="E19:F19"/>
    <mergeCell ref="A37:C37"/>
    <mergeCell ref="A38:F38"/>
  </mergeCells>
  <phoneticPr fontId="0" type="noConversion"/>
  <printOptions horizontalCentered="1" verticalCentered="1" headings="1"/>
  <pageMargins left="0.5" right="0.63" top="0.85" bottom="0.83" header="0.51181102362204722" footer="0.51181102362204722"/>
  <pageSetup paperSize="9" scale="8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salariés'!$A$5:$A$9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H9" sqref="H9"/>
    </sheetView>
  </sheetViews>
  <sheetFormatPr baseColWidth="10" defaultColWidth="10.85546875" defaultRowHeight="26.25" customHeight="1"/>
  <cols>
    <col min="1" max="1" width="10.85546875" style="12" customWidth="1"/>
    <col min="2" max="2" width="14.85546875" style="12" customWidth="1"/>
    <col min="3" max="3" width="12.28515625" style="12" customWidth="1"/>
    <col min="4" max="4" width="17.42578125" style="12" customWidth="1"/>
    <col min="5" max="5" width="18.85546875" style="12" customWidth="1"/>
    <col min="6" max="6" width="21.140625" style="12" customWidth="1"/>
    <col min="7" max="7" width="17.140625" style="12" customWidth="1"/>
    <col min="8" max="8" width="18.85546875" style="12" customWidth="1"/>
    <col min="9" max="16384" width="10.85546875" style="12"/>
  </cols>
  <sheetData>
    <row r="1" spans="1:8" ht="26.25" customHeight="1">
      <c r="A1" s="98" t="s">
        <v>49</v>
      </c>
      <c r="B1" s="98"/>
      <c r="C1" s="98"/>
      <c r="D1" s="20">
        <f>52*35/12</f>
        <v>151.66666666666666</v>
      </c>
      <c r="F1" s="99" t="s">
        <v>67</v>
      </c>
      <c r="G1" s="18" t="s">
        <v>50</v>
      </c>
      <c r="H1" s="21">
        <v>3311</v>
      </c>
    </row>
    <row r="2" spans="1:8" ht="26.25" customHeight="1">
      <c r="A2" s="98" t="s">
        <v>52</v>
      </c>
      <c r="B2" s="98"/>
      <c r="C2" s="98"/>
      <c r="D2" s="19">
        <v>9.8800000000000008</v>
      </c>
      <c r="F2" s="100"/>
      <c r="G2" s="18" t="s">
        <v>51</v>
      </c>
      <c r="H2" s="21">
        <f>H1*4</f>
        <v>13244</v>
      </c>
    </row>
    <row r="4" spans="1:8" s="11" customFormat="1" ht="48" customHeight="1">
      <c r="A4" s="39" t="s">
        <v>43</v>
      </c>
      <c r="B4" s="40" t="s">
        <v>2</v>
      </c>
      <c r="C4" s="40" t="s">
        <v>37</v>
      </c>
      <c r="D4" s="40" t="s">
        <v>13</v>
      </c>
      <c r="E4" s="40" t="s">
        <v>14</v>
      </c>
      <c r="F4" s="39" t="s">
        <v>53</v>
      </c>
      <c r="G4" s="39" t="s">
        <v>54</v>
      </c>
      <c r="H4" s="39" t="s">
        <v>42</v>
      </c>
    </row>
    <row r="5" spans="1:8" ht="26.25" customHeight="1">
      <c r="A5" s="15">
        <v>1</v>
      </c>
      <c r="B5" s="16" t="s">
        <v>69</v>
      </c>
      <c r="C5" s="2" t="s">
        <v>74</v>
      </c>
      <c r="D5" s="17" t="s">
        <v>15</v>
      </c>
      <c r="E5" s="9" t="s">
        <v>19</v>
      </c>
      <c r="F5" s="22">
        <v>160.33000000000001</v>
      </c>
      <c r="G5" s="25">
        <v>1.5</v>
      </c>
      <c r="H5" s="14">
        <v>1222000</v>
      </c>
    </row>
    <row r="6" spans="1:8" ht="26.25" customHeight="1">
      <c r="A6" s="15">
        <v>2</v>
      </c>
      <c r="B6" s="16" t="s">
        <v>70</v>
      </c>
      <c r="C6" s="2" t="s">
        <v>75</v>
      </c>
      <c r="D6" s="17" t="s">
        <v>16</v>
      </c>
      <c r="E6" s="9" t="s">
        <v>20</v>
      </c>
      <c r="F6" s="22">
        <v>173.33</v>
      </c>
      <c r="G6" s="25">
        <v>8</v>
      </c>
      <c r="H6" s="13"/>
    </row>
    <row r="7" spans="1:8" ht="26.25" customHeight="1">
      <c r="A7" s="15">
        <v>3</v>
      </c>
      <c r="B7" s="16" t="s">
        <v>71</v>
      </c>
      <c r="C7" s="2" t="s">
        <v>71</v>
      </c>
      <c r="D7" s="17" t="s">
        <v>17</v>
      </c>
      <c r="E7" s="9" t="s">
        <v>21</v>
      </c>
      <c r="F7" s="22">
        <v>158.16999999999999</v>
      </c>
      <c r="G7" s="25">
        <v>2.5</v>
      </c>
      <c r="H7" s="13"/>
    </row>
    <row r="8" spans="1:8" ht="26.25" customHeight="1">
      <c r="A8" s="15">
        <v>4</v>
      </c>
      <c r="B8" s="16" t="s">
        <v>72</v>
      </c>
      <c r="C8" s="2" t="s">
        <v>76</v>
      </c>
      <c r="D8" s="17" t="s">
        <v>18</v>
      </c>
      <c r="E8" s="9" t="s">
        <v>22</v>
      </c>
      <c r="F8" s="25">
        <f>D1</f>
        <v>151.66666666666666</v>
      </c>
      <c r="G8" s="25">
        <v>3.5</v>
      </c>
      <c r="H8" s="13"/>
    </row>
    <row r="9" spans="1:8" ht="26.25" customHeight="1">
      <c r="A9" s="15">
        <v>5</v>
      </c>
      <c r="B9" s="16" t="s">
        <v>73</v>
      </c>
      <c r="C9" s="2" t="s">
        <v>77</v>
      </c>
      <c r="D9" s="17" t="s">
        <v>26</v>
      </c>
      <c r="E9" s="9" t="s">
        <v>19</v>
      </c>
      <c r="F9" s="25">
        <v>156</v>
      </c>
      <c r="G9" s="25">
        <v>1.5</v>
      </c>
      <c r="H9" s="14">
        <v>1118500</v>
      </c>
    </row>
  </sheetData>
  <mergeCells count="3">
    <mergeCell ref="A1:C1"/>
    <mergeCell ref="F1:F2"/>
    <mergeCell ref="A2:C2"/>
  </mergeCells>
  <phoneticPr fontId="0" type="noConversion"/>
  <printOptions headings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8" sqref="B8"/>
    </sheetView>
  </sheetViews>
  <sheetFormatPr baseColWidth="10" defaultColWidth="10.85546875" defaultRowHeight="12.75"/>
  <cols>
    <col min="1" max="1" width="28" style="1" customWidth="1"/>
    <col min="2" max="2" width="29.28515625" style="1" customWidth="1"/>
    <col min="3" max="3" width="30.42578125" style="1" customWidth="1"/>
    <col min="4" max="4" width="29" style="1" customWidth="1"/>
    <col min="5" max="6" width="29.85546875" style="1" customWidth="1"/>
    <col min="7" max="16384" width="10.85546875" style="1"/>
  </cols>
  <sheetData>
    <row r="1" spans="1:6" ht="44.25" customHeight="1" thickBot="1">
      <c r="A1" s="102" t="s">
        <v>45</v>
      </c>
      <c r="B1" s="103"/>
      <c r="C1" s="103"/>
      <c r="D1" s="43" t="s">
        <v>68</v>
      </c>
      <c r="E1" s="104" t="s">
        <v>71</v>
      </c>
      <c r="F1" s="105"/>
    </row>
    <row r="2" spans="1:6">
      <c r="A2" s="101"/>
      <c r="B2" s="101"/>
      <c r="C2" s="101"/>
      <c r="D2" s="101"/>
      <c r="E2" s="101"/>
      <c r="F2" s="101"/>
    </row>
    <row r="3" spans="1:6" ht="45" customHeight="1">
      <c r="B3" s="39" t="s">
        <v>46</v>
      </c>
      <c r="C3" s="39" t="s">
        <v>44</v>
      </c>
      <c r="D3" s="39" t="s">
        <v>47</v>
      </c>
      <c r="E3" s="39" t="s">
        <v>44</v>
      </c>
      <c r="F3" s="35" t="s">
        <v>23</v>
      </c>
    </row>
    <row r="4" spans="1:6" ht="26.25" customHeight="1">
      <c r="A4" s="42" t="s">
        <v>24</v>
      </c>
      <c r="B4" s="46">
        <f>SUM(URSSAF)</f>
        <v>766.82332114350004</v>
      </c>
      <c r="C4" s="106">
        <f>B4/SB</f>
        <v>0.14030065823003188</v>
      </c>
      <c r="D4" s="46">
        <f>SUM(URSSAF2)</f>
        <v>1379.53899177075</v>
      </c>
      <c r="E4" s="106">
        <f>D4/SB</f>
        <v>0.25240524546228632</v>
      </c>
      <c r="F4" s="46">
        <f>B4+D4</f>
        <v>2146.3623129142502</v>
      </c>
    </row>
    <row r="5" spans="1:6" ht="26.25" customHeight="1">
      <c r="A5" s="42" t="s">
        <v>55</v>
      </c>
      <c r="B5" s="46">
        <f>SUM(UNEDIC)</f>
        <v>51.014280788249998</v>
      </c>
      <c r="C5" s="106">
        <f>B5/SB</f>
        <v>9.33375E-3</v>
      </c>
      <c r="D5" s="46">
        <f>SUM(UNEDIC2)</f>
        <v>225.53682032700002</v>
      </c>
      <c r="E5" s="106">
        <f>D5/SB</f>
        <v>4.1265000000000003E-2</v>
      </c>
      <c r="F5" s="46">
        <f t="shared" ref="F5:F6" si="0">B5+D5</f>
        <v>276.55110111524999</v>
      </c>
    </row>
    <row r="6" spans="1:6" ht="26.25" customHeight="1">
      <c r="A6" s="42" t="s">
        <v>25</v>
      </c>
      <c r="B6" s="46">
        <f>SUM(CR)</f>
        <v>311.03665353449998</v>
      </c>
      <c r="C6" s="106">
        <f>B6/SB</f>
        <v>5.6908346448673493E-2</v>
      </c>
      <c r="D6" s="46">
        <f>SUM(CDR)</f>
        <v>487.72364823675002</v>
      </c>
      <c r="E6" s="106">
        <f>D6/SB</f>
        <v>8.9235612683150556E-2</v>
      </c>
      <c r="F6" s="46">
        <f t="shared" si="0"/>
        <v>798.76030177124994</v>
      </c>
    </row>
    <row r="7" spans="1:6" ht="30.75" customHeight="1">
      <c r="A7" s="41" t="s">
        <v>23</v>
      </c>
      <c r="B7" s="47">
        <f>SUM(B4:B6)</f>
        <v>1128.8742554662499</v>
      </c>
      <c r="C7" s="106">
        <f>B7/SB</f>
        <v>0.20654275467870534</v>
      </c>
      <c r="D7" s="47">
        <f>SUM(D4:D6)</f>
        <v>2092.7994603345001</v>
      </c>
      <c r="E7" s="106">
        <f>D7/SB</f>
        <v>0.38290585814543687</v>
      </c>
      <c r="F7" s="26">
        <f>SUM(F4:F6)</f>
        <v>3221.67371580075</v>
      </c>
    </row>
    <row r="9" spans="1:6" ht="14.1" customHeight="1"/>
  </sheetData>
  <mergeCells count="3">
    <mergeCell ref="A2:F2"/>
    <mergeCell ref="A1:C1"/>
    <mergeCell ref="E1:F1"/>
  </mergeCells>
  <phoneticPr fontId="0" type="noConversion"/>
  <printOptions headings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salariés'!$B$5:$B$9</xm:f>
          </x14:formula1>
          <xm:sqref>E1:F1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BULLETIN</vt:lpstr>
      <vt:lpstr>Liste des salariés</vt:lpstr>
      <vt:lpstr>Déclaration</vt:lpstr>
      <vt:lpstr>CDR</vt:lpstr>
      <vt:lpstr>CR</vt:lpstr>
      <vt:lpstr>Matrice</vt:lpstr>
      <vt:lpstr>SB</vt:lpstr>
      <vt:lpstr>SNI</vt:lpstr>
      <vt:lpstr>SNP</vt:lpstr>
      <vt:lpstr>TA</vt:lpstr>
      <vt:lpstr>TB</vt:lpstr>
      <vt:lpstr>UNEDIC</vt:lpstr>
      <vt:lpstr>UNEDIC2</vt:lpstr>
      <vt:lpstr>URSSAF</vt:lpstr>
      <vt:lpstr>URSSAF2</vt:lpstr>
    </vt:vector>
  </TitlesOfParts>
  <Company>FACULTE DE DROIT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UNIVERSITE F RABELAIS</dc:creator>
  <cp:lastModifiedBy>Jean-Eric Pelouas</cp:lastModifiedBy>
  <cp:lastPrinted>2003-12-03T17:18:12Z</cp:lastPrinted>
  <dcterms:created xsi:type="dcterms:W3CDTF">2002-03-04T12:43:00Z</dcterms:created>
  <dcterms:modified xsi:type="dcterms:W3CDTF">2018-03-07T20:28:25Z</dcterms:modified>
</cp:coreProperties>
</file>