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tables/table1.xml" ContentType="application/vnd.openxmlformats-officedocument.spreadsheetml.table+xml"/>
  <Override PartName="/xl/pivotTables/pivotTable1.xml" ContentType="application/vnd.openxmlformats-officedocument.spreadsheetml.pivotTable+xml"/>
  <Override PartName="/xl/drawings/drawing2.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pivotTables/pivotTable2.xml" ContentType="application/vnd.openxmlformats-officedocument.spreadsheetml.pivotTable+xml"/>
  <Override PartName="/xl/drawings/drawing3.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pivotTables/pivotTable3.xml" ContentType="application/vnd.openxmlformats-officedocument.spreadsheetml.pivotTable+xml"/>
  <Override PartName="/xl/drawings/drawing4.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5.xml" ContentType="application/vnd.openxmlformats-officedocument.drawing+xml"/>
  <Override PartName="/xl/comments1.xml" ContentType="application/vnd.openxmlformats-officedocument.spreadsheetml.comments+xml"/>
  <Override PartName="/xl/tables/table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06/relationships/ui/userCustomization" Target="userCustomization/customUI.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updateLinks="always" codeName="ThisWorkbook" defaultThemeVersion="124226"/>
  <mc:AlternateContent xmlns:mc="http://schemas.openxmlformats.org/markup-compatibility/2006">
    <mc:Choice Requires="x15">
      <x15ac:absPath xmlns:x15ac="http://schemas.microsoft.com/office/spreadsheetml/2010/11/ac" url="C:\Users\Jean-Eric\Downloads\"/>
    </mc:Choice>
  </mc:AlternateContent>
  <workbookProtection workbookAlgorithmName="SHA-512" workbookHashValue="PlgtlxmecSUtzWgekY6/RPJzgJ4JeohNmZ7gWoRdV0WsrKIpG5qTyMzL2CHSWxGFR8ORSvFldRCNwFA1heL8Rg==" workbookSaltValue="RnN/eyS8UPZoqIn/nZKp/w==" workbookSpinCount="100000" lockStructure="1"/>
  <bookViews>
    <workbookView xWindow="195" yWindow="60" windowWidth="10575" windowHeight="7680" tabRatio="798" firstSheet="1" activeTab="1"/>
  </bookViews>
  <sheets>
    <sheet name="Comptes" sheetId="1" state="hidden" r:id="rId1"/>
    <sheet name="Enregistrement des titres émis" sheetId="3" r:id="rId2"/>
    <sheet name="Analyse par compte" sheetId="10" r:id="rId3"/>
    <sheet name="Analyse par date" sheetId="11" r:id="rId4"/>
    <sheet name="Graphique" sheetId="13" r:id="rId5"/>
    <sheet name="Manuel d'utilisation" sheetId="16" r:id="rId6"/>
    <sheet name="Budget 2016 Rec" sheetId="15" state="hidden" r:id="rId7"/>
    <sheet name="Compte adm Rec" sheetId="7" state="hidden" r:id="rId8"/>
    <sheet name="Vue d'ensemble" sheetId="8" state="hidden" r:id="rId9"/>
    <sheet name="Rapprochement" sheetId="9" state="hidden" r:id="rId10"/>
  </sheets>
  <externalReferences>
    <externalReference r:id="rId11"/>
  </externalReferences>
  <definedNames>
    <definedName name="_xlnm._FilterDatabase" localSheetId="1" hidden="1">'Enregistrement des titres émis'!$A$2:$K$7</definedName>
    <definedName name="d.Compte">Tableau2[Compte]</definedName>
    <definedName name="d.Date">Tableau2[Date]</definedName>
    <definedName name="d.Libellés">Tableau2[Libellés]</definedName>
    <definedName name="d.Montant" localSheetId="1">Tableau2[Montant]</definedName>
    <definedName name="d.N_Compte" localSheetId="1">Tableau2[Compte]</definedName>
    <definedName name="_xlnm.Print_Titles" localSheetId="3">'Analyse par date'!$A:$A</definedName>
    <definedName name="_xlnm.Print_Titles" localSheetId="1">'Enregistrement des titres émis'!$2:$2</definedName>
    <definedName name="Liste">Comptes!$A$2:$B$1048576</definedName>
  </definedNames>
  <calcPr calcId="152511"/>
  <pivotCaches>
    <pivotCache cacheId="5" r:id="rId12"/>
  </pivotCaches>
</workbook>
</file>

<file path=xl/calcChain.xml><?xml version="1.0" encoding="utf-8"?>
<calcChain xmlns="http://schemas.openxmlformats.org/spreadsheetml/2006/main">
  <c r="A3" i="3" l="1"/>
  <c r="H1" i="3"/>
  <c r="F30" i="15" l="1"/>
  <c r="G61" i="7" l="1"/>
  <c r="F60" i="7"/>
  <c r="D60" i="7"/>
  <c r="E60" i="7"/>
  <c r="C60" i="7"/>
  <c r="E61" i="7"/>
  <c r="D58" i="7"/>
  <c r="B11" i="9"/>
  <c r="B9" i="9"/>
  <c r="B7" i="9"/>
  <c r="B2" i="9"/>
  <c r="B12" i="9"/>
  <c r="B10" i="9"/>
  <c r="B13" i="9"/>
  <c r="B5" i="9"/>
  <c r="B6" i="9"/>
  <c r="B3" i="9"/>
  <c r="B4" i="9"/>
  <c r="B8" i="9"/>
  <c r="F27" i="15" l="1"/>
  <c r="C59" i="7"/>
  <c r="C58" i="7" s="1"/>
  <c r="C51" i="7"/>
  <c r="C49" i="7"/>
  <c r="C48" i="7"/>
  <c r="C47" i="7"/>
  <c r="E36" i="7"/>
  <c r="E37" i="7"/>
  <c r="E41" i="7"/>
  <c r="E43" i="7"/>
  <c r="E44" i="7"/>
  <c r="C42" i="7"/>
  <c r="E42" i="7" s="1"/>
  <c r="C40" i="7"/>
  <c r="E40" i="7" s="1"/>
  <c r="C39" i="7"/>
  <c r="E39" i="7" s="1"/>
  <c r="C38" i="7"/>
  <c r="E38" i="7" s="1"/>
  <c r="C33" i="7"/>
  <c r="C32" i="7"/>
  <c r="C29" i="7"/>
  <c r="C27" i="7"/>
  <c r="E27" i="7" s="1"/>
  <c r="C26" i="7"/>
  <c r="E26" i="7" s="1"/>
  <c r="D25" i="7"/>
  <c r="D15" i="7"/>
  <c r="C21" i="7"/>
  <c r="C20" i="7"/>
  <c r="D19" i="7"/>
  <c r="C24" i="7"/>
  <c r="C23" i="7"/>
  <c r="C14" i="7"/>
  <c r="C7" i="7"/>
  <c r="F101" i="15"/>
  <c r="F100" i="15" s="1"/>
  <c r="D101" i="15"/>
  <c r="D100" i="15" s="1"/>
  <c r="D103" i="15" s="1"/>
  <c r="C100" i="15"/>
  <c r="E100" i="15"/>
  <c r="E103" i="15" s="1"/>
  <c r="F99" i="15"/>
  <c r="F98" i="15" s="1"/>
  <c r="E98" i="15"/>
  <c r="D98" i="15"/>
  <c r="C98" i="15"/>
  <c r="F273" i="15"/>
  <c r="F272" i="15" s="1"/>
  <c r="E272" i="15"/>
  <c r="D272" i="15"/>
  <c r="C272" i="15"/>
  <c r="F271" i="15"/>
  <c r="F270" i="15"/>
  <c r="F269" i="15" s="1"/>
  <c r="D270" i="15"/>
  <c r="D269" i="15" s="1"/>
  <c r="E269" i="15"/>
  <c r="C269" i="15"/>
  <c r="F267" i="15"/>
  <c r="F265" i="15" s="1"/>
  <c r="E265" i="15"/>
  <c r="D265" i="15"/>
  <c r="C265" i="15"/>
  <c r="F264" i="15"/>
  <c r="F262" i="15"/>
  <c r="F256" i="15"/>
  <c r="F253" i="15"/>
  <c r="E253" i="15"/>
  <c r="F252" i="15"/>
  <c r="E251" i="15"/>
  <c r="E250" i="15" s="1"/>
  <c r="F249" i="15"/>
  <c r="F242" i="15"/>
  <c r="E242" i="15"/>
  <c r="F241" i="15"/>
  <c r="F240" i="15" s="1"/>
  <c r="E240" i="15"/>
  <c r="E239" i="15"/>
  <c r="E238" i="15" s="1"/>
  <c r="F237" i="15"/>
  <c r="F236" i="15"/>
  <c r="F235" i="15"/>
  <c r="E234" i="15"/>
  <c r="F233" i="15"/>
  <c r="F232" i="15"/>
  <c r="F231" i="15" s="1"/>
  <c r="E231" i="15"/>
  <c r="F230" i="15"/>
  <c r="F229" i="15"/>
  <c r="E228" i="15"/>
  <c r="D227" i="15"/>
  <c r="C227" i="15"/>
  <c r="E226" i="15"/>
  <c r="F226" i="15" s="1"/>
  <c r="E224" i="15"/>
  <c r="F224" i="15" s="1"/>
  <c r="E222" i="15"/>
  <c r="F222" i="15" s="1"/>
  <c r="E211" i="15"/>
  <c r="F211" i="15" s="1"/>
  <c r="F210" i="15"/>
  <c r="F209" i="15"/>
  <c r="F207" i="15"/>
  <c r="E206" i="15"/>
  <c r="F206" i="15" s="1"/>
  <c r="E204" i="15"/>
  <c r="F204" i="15" s="1"/>
  <c r="E192" i="15"/>
  <c r="F192" i="15" s="1"/>
  <c r="F191" i="15"/>
  <c r="E190" i="15"/>
  <c r="F190" i="15" s="1"/>
  <c r="E189" i="15"/>
  <c r="F189" i="15" s="1"/>
  <c r="E188" i="15"/>
  <c r="F188" i="15" s="1"/>
  <c r="E186" i="15"/>
  <c r="F186" i="15" s="1"/>
  <c r="E185" i="15"/>
  <c r="D183" i="15"/>
  <c r="C183" i="15"/>
  <c r="F182" i="15"/>
  <c r="F179" i="15"/>
  <c r="F178" i="15" s="1"/>
  <c r="E178" i="15"/>
  <c r="D178" i="15"/>
  <c r="C178" i="15"/>
  <c r="F177" i="15"/>
  <c r="F176" i="15"/>
  <c r="F175" i="15"/>
  <c r="F172" i="15"/>
  <c r="F171" i="15"/>
  <c r="F170" i="15"/>
  <c r="F169" i="15"/>
  <c r="F168" i="15"/>
  <c r="F167" i="15"/>
  <c r="D167" i="15"/>
  <c r="D166" i="15" s="1"/>
  <c r="E166" i="15"/>
  <c r="C166" i="15"/>
  <c r="F165" i="15"/>
  <c r="F164" i="15" s="1"/>
  <c r="E164" i="15"/>
  <c r="D164" i="15"/>
  <c r="C164" i="15"/>
  <c r="E162" i="15"/>
  <c r="E160" i="15" s="1"/>
  <c r="F161" i="15"/>
  <c r="D160" i="15"/>
  <c r="C160" i="15"/>
  <c r="F158" i="15"/>
  <c r="F156" i="15"/>
  <c r="F155" i="15"/>
  <c r="F150" i="15"/>
  <c r="F148" i="15"/>
  <c r="F147" i="15"/>
  <c r="E146" i="15"/>
  <c r="F146" i="15" s="1"/>
  <c r="F144" i="15"/>
  <c r="D143" i="15"/>
  <c r="C143" i="15"/>
  <c r="F90" i="15"/>
  <c r="F89" i="15" s="1"/>
  <c r="E89" i="15"/>
  <c r="D89" i="15"/>
  <c r="C89" i="15"/>
  <c r="F87" i="15"/>
  <c r="F86" i="15"/>
  <c r="F85" i="15"/>
  <c r="E85" i="15"/>
  <c r="F84" i="15"/>
  <c r="F83" i="15"/>
  <c r="F82" i="15"/>
  <c r="F81" i="15"/>
  <c r="C46" i="7" s="1"/>
  <c r="E80" i="15"/>
  <c r="D80" i="15"/>
  <c r="C80" i="15"/>
  <c r="F79" i="15"/>
  <c r="F78" i="15"/>
  <c r="F77" i="15"/>
  <c r="F76" i="15"/>
  <c r="F75" i="15"/>
  <c r="F74" i="15"/>
  <c r="F73" i="15"/>
  <c r="F72" i="15"/>
  <c r="F71" i="15"/>
  <c r="E69" i="15"/>
  <c r="D69" i="15"/>
  <c r="C69" i="15"/>
  <c r="F62" i="15"/>
  <c r="F61" i="15"/>
  <c r="F60" i="15" s="1"/>
  <c r="E60" i="15"/>
  <c r="D60" i="15"/>
  <c r="C60" i="15"/>
  <c r="F57" i="15"/>
  <c r="F56" i="15"/>
  <c r="E56" i="15"/>
  <c r="D56" i="15"/>
  <c r="C56" i="15"/>
  <c r="F55" i="15"/>
  <c r="F54" i="15"/>
  <c r="E53" i="15"/>
  <c r="F52" i="15"/>
  <c r="F51" i="15"/>
  <c r="F50" i="15" s="1"/>
  <c r="E50" i="15"/>
  <c r="K49" i="15"/>
  <c r="K48" i="15"/>
  <c r="K47" i="15"/>
  <c r="K46" i="15"/>
  <c r="K45" i="15"/>
  <c r="K44" i="15"/>
  <c r="K43" i="15"/>
  <c r="K42" i="15"/>
  <c r="K41" i="15"/>
  <c r="K39" i="15"/>
  <c r="K38" i="15"/>
  <c r="K37" i="15"/>
  <c r="K36" i="15"/>
  <c r="K35" i="15"/>
  <c r="K34" i="15"/>
  <c r="K33" i="15"/>
  <c r="E30" i="15"/>
  <c r="D27" i="15"/>
  <c r="C27" i="15"/>
  <c r="F26" i="15"/>
  <c r="F25" i="15"/>
  <c r="F24" i="15"/>
  <c r="C13" i="7" s="1"/>
  <c r="E24" i="15"/>
  <c r="F23" i="15"/>
  <c r="E22" i="15"/>
  <c r="F22" i="15" s="1"/>
  <c r="C11" i="7" s="1"/>
  <c r="F21" i="15"/>
  <c r="F20" i="15"/>
  <c r="E19" i="15"/>
  <c r="F19" i="15" s="1"/>
  <c r="E18" i="15"/>
  <c r="F18" i="15" s="1"/>
  <c r="E17" i="15"/>
  <c r="F17" i="15" s="1"/>
  <c r="E16" i="15"/>
  <c r="F16" i="15" s="1"/>
  <c r="E15" i="15"/>
  <c r="F15" i="15" s="1"/>
  <c r="E14" i="15"/>
  <c r="F14" i="15" s="1"/>
  <c r="E13" i="15"/>
  <c r="D12" i="15"/>
  <c r="D6" i="15" s="1"/>
  <c r="C12" i="15"/>
  <c r="C6" i="15" s="1"/>
  <c r="E8" i="15"/>
  <c r="E3" i="15"/>
  <c r="H8" i="8"/>
  <c r="C45" i="7" l="1"/>
  <c r="E25" i="7"/>
  <c r="C25" i="7"/>
  <c r="C19" i="7"/>
  <c r="C274" i="15"/>
  <c r="D91" i="15"/>
  <c r="F143" i="15"/>
  <c r="F166" i="15"/>
  <c r="F228" i="15"/>
  <c r="F239" i="15"/>
  <c r="F238" i="15" s="1"/>
  <c r="F251" i="15"/>
  <c r="F250" i="15" s="1"/>
  <c r="C103" i="15"/>
  <c r="E227" i="15"/>
  <c r="F162" i="15"/>
  <c r="F160" i="15" s="1"/>
  <c r="F53" i="15"/>
  <c r="C91" i="15"/>
  <c r="F234" i="15"/>
  <c r="F227" i="15" s="1"/>
  <c r="F103" i="15"/>
  <c r="E12" i="15"/>
  <c r="E6" i="15" s="1"/>
  <c r="F80" i="15"/>
  <c r="K32" i="15"/>
  <c r="E32" i="15" s="1"/>
  <c r="F32" i="15" s="1"/>
  <c r="F13" i="15"/>
  <c r="F12" i="15" s="1"/>
  <c r="C8" i="7" s="1"/>
  <c r="E8" i="7" s="1"/>
  <c r="K50" i="15"/>
  <c r="E40" i="15" s="1"/>
  <c r="F40" i="15" s="1"/>
  <c r="F69" i="15"/>
  <c r="D274" i="15"/>
  <c r="F8" i="15"/>
  <c r="E143" i="15"/>
  <c r="F185" i="15"/>
  <c r="C5" i="7" l="1"/>
  <c r="F6" i="15"/>
  <c r="F91" i="15" s="1"/>
  <c r="E27" i="15"/>
  <c r="E91" i="15" s="1"/>
  <c r="F3" i="15" s="1"/>
  <c r="E205" i="15"/>
  <c r="F275" i="15" l="1"/>
  <c r="F205" i="15"/>
  <c r="F183" i="15" s="1"/>
  <c r="F274" i="15" s="1"/>
  <c r="E183" i="15"/>
  <c r="E274" i="15" s="1"/>
  <c r="D276" i="15"/>
  <c r="D275" i="15" l="1"/>
  <c r="D277" i="15" s="1"/>
  <c r="H2" i="15"/>
  <c r="D278" i="15"/>
  <c r="G41" i="7" l="1"/>
  <c r="G42" i="7"/>
  <c r="G43" i="7"/>
  <c r="G44" i="7"/>
  <c r="G37" i="7"/>
  <c r="G30" i="7"/>
  <c r="E20" i="7"/>
  <c r="E21" i="7"/>
  <c r="G21" i="7" s="1"/>
  <c r="E23" i="7"/>
  <c r="E24" i="7"/>
  <c r="E18" i="7"/>
  <c r="E7" i="7"/>
  <c r="E9" i="7"/>
  <c r="G9" i="7" s="1"/>
  <c r="E10" i="7"/>
  <c r="G10" i="7" s="1"/>
  <c r="E11" i="7"/>
  <c r="E12" i="7"/>
  <c r="G12" i="7" s="1"/>
  <c r="E13" i="7"/>
  <c r="G13" i="7" s="1"/>
  <c r="E14" i="7"/>
  <c r="E6" i="7"/>
  <c r="F46" i="7"/>
  <c r="F49" i="7"/>
  <c r="F38" i="7"/>
  <c r="F59" i="7"/>
  <c r="F48" i="7"/>
  <c r="F19" i="7"/>
  <c r="F8" i="7"/>
  <c r="F23" i="7"/>
  <c r="F24" i="7"/>
  <c r="F29" i="7"/>
  <c r="F40" i="7"/>
  <c r="F14" i="7"/>
  <c r="F11" i="7"/>
  <c r="F39" i="7"/>
  <c r="F5" i="7" l="1"/>
  <c r="F58" i="7"/>
  <c r="E19" i="7"/>
  <c r="G25" i="7"/>
  <c r="G24" i="7"/>
  <c r="G19" i="7"/>
  <c r="G23" i="7"/>
  <c r="G20" i="7"/>
  <c r="G40" i="7"/>
  <c r="G39" i="7"/>
  <c r="G38" i="7"/>
  <c r="G14" i="7"/>
  <c r="G11" i="7"/>
  <c r="G8" i="7"/>
  <c r="F22" i="7"/>
  <c r="F15" i="7" l="1"/>
  <c r="C57" i="7"/>
  <c r="D3" i="3" l="1"/>
  <c r="D4" i="3"/>
  <c r="D5" i="3"/>
  <c r="D6" i="3"/>
  <c r="D7" i="3"/>
  <c r="D11" i="9" l="1"/>
  <c r="D12" i="9"/>
  <c r="D13" i="9"/>
  <c r="C14" i="9" l="1"/>
  <c r="E8" i="8" l="1"/>
  <c r="D17" i="8"/>
  <c r="D18" i="8"/>
  <c r="C18" i="8"/>
  <c r="C17" i="8"/>
  <c r="E17" i="8" l="1"/>
  <c r="D19" i="8"/>
  <c r="C19" i="8"/>
  <c r="E18" i="8"/>
  <c r="C12" i="8"/>
  <c r="E19" i="8" l="1"/>
  <c r="H10" i="7" l="1"/>
  <c r="H12" i="7"/>
  <c r="H13" i="7"/>
  <c r="E35" i="7"/>
  <c r="H35" i="7" s="1"/>
  <c r="D22" i="7"/>
  <c r="D7" i="8" s="1"/>
  <c r="C22" i="7"/>
  <c r="C15" i="7" s="1"/>
  <c r="D62" i="7"/>
  <c r="D63" i="7" s="1"/>
  <c r="C62" i="7"/>
  <c r="E59" i="7"/>
  <c r="E58" i="7" s="1"/>
  <c r="H58" i="7" s="1"/>
  <c r="E51" i="7"/>
  <c r="D50" i="7"/>
  <c r="C50" i="7"/>
  <c r="C13" i="8" s="1"/>
  <c r="E49" i="7"/>
  <c r="E48" i="7"/>
  <c r="E47" i="7"/>
  <c r="E46" i="7"/>
  <c r="D45" i="7"/>
  <c r="D12" i="8" s="1"/>
  <c r="E12" i="8" s="1"/>
  <c r="H44" i="7"/>
  <c r="H43" i="7"/>
  <c r="H42" i="7"/>
  <c r="H41" i="7"/>
  <c r="H40" i="7"/>
  <c r="H39" i="7"/>
  <c r="H38" i="7"/>
  <c r="H37" i="7"/>
  <c r="H36" i="7"/>
  <c r="E34" i="7"/>
  <c r="H34" i="7" s="1"/>
  <c r="D34" i="7"/>
  <c r="D11" i="8" s="1"/>
  <c r="C34" i="7"/>
  <c r="C11" i="8" s="1"/>
  <c r="E33" i="7"/>
  <c r="E32" i="7"/>
  <c r="D31" i="7"/>
  <c r="D10" i="8" s="1"/>
  <c r="C31" i="7"/>
  <c r="C10" i="8" s="1"/>
  <c r="E30" i="7"/>
  <c r="H30" i="7" s="1"/>
  <c r="E29" i="7"/>
  <c r="D28" i="7"/>
  <c r="D9" i="8" s="1"/>
  <c r="C28" i="7"/>
  <c r="C9" i="8" s="1"/>
  <c r="H25" i="7"/>
  <c r="H20" i="7"/>
  <c r="H19" i="7"/>
  <c r="H17" i="7"/>
  <c r="H16" i="7"/>
  <c r="H14" i="7"/>
  <c r="H9" i="7"/>
  <c r="H8" i="7"/>
  <c r="H7" i="7"/>
  <c r="H6" i="7"/>
  <c r="F6" i="7"/>
  <c r="D5" i="7"/>
  <c r="D6" i="8" s="1"/>
  <c r="C6" i="8"/>
  <c r="H60" i="7" l="1"/>
  <c r="G60" i="7"/>
  <c r="H59" i="7"/>
  <c r="G59" i="7"/>
  <c r="G58" i="7" s="1"/>
  <c r="H51" i="7"/>
  <c r="G51" i="7"/>
  <c r="H49" i="7"/>
  <c r="G49" i="7"/>
  <c r="H48" i="7"/>
  <c r="G48" i="7"/>
  <c r="H47" i="7"/>
  <c r="G47" i="7"/>
  <c r="H46" i="7"/>
  <c r="G46" i="7"/>
  <c r="H33" i="7"/>
  <c r="G33" i="7"/>
  <c r="H32" i="7"/>
  <c r="G32" i="7"/>
  <c r="H29" i="7"/>
  <c r="G29" i="7"/>
  <c r="C7" i="8"/>
  <c r="E7" i="8" s="1"/>
  <c r="E22" i="7"/>
  <c r="E15" i="7" s="1"/>
  <c r="E9" i="8"/>
  <c r="E10" i="8"/>
  <c r="E11" i="8"/>
  <c r="E50" i="7"/>
  <c r="H50" i="7" s="1"/>
  <c r="E5" i="7"/>
  <c r="H5" i="7" s="1"/>
  <c r="E6" i="8"/>
  <c r="D52" i="7"/>
  <c r="D13" i="8"/>
  <c r="D14" i="8" s="1"/>
  <c r="D20" i="8" s="1"/>
  <c r="E31" i="7"/>
  <c r="H31" i="7" s="1"/>
  <c r="E62" i="7"/>
  <c r="H62" i="7" s="1"/>
  <c r="H18" i="7"/>
  <c r="E45" i="7"/>
  <c r="H45" i="7" s="1"/>
  <c r="E28" i="7"/>
  <c r="H28" i="7" s="1"/>
  <c r="C14" i="8" l="1"/>
  <c r="C20" i="8" s="1"/>
  <c r="C52" i="7"/>
  <c r="C63" i="7" s="1"/>
  <c r="G22" i="7"/>
  <c r="G15" i="7" s="1"/>
  <c r="H22" i="7"/>
  <c r="E13" i="8"/>
  <c r="H15" i="7"/>
  <c r="E52" i="7"/>
  <c r="H52" i="7" l="1"/>
  <c r="E63" i="7"/>
  <c r="H63" i="7" s="1"/>
  <c r="E14" i="8"/>
  <c r="E20" i="8" s="1"/>
  <c r="E3" i="3" l="1"/>
  <c r="G50" i="7" l="1"/>
  <c r="G13" i="8" s="1"/>
  <c r="G18" i="8"/>
  <c r="F17" i="8"/>
  <c r="H17" i="8" s="1"/>
  <c r="F18" i="8"/>
  <c r="H18" i="8" s="1"/>
  <c r="F50" i="7"/>
  <c r="F13" i="8" s="1"/>
  <c r="H13" i="8" s="1"/>
  <c r="G7" i="8" l="1"/>
  <c r="G34" i="7"/>
  <c r="G11" i="8" s="1"/>
  <c r="G5" i="7"/>
  <c r="G6" i="8" s="1"/>
  <c r="G62" i="7"/>
  <c r="G17" i="8"/>
  <c r="G19" i="8" s="1"/>
  <c r="F19" i="8"/>
  <c r="H19" i="8" s="1"/>
  <c r="G45" i="7"/>
  <c r="G12" i="8" s="1"/>
  <c r="F62" i="7"/>
  <c r="G31" i="7"/>
  <c r="G10" i="8" s="1"/>
  <c r="F34" i="7"/>
  <c r="F11" i="8" s="1"/>
  <c r="H11" i="8" s="1"/>
  <c r="G28" i="7"/>
  <c r="G9" i="8" s="1"/>
  <c r="F45" i="7"/>
  <c r="F12" i="8" s="1"/>
  <c r="H12" i="8" s="1"/>
  <c r="F7" i="8" l="1"/>
  <c r="H7" i="8" s="1"/>
  <c r="G14" i="8"/>
  <c r="G20" i="8" s="1"/>
  <c r="D3" i="9" s="1"/>
  <c r="F28" i="7"/>
  <c r="F9" i="8" s="1"/>
  <c r="H9" i="8" s="1"/>
  <c r="D4" i="9"/>
  <c r="G52" i="7"/>
  <c r="G63" i="7" s="1"/>
  <c r="F31" i="7"/>
  <c r="F10" i="8" s="1"/>
  <c r="H10" i="8" s="1"/>
  <c r="F6" i="8"/>
  <c r="H6" i="8" s="1"/>
  <c r="D9" i="9" l="1"/>
  <c r="D6" i="9"/>
  <c r="F14" i="8"/>
  <c r="D7" i="9"/>
  <c r="D10" i="9"/>
  <c r="F52" i="7"/>
  <c r="F63" i="7" s="1"/>
  <c r="F20" i="8" l="1"/>
  <c r="H14" i="8"/>
  <c r="D8" i="9"/>
  <c r="D5" i="9"/>
  <c r="E4" i="3"/>
  <c r="E5" i="3"/>
  <c r="E6" i="3"/>
  <c r="E7" i="3"/>
  <c r="B2" i="1"/>
  <c r="B36" i="1"/>
  <c r="B59" i="1"/>
  <c r="B67" i="1"/>
  <c r="B77" i="1"/>
  <c r="B81" i="1"/>
  <c r="D2" i="9" l="1"/>
  <c r="D14" i="9" s="1"/>
  <c r="H20" i="8"/>
  <c r="B14" i="9"/>
  <c r="B125" i="1"/>
  <c r="B120" i="1"/>
  <c r="B115" i="1"/>
  <c r="B101" i="1"/>
</calcChain>
</file>

<file path=xl/comments1.xml><?xml version="1.0" encoding="utf-8"?>
<comments xmlns="http://schemas.openxmlformats.org/spreadsheetml/2006/main">
  <authors>
    <author>Nyuiadzi ZIKPI</author>
  </authors>
  <commentList>
    <comment ref="F27" authorId="0" shapeId="0">
      <text>
        <r>
          <rPr>
            <b/>
            <sz val="9"/>
            <color indexed="81"/>
            <rFont val="Tahoma"/>
            <family val="2"/>
          </rPr>
          <t>Nyuiadzi ZIKPI:</t>
        </r>
        <r>
          <rPr>
            <sz val="9"/>
            <color indexed="81"/>
            <rFont val="Tahoma"/>
            <family val="2"/>
          </rPr>
          <t xml:space="preserve">
Au lieu de 50 560 000</t>
        </r>
      </text>
    </comment>
  </commentList>
</comments>
</file>

<file path=xl/sharedStrings.xml><?xml version="1.0" encoding="utf-8"?>
<sst xmlns="http://schemas.openxmlformats.org/spreadsheetml/2006/main" count="582" uniqueCount="430">
  <si>
    <t>LIBELLES</t>
  </si>
  <si>
    <t>Ventes de produits et prestations de services</t>
  </si>
  <si>
    <t>Vente fumier et autres déchets</t>
  </si>
  <si>
    <t>Gestion fumier et autres déchets</t>
  </si>
  <si>
    <t>Distributions d'eau</t>
  </si>
  <si>
    <t>Facturation travaux ou servicces</t>
  </si>
  <si>
    <t>Autres sessions</t>
  </si>
  <si>
    <t>Produits de l'abattoir</t>
  </si>
  <si>
    <t>Taxe usage voiture bouchère</t>
  </si>
  <si>
    <t>Taxe usage chambre congélation</t>
  </si>
  <si>
    <t>Taxes pour services rendus</t>
  </si>
  <si>
    <t>Taxe désinfection locaux particuliers</t>
  </si>
  <si>
    <t>Droits fourrière et produits vente</t>
  </si>
  <si>
    <t>Droit d'expédition actes adminis. et d'état civil</t>
  </si>
  <si>
    <t>Droits mariage</t>
  </si>
  <si>
    <t>Droits de recherche</t>
  </si>
  <si>
    <t>Autres droits d'état civil</t>
  </si>
  <si>
    <t>Location de matériel de la collectivité locale</t>
  </si>
  <si>
    <t>Location voiture funéraire (pousse-pousse)</t>
  </si>
  <si>
    <t>Location ambulance</t>
  </si>
  <si>
    <t>Location engins de génie civil</t>
  </si>
  <si>
    <t>Location voiture de vidange</t>
  </si>
  <si>
    <t>Locatioin mobilier (chaise, table)</t>
  </si>
  <si>
    <t>Matériel transport</t>
  </si>
  <si>
    <t>Taxes funéraires</t>
  </si>
  <si>
    <t>Droit séjour caveau provisoire</t>
  </si>
  <si>
    <t>Taxe inhumation et exhumation</t>
  </si>
  <si>
    <t>Vente produits jardin de la collectivité</t>
  </si>
  <si>
    <t>Location propriétés de la collectivité</t>
  </si>
  <si>
    <t>Stands</t>
  </si>
  <si>
    <t>Location boutique</t>
  </si>
  <si>
    <t>Autres</t>
  </si>
  <si>
    <t>Redev. Occupation domaine public</t>
  </si>
  <si>
    <t>Concession dans les cimétières</t>
  </si>
  <si>
    <t>Baraques</t>
  </si>
  <si>
    <t>Emprises</t>
  </si>
  <si>
    <t>Concession dans les cimetières</t>
  </si>
  <si>
    <t>Droit de stationnement</t>
  </si>
  <si>
    <t>Stationnement véhicules</t>
  </si>
  <si>
    <t>Stationnement taxis moto</t>
  </si>
  <si>
    <t>Location terrains et boutiques</t>
  </si>
  <si>
    <t>Location outillage de pêche</t>
  </si>
  <si>
    <t>Autres produits domaniaux</t>
  </si>
  <si>
    <t>Taxes de Carrière</t>
  </si>
  <si>
    <t>Taxes sur les produits forestiers</t>
  </si>
  <si>
    <t>Revenus des titres et rentes</t>
  </si>
  <si>
    <t>Intérêts des prêts et créances</t>
  </si>
  <si>
    <t>Produits serv. Concèdés ou affermés</t>
  </si>
  <si>
    <t>Location centre culturel, place des fêtes</t>
  </si>
  <si>
    <t>Concession latrines publiques</t>
  </si>
  <si>
    <t>Excédents des régies revenant au BP</t>
  </si>
  <si>
    <t>Des services à comptabilité distincte</t>
  </si>
  <si>
    <t>Recouvrement</t>
  </si>
  <si>
    <t>Recouvrement de traitement et salaires</t>
  </si>
  <si>
    <t>Des frais téléphone éclairage et autres</t>
  </si>
  <si>
    <t>Des frais de poursuites</t>
  </si>
  <si>
    <t>Produits quêtes et contribution volontaires</t>
  </si>
  <si>
    <t>Participatons aux dépenses de fonctionnement ou d'intérêt général</t>
  </si>
  <si>
    <t>Participation de l'Etat</t>
  </si>
  <si>
    <t>Participation de la Région</t>
  </si>
  <si>
    <t>Autres participations</t>
  </si>
  <si>
    <t>Taxes de mutations (timbres)</t>
  </si>
  <si>
    <t>Produits des amendes de simple police</t>
  </si>
  <si>
    <t>Amendes sanitaires</t>
  </si>
  <si>
    <t>Impôts directs</t>
  </si>
  <si>
    <t>Impôts flotant</t>
  </si>
  <si>
    <t>Impôts forfaitaire sur le revenu</t>
  </si>
  <si>
    <t>Taxe sur bétail (Transhumance)</t>
  </si>
  <si>
    <t>Taxe professionnelle (réel)</t>
  </si>
  <si>
    <t>Taxe de résidence</t>
  </si>
  <si>
    <t>Taxe professionnelle unique</t>
  </si>
  <si>
    <t>Taxes et contributions diverses</t>
  </si>
  <si>
    <t>Licences</t>
  </si>
  <si>
    <t>Contribution mobil. (bâtie et non bâtie)</t>
  </si>
  <si>
    <t>Taxe sur biens de main-morte</t>
  </si>
  <si>
    <t>Taxe d'enlèvement ordures ménagères (TEOM)</t>
  </si>
  <si>
    <t>Taxes assimilées</t>
  </si>
  <si>
    <t>Taxe de voirie</t>
  </si>
  <si>
    <t>Taxe sur les armes</t>
  </si>
  <si>
    <t>Taxe sur VL des locaux professionnels</t>
  </si>
  <si>
    <t>Taxes sur VL des habitations</t>
  </si>
  <si>
    <t>Taxe sur les animaux</t>
  </si>
  <si>
    <t>Taxe de balayage</t>
  </si>
  <si>
    <t>Taxe sur les spectacles</t>
  </si>
  <si>
    <t>Taxe sur les véhicules à moteur</t>
  </si>
  <si>
    <t>Taxe sur les vélocipèdes</t>
  </si>
  <si>
    <t>Taxe sur la publicité</t>
  </si>
  <si>
    <t>Taxe sur les jeux et jeux de hasard</t>
  </si>
  <si>
    <t>Taxe sur les kiosques à boisons</t>
  </si>
  <si>
    <t>Dotations de l'Etat</t>
  </si>
  <si>
    <t>Redevances sur pompes (appareil de distribution)</t>
  </si>
  <si>
    <t>Autres taxes indirectes</t>
  </si>
  <si>
    <t>Taxes de Lotissement</t>
  </si>
  <si>
    <t>Taxes sur permis de construire</t>
  </si>
  <si>
    <t>Taxes sur certificat Admin,</t>
  </si>
  <si>
    <t>Taxes d'exploitation entreprises locales</t>
  </si>
  <si>
    <t>Travaux d'investissement en régie</t>
  </si>
  <si>
    <t>Production de denrées et fournitures</t>
  </si>
  <si>
    <t>Charges couvertes par des provisions</t>
  </si>
  <si>
    <t>Reprises sur recettes d'investissement</t>
  </si>
  <si>
    <t>Subventions exceptionnelles</t>
  </si>
  <si>
    <t>Subventions des collectivités locales</t>
  </si>
  <si>
    <t>Rectifications sur gestions closes</t>
  </si>
  <si>
    <t>Autres produits exceptionnels</t>
  </si>
  <si>
    <t>Résultat de fonctionnement reporté</t>
  </si>
  <si>
    <t>Excédent de fonctionnement reporté</t>
  </si>
  <si>
    <t>Déficit de fonctionnement reporté</t>
  </si>
  <si>
    <t>Titres annulés ou admis en non-valeur</t>
  </si>
  <si>
    <t>Titres annulés</t>
  </si>
  <si>
    <t>Admissions en non valeur</t>
  </si>
  <si>
    <t>Mandats annulés ou atteints par déchéance</t>
  </si>
  <si>
    <t>Mandats annulés</t>
  </si>
  <si>
    <t>Mandats atteints par la déchéance</t>
  </si>
  <si>
    <t>Compte</t>
  </si>
  <si>
    <t>Libellés</t>
  </si>
  <si>
    <t>Montant</t>
  </si>
  <si>
    <t>N°</t>
  </si>
  <si>
    <t>Date</t>
  </si>
  <si>
    <t>Résidence du client</t>
  </si>
  <si>
    <t>Nature des recettes</t>
  </si>
  <si>
    <t>Mode de paiement</t>
  </si>
  <si>
    <t>Autres produits d'exploitation</t>
  </si>
  <si>
    <t>Prdts maternités de la collectivité</t>
  </si>
  <si>
    <t xml:space="preserve">Redevances de l'abattoir </t>
  </si>
  <si>
    <t>Espèce</t>
  </si>
  <si>
    <t>Chèque</t>
  </si>
  <si>
    <t>Virement</t>
  </si>
  <si>
    <t>Août</t>
  </si>
  <si>
    <t>Total</t>
  </si>
  <si>
    <t>Fonds de dotation</t>
  </si>
  <si>
    <t>Excédents de fonct capitalisés</t>
  </si>
  <si>
    <t>Mars</t>
  </si>
  <si>
    <t>Avril</t>
  </si>
  <si>
    <t>Mai</t>
  </si>
  <si>
    <t>Juin</t>
  </si>
  <si>
    <t>TOTAL</t>
  </si>
  <si>
    <t>Mois</t>
  </si>
  <si>
    <t>N° Quit</t>
  </si>
  <si>
    <t>Total général</t>
  </si>
  <si>
    <t>Kpové</t>
  </si>
  <si>
    <t>Atchavé</t>
  </si>
  <si>
    <t>Alati marché</t>
  </si>
  <si>
    <t>Wahala</t>
  </si>
  <si>
    <t>Asrama</t>
  </si>
  <si>
    <t>Kponou</t>
  </si>
  <si>
    <t>TOTAL RECETTES D'INVESTISSEMENT</t>
  </si>
  <si>
    <t>(B/A)</t>
  </si>
  <si>
    <t>Finale (A)</t>
  </si>
  <si>
    <t>Modification</t>
  </si>
  <si>
    <t>Taux</t>
  </si>
  <si>
    <t>Prévision</t>
  </si>
  <si>
    <t>Recettes</t>
  </si>
  <si>
    <t>CHAP/ ART</t>
  </si>
  <si>
    <t>TOTAL RECETTES DE FONCTIONNEMENT</t>
  </si>
  <si>
    <t>PRODUITS EXCEPTIONNELS</t>
  </si>
  <si>
    <t xml:space="preserve">Autres taxes indirectes </t>
  </si>
  <si>
    <t>Redevances  pour appareil de distribution</t>
  </si>
  <si>
    <t xml:space="preserve">Taxe sur la publicité </t>
  </si>
  <si>
    <t xml:space="preserve">Taxe sur spectacle </t>
  </si>
  <si>
    <t>IMPOTS ET TAXES INDIRECTES</t>
  </si>
  <si>
    <t>Taxe sur VL des habitations</t>
  </si>
  <si>
    <t>Contribution immobilière (bâtie ou non bâtie)</t>
  </si>
  <si>
    <t xml:space="preserve">Taxe professionnelle unique </t>
  </si>
  <si>
    <t xml:space="preserve">Taxe d'habitation (TH) </t>
  </si>
  <si>
    <t xml:space="preserve">Taxe professionnelle (réel) </t>
  </si>
  <si>
    <t>Impôt sur bétail</t>
  </si>
  <si>
    <t>IMPOTS, TAXES ET CONTR. DIRECTES</t>
  </si>
  <si>
    <t xml:space="preserve">Amendes sanitaires </t>
  </si>
  <si>
    <t xml:space="preserve">Produit des amendes de police </t>
  </si>
  <si>
    <t>PRODUITS DIVERS</t>
  </si>
  <si>
    <t>Participations aux dépenses de fonctionnement ou d'intérêt général</t>
  </si>
  <si>
    <t xml:space="preserve">Recouvrement de traitements et salaires </t>
  </si>
  <si>
    <t>RECOUVREMENT PARTICIPATIONS</t>
  </si>
  <si>
    <t xml:space="preserve">Autres produits domaniaux </t>
  </si>
  <si>
    <t xml:space="preserve">Droit de stationnement </t>
  </si>
  <si>
    <t xml:space="preserve">Droits de sortie de marchandises (bouchons) </t>
  </si>
  <si>
    <t>Droit de place (marchés, marchants, ambulant)</t>
  </si>
  <si>
    <t xml:space="preserve">Redevances pour occupation du domaine public </t>
  </si>
  <si>
    <t>Il prend en charge la location de la salle de délibération du Conseil de préfecture</t>
  </si>
  <si>
    <t>Location des propriétés de la collectivité locale :</t>
  </si>
  <si>
    <t>PRODUITS DOMANIAUX</t>
  </si>
  <si>
    <t>Autres produits d’exploitation</t>
  </si>
  <si>
    <t xml:space="preserve">Taxe d'inhumation et d'exhumation </t>
  </si>
  <si>
    <t xml:space="preserve">Produits des maternités de la collectivité locale </t>
  </si>
  <si>
    <t>Droit d'expédition d'actes adminis. et d'état civil</t>
  </si>
  <si>
    <t>Redevances de l'abattoir (taxe d'abattage, droit de visite des viandes)</t>
  </si>
  <si>
    <t>Produits de l'abbatoir</t>
  </si>
  <si>
    <t>PRODUITS D'EXPLOITATION</t>
  </si>
  <si>
    <t>Janvier</t>
  </si>
  <si>
    <t>Février</t>
  </si>
  <si>
    <t>Juillet</t>
  </si>
  <si>
    <t>Septembre</t>
  </si>
  <si>
    <t>Octobre</t>
  </si>
  <si>
    <t>Novembre</t>
  </si>
  <si>
    <t>Décembre</t>
  </si>
  <si>
    <t>Droit de stationnement véhicule</t>
  </si>
  <si>
    <t>Droit de stationnement taxi moto</t>
  </si>
  <si>
    <t>Location matériel de transport</t>
  </si>
  <si>
    <t>Droit de place sur les marchés</t>
  </si>
  <si>
    <t>INVESTISSEMENTS</t>
  </si>
  <si>
    <t>FONCTIONNEMENT</t>
  </si>
  <si>
    <t>FONDS DE DOTATION</t>
  </si>
  <si>
    <t>RESERVES</t>
  </si>
  <si>
    <t>TOTAL BUDGET</t>
  </si>
  <si>
    <t>PRODUITS FINANCIERS</t>
  </si>
  <si>
    <t>Compte administratif - Vue d'ensemble des titres émis 2015</t>
  </si>
  <si>
    <t>Dépenses</t>
  </si>
  <si>
    <t>Ecart</t>
  </si>
  <si>
    <t>Chapitre</t>
  </si>
  <si>
    <t>Droits de transcription</t>
  </si>
  <si>
    <t>Droits de mention</t>
  </si>
  <si>
    <t>Droits de duplicata</t>
  </si>
  <si>
    <t>Droit de places (marchés, marchands, ambulants)</t>
  </si>
  <si>
    <t>Droit de places sur les marchés</t>
  </si>
  <si>
    <t>Droit de sortie de marchandises (bouchons)</t>
  </si>
  <si>
    <t>(Tous)</t>
  </si>
  <si>
    <t>Somme de Montant</t>
  </si>
  <si>
    <t/>
  </si>
  <si>
    <t>Observation</t>
  </si>
  <si>
    <t>Autorisation organe délibérant</t>
  </si>
  <si>
    <t>(B)</t>
  </si>
  <si>
    <t xml:space="preserve">Emission </t>
  </si>
  <si>
    <t>(A-B)</t>
  </si>
  <si>
    <t xml:space="preserve">Ecart </t>
  </si>
  <si>
    <t>Imputations</t>
  </si>
  <si>
    <t>Périodes</t>
  </si>
  <si>
    <t>3.1.2.  Détails des recettes de fonctionnement</t>
  </si>
  <si>
    <t>Réalisation</t>
  </si>
  <si>
    <t>Proposition 2016</t>
  </si>
  <si>
    <t>Vote de l'assemblée délibérante</t>
  </si>
  <si>
    <t>au 30 sept</t>
  </si>
  <si>
    <t>Redevances de l'abattoir</t>
  </si>
  <si>
    <t>Il s'agit de la taxe sur l'abattage des animaux à raison de 1 000 F /semaine pour 6 bouchers de la Préfecture soit : 2000 F x 12 mois = 24000</t>
  </si>
  <si>
    <t>Droits de fourrière et produits vente</t>
  </si>
  <si>
    <t>-Vente de timbres pour les actes adm. Et d'état civil</t>
  </si>
  <si>
    <t>-Droit de mariage</t>
  </si>
  <si>
    <t xml:space="preserve">-Droits de recherche </t>
  </si>
  <si>
    <t xml:space="preserve">-Droits de transcription </t>
  </si>
  <si>
    <t>-Droits de mention</t>
  </si>
  <si>
    <t>-Droits de duplicata</t>
  </si>
  <si>
    <t>-Autres droits d'état civil  (certifications, attestations, rectifications, jugements supplétifs, célibats, non oppositions, non remariage…)</t>
  </si>
  <si>
    <t>Prend en charge les autorisations liées aux cérémonies funéraires et veillées funèbres</t>
  </si>
  <si>
    <t xml:space="preserve">Prend en charge les taxes sur les étalages et boutiques en bordure des rues et dans les marchés, ou toutes autres taxes d'encombrement des voies ou domaines publics.  </t>
  </si>
  <si>
    <t>Droits de places (marchés, marchands, ambulants)</t>
  </si>
  <si>
    <t>Asrama : 60 000 x 52 = 3 120 000 F</t>
  </si>
  <si>
    <t>Wahala : 65 000 x 52 =  3 380 000 F</t>
  </si>
  <si>
    <t>Kponou : 45 000 x 52 =  2 340 000 F</t>
  </si>
  <si>
    <t>Haito : 40 000 x 52 =  2 080 000 F</t>
  </si>
  <si>
    <t>Haito</t>
  </si>
  <si>
    <t>Agbeveme : 35 000 x 52 =  1 820 000 F</t>
  </si>
  <si>
    <t>Agbeveme</t>
  </si>
  <si>
    <t>Amakpapé : 30 000 x 52 =  1 560 000 F</t>
  </si>
  <si>
    <t>Amakpape</t>
  </si>
  <si>
    <t>Autres marchés : 135 000 x 52 =  7 020 000 F</t>
  </si>
  <si>
    <t>Kponou : 60 000 x 52 = 3 120 000 F</t>
  </si>
  <si>
    <t>Wahala : 75 000 x 52 =  3 900 000 F</t>
  </si>
  <si>
    <t>Asrama : 50 000 x 52 =  2 600 000 F</t>
  </si>
  <si>
    <t>Kpové : 45 000 x 52 =  2 340 000 F</t>
  </si>
  <si>
    <t>Alati marché : 40 000 x 52 =  2 080 000 F</t>
  </si>
  <si>
    <t>Atchavé : 35 000 x 52 =  1 820 000 F</t>
  </si>
  <si>
    <t>Haito : 35 000 x 52 =  1 820 000 F</t>
  </si>
  <si>
    <t>Huilehoe : 30 000 x 52 =  1 560 000 F</t>
  </si>
  <si>
    <t>Huilehoe</t>
  </si>
  <si>
    <t>Autres postes de contrôle : 150 000 x 52 =  7 800 000 F</t>
  </si>
  <si>
    <t>Droit de stationnement auto (dans les gares routières et places du marché)</t>
  </si>
  <si>
    <t>Taxes de carrière (redevances sur carrière et transport)</t>
  </si>
  <si>
    <t>Prend en charge les cotisations sociales prélevées sur le traitement des salaires des agents</t>
  </si>
  <si>
    <t>Taxe professionnelle unique (TPU)</t>
  </si>
  <si>
    <t xml:space="preserve">Prend en charge les autorisations délivrée lors des cérémonies et manifestations (concerts, caravanes et évangélisation). </t>
  </si>
  <si>
    <t>Prend en charge les taxes sur les panneaux, les affiches, banderoles etc. installés par les opérateurs économiques et autres organisations à but lucratif à des fins publicitaires</t>
  </si>
  <si>
    <t>Redevances pour appareil de distribution</t>
  </si>
  <si>
    <t xml:space="preserve">2500F x 8 appareils. x 12 mois </t>
  </si>
  <si>
    <t>Prend en charge les taxes sur certificat administratif  et contrat de vente et permis de construire</t>
  </si>
  <si>
    <t>Autres produits exceptionnels : Cet article reçoit les ressources résultant d'événements exceptionnels ou de recouvrement inattendu.</t>
  </si>
  <si>
    <t>3.1.3. Détails des dépenses de fonctionnement</t>
  </si>
  <si>
    <t>Art.</t>
  </si>
  <si>
    <t>L I B E L L E  S</t>
  </si>
  <si>
    <t>au 3è TRIM</t>
  </si>
  <si>
    <t>DENREES ET FOURNITURES CONSOMMEES</t>
  </si>
  <si>
    <t xml:space="preserve">Produit pharmaceutiques et hygiène </t>
  </si>
  <si>
    <t>Alimentation</t>
  </si>
  <si>
    <t xml:space="preserve">Hôtel du PDS </t>
  </si>
  <si>
    <t xml:space="preserve">Ravitaillement du SC </t>
  </si>
  <si>
    <t xml:space="preserve">Habillement </t>
  </si>
  <si>
    <t>Carburants, lubrifiants, combustibles</t>
  </si>
  <si>
    <t>Carburants</t>
  </si>
  <si>
    <t>Dotation du PDS : 200l x 592F x 12 = 1 420 800 F</t>
  </si>
  <si>
    <t>Dotation du Secrétaire de Conseil : 100l x 592F x 12 = 710 400 F</t>
  </si>
  <si>
    <t>Dotation équipe de recouvrement : 150l x 592F x 12 = 1 065 600 F</t>
  </si>
  <si>
    <t>Dotation pour le fonctionnement du Conseil : 100l x 592F x 12 = 710 400 F</t>
  </si>
  <si>
    <t xml:space="preserve">Fournitures de voiries </t>
  </si>
  <si>
    <t xml:space="preserve">Fournitures de bureau </t>
  </si>
  <si>
    <t>Achat de diverses fournitures de bureau (ramettes de papiers, chemises, sous chemises, crayons, trombones, bics, agrafeuses, agrafe, encreurs etc.)</t>
  </si>
  <si>
    <t xml:space="preserve">Autres fournitures </t>
  </si>
  <si>
    <t>Il est prévu sur cet article les consommables informatiques pour les ordinateurs, imprimantes, clé hélim</t>
  </si>
  <si>
    <t>ALLOCATIONS - SUBVENTIONS</t>
  </si>
  <si>
    <t xml:space="preserve">Primes, secours et dots </t>
  </si>
  <si>
    <t xml:space="preserve">Subventions </t>
  </si>
  <si>
    <t>Cette prévision concerne les aides du Conseil aux associations culturelles, sportives, communautaires, radio communautaire et CCD et autres organismes</t>
  </si>
  <si>
    <t>IMPÔTS ET TAXES</t>
  </si>
  <si>
    <t>Impôts et taxes sur les rémunérations</t>
  </si>
  <si>
    <t>TRAVAUX ET SERVICES EXTERIEURS</t>
  </si>
  <si>
    <t>Loyers et charge locatives et de copropriété</t>
  </si>
  <si>
    <t xml:space="preserve">Entretien de bâtiments </t>
  </si>
  <si>
    <t xml:space="preserve">Entretien des voies et de réseaux </t>
  </si>
  <si>
    <t xml:space="preserve">Entretien de matériels de transport </t>
  </si>
  <si>
    <t xml:space="preserve">Entretien de matériels et mobiliers de bureaux </t>
  </si>
  <si>
    <t xml:space="preserve">Acquis. de petits matériels outillages et mobiliers </t>
  </si>
  <si>
    <t>Prévision pour achat calculatrices, détecteurs de faux billets etc.</t>
  </si>
  <si>
    <t>Electricité, eau, gaz, assainissement</t>
  </si>
  <si>
    <t>Electricité</t>
  </si>
  <si>
    <t xml:space="preserve">Eau </t>
  </si>
  <si>
    <t>Assainissement (Prévus pour vidange de fosses septiques des bâtiments du Conseil)</t>
  </si>
  <si>
    <t>PARTICIPATION ET PRESTATIONS AU BENEFICE DE TIERS</t>
  </si>
  <si>
    <t xml:space="preserve">Frais de séjour et stage </t>
  </si>
  <si>
    <t>Destiné aux frais de séjour pour le stage des stagiaires reçu</t>
  </si>
  <si>
    <t>Autres prestation de services au bénéfice de tiers</t>
  </si>
  <si>
    <t>Contingents et Participations (appui à la trésorerie)</t>
  </si>
  <si>
    <t>FRAIS DE PERSONNEL</t>
  </si>
  <si>
    <t>Rémunération du personnel cadre</t>
  </si>
  <si>
    <t>Rém. Personnel cadre administratif (Annexe 1)</t>
  </si>
  <si>
    <t>Rém. Personnel cadre technique (Annexe 2)</t>
  </si>
  <si>
    <t>Rémunération du personnel permanent</t>
  </si>
  <si>
    <t>Rémunération personnel permanent administratif (Annexe 3)</t>
  </si>
  <si>
    <t>Rémunération personnel permanent technique (Annexe 4)</t>
  </si>
  <si>
    <t>Rémunération personnel permanent sanitaire (Annexe 5)</t>
  </si>
  <si>
    <t>Rémunération personnel temporaire</t>
  </si>
  <si>
    <t>Rémunération personnel contractuel (Annexe 6)</t>
  </si>
  <si>
    <t>Rémunération diverses</t>
  </si>
  <si>
    <t>Primes indemnités, grat. Pers. (cadre section et chefs)</t>
  </si>
  <si>
    <t xml:space="preserve">Primes et remises aux collecteurs et aux billeteurs </t>
  </si>
  <si>
    <t>Indemnité de responsabilité et de caisse des régisseurs de recettes et d'avances</t>
  </si>
  <si>
    <t>Primes indemnités ou gratifications aux autres catégories de personnel</t>
  </si>
  <si>
    <t>Il s'agit des primes de rendement et indemnités de fin d'année aux personnels et aux autorités pour services rendus.</t>
  </si>
  <si>
    <t>Indemnité de gestion et de conseil au receveur municipal</t>
  </si>
  <si>
    <t>Formation du personnel</t>
  </si>
  <si>
    <t xml:space="preserve">Autres primes et indemnités diverses </t>
  </si>
  <si>
    <t>Prend en compte les primes et indemnités du personel et celles des membres des commissions et groupes de travail (passation et de contrôle des marchés publics, étude, suivi et évaluation des projets, élaboration du budget et autres réunions des cadres de concertation)</t>
  </si>
  <si>
    <t>Volontaire Assistant du trésorier :10 000 F x 12 = 120 000 F</t>
  </si>
  <si>
    <t>Volontaire Responsable financier : 10 000 F x 12 = 120 000 F</t>
  </si>
  <si>
    <t>Volontaire Sociologue : 10 000 F x 12 = 120 000 F</t>
  </si>
  <si>
    <t>Autres agents : 30 000 F x 12 = 360 000 F</t>
  </si>
  <si>
    <t>Passation de marché : 5 000 F x 11 pers x 4 séances = 220 000 F</t>
  </si>
  <si>
    <t>Etude de projets : 5 000 F x  10 pers x 2 séances = 100 000 F</t>
  </si>
  <si>
    <t>Budget et compte adm. : 5 000 F x 10 pers x 4 séances = 200 000 F</t>
  </si>
  <si>
    <t>Autres réunions : 5 000 F x 20 pers x 2 séances = 200 000 F</t>
  </si>
  <si>
    <t>Charges sociales</t>
  </si>
  <si>
    <t>Cotisation patronales pour retraite</t>
  </si>
  <si>
    <t>Indemnité de départ à la retraite d'un agent : 50 506 F x 12 = 606 072 F</t>
  </si>
  <si>
    <t xml:space="preserve">Cotisations patronales pour sécurité  sociale (CNSS) </t>
  </si>
  <si>
    <t>Prend en charge les cotisations patronales à la CNSS pour les salaires de 2016 (4 337 558 F) et les arrièrés des années précédentes (700 000 F)</t>
  </si>
  <si>
    <t>Cotisation diverses</t>
  </si>
  <si>
    <t>FRAIS DE GESTION GENERALE ET DE TRANSPORT</t>
  </si>
  <si>
    <t>Fêtes et cérémonies</t>
  </si>
  <si>
    <t>Fêtes et cérémonies locales</t>
  </si>
  <si>
    <t>Fêtes et manifestations nationales</t>
  </si>
  <si>
    <t>Frais de transport</t>
  </si>
  <si>
    <t>Transports des Elus</t>
  </si>
  <si>
    <t>Transports du personnel</t>
  </si>
  <si>
    <t>Impressions, reliures et autres prestations de services</t>
  </si>
  <si>
    <t>Frais d’impression</t>
  </si>
  <si>
    <t>Frais de reliure</t>
  </si>
  <si>
    <t>Autres prestations de service</t>
  </si>
  <si>
    <t>Documentation générale</t>
  </si>
  <si>
    <t>Abonnements</t>
  </si>
  <si>
    <t>Frais de postes et télécommunications</t>
  </si>
  <si>
    <t>Affranchissements</t>
  </si>
  <si>
    <t>Téléphone</t>
  </si>
  <si>
    <t>Président du Conseil : 13 500 F x 12 = 162 000 F</t>
  </si>
  <si>
    <t>Secrétaire du Conseil : 9 000 F x 12 = 108 000 F</t>
  </si>
  <si>
    <t>Comptable matière : 4 500 F x 12 = 54 000 F</t>
  </si>
  <si>
    <t>Agents de recouvrement : 4 500 F x 12 =  54 000 F</t>
  </si>
  <si>
    <t>Autres (Secrétariat) : 10 000 F x 12 =  120 000 F</t>
  </si>
  <si>
    <t>Fixe filaire : 10 000 F x 12 = 120 000 F</t>
  </si>
  <si>
    <t>Frais de boîte postale</t>
  </si>
  <si>
    <t>Indemnités aux ordonnateurs, aux adjoints et aux conseillers</t>
  </si>
  <si>
    <t>Indemnités aux Ordonnateurs</t>
  </si>
  <si>
    <t>Indemnités aux Adjoints et rapporteur</t>
  </si>
  <si>
    <t>Indemnités aux Conseillers</t>
  </si>
  <si>
    <t>Sessions ord : 2 000F x 15 jrs x 4 sessions x 7 Délégués = 840 000 F</t>
  </si>
  <si>
    <t>Sessions extra : 2 000F x 15 jrs x 2 sessions x 7 Délégués = 420 000F</t>
  </si>
  <si>
    <t>Indemnités de missions des ordonnateurs des adjoints et Conseillers</t>
  </si>
  <si>
    <t>Prend en charge les indemnités de mission de l'ordonnateur, adjoints et conseillers à l'extérieur de la Préfecture</t>
  </si>
  <si>
    <t>Indemnités et mission du personnel</t>
  </si>
  <si>
    <t>Prend en charge les indemnités de mission du personnel à l'extérieur de la Préfecture Soit: 20 missions x 15 000F nuités  +  et 10 missions x 5 000F jrs = 300 000 F + 50 000 F = 350 000 F</t>
  </si>
  <si>
    <t>Dépenses imprévues</t>
  </si>
  <si>
    <t>FRAIS FINANCIERS</t>
  </si>
  <si>
    <t>Frais de recouvrement, d'assiette et de confection de rôles</t>
  </si>
  <si>
    <t>Frais de Recouvrements</t>
  </si>
  <si>
    <t>Prend en compte des charges liées au recouvrement des impôts et taxes locales (perdiems aux agents pour le recouvrement 1500 F la journée et 2 000 F la nuit)</t>
  </si>
  <si>
    <t>CHARGES EXCEPTIONNELLES</t>
  </si>
  <si>
    <t>Frais pour Elections</t>
  </si>
  <si>
    <t>Autres charges exceptionnelles</t>
  </si>
  <si>
    <t>EXCEDENT DE FONCTIONNEMENT CAPITALISE</t>
  </si>
  <si>
    <t>Représente 20% de prélèvement sur recettes de fonctionnement pour dépenses d'investissement et d'équipement</t>
  </si>
  <si>
    <t>TOTAL DEPENSES DE FONCTIONNEMENT</t>
  </si>
  <si>
    <t>Dép réelle fonct</t>
  </si>
  <si>
    <t>Taux invest.</t>
  </si>
  <si>
    <t>Rec. Fonct</t>
  </si>
  <si>
    <t>Excedent fonct</t>
  </si>
  <si>
    <t xml:space="preserve"> Invest 20%</t>
  </si>
  <si>
    <t>DETAILS RECETTES D'INVESTISSEMENT</t>
  </si>
  <si>
    <t>CHAP</t>
  </si>
  <si>
    <t>Vote de l'assemblée</t>
  </si>
  <si>
    <t>Dotations</t>
  </si>
  <si>
    <t>Fonds de dotation (FDT-PAGLOC)</t>
  </si>
  <si>
    <t>Réserves</t>
  </si>
  <si>
    <t>Excédents de fonct capitalisé</t>
  </si>
  <si>
    <t>Total recettes d'investissement</t>
  </si>
  <si>
    <t>Compte administratif - Détails des titres émis 2016</t>
  </si>
  <si>
    <t>Initial</t>
  </si>
  <si>
    <t>Initiale</t>
  </si>
  <si>
    <t>DOTATION</t>
  </si>
  <si>
    <t>Vente de timbres pour les actes adm. Et d'état civil</t>
  </si>
  <si>
    <t>Nom du débiteur</t>
  </si>
  <si>
    <t>A</t>
  </si>
  <si>
    <t>B</t>
  </si>
  <si>
    <t>C</t>
  </si>
  <si>
    <t>D</t>
  </si>
  <si>
    <t>E</t>
  </si>
  <si>
    <t>AB</t>
  </si>
  <si>
    <t>AC</t>
  </si>
  <si>
    <t>AD</t>
  </si>
  <si>
    <t>AE</t>
  </si>
  <si>
    <t>AF</t>
  </si>
  <si>
    <t>janv</t>
  </si>
  <si>
    <t>févr</t>
  </si>
  <si>
    <t>70</t>
  </si>
  <si>
    <t>71</t>
  </si>
  <si>
    <t>http://forum.excel-pratique.com</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</si>
</sst>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 _€_-;\-* #,##0\ _€_-;_-* &quot;-&quot;\ _€_-;_-@_-"/>
    <numFmt numFmtId="43" formatCode="_-* #,##0.00\ _€_-;\-* #,##0.00\ _€_-;_-* &quot;-&quot;??\ _€_-;_-@_-"/>
    <numFmt numFmtId="164" formatCode="_-* #,##0\ _€_-;\-* #,##0\ _€_-;_-* &quot;-&quot;??\ _€_-;_-@_-"/>
    <numFmt numFmtId="165" formatCode="_-* #,##0\ &quot;€&quot;_-;\-* #,##0\ &quot;€&quot;_-;_-* &quot;-&quot;??\ &quot;€&quot;_-;_-@_-"/>
  </numFmts>
  <fonts count="43" x14ac:knownFonts="1">
    <font>
      <sz val="11"/>
      <color theme="1"/>
      <name val="Calibri"/>
      <family val="2"/>
      <scheme val="minor"/>
    </font>
    <font>
      <sz val="11"/>
      <color theme="1"/>
      <name val="Calibri"/>
      <family val="2"/>
      <scheme val="minor"/>
    </font>
    <font>
      <b/>
      <sz val="11"/>
      <color theme="1"/>
      <name val="Calibri"/>
      <family val="2"/>
      <scheme val="minor"/>
    </font>
    <font>
      <b/>
      <sz val="12"/>
      <color theme="1"/>
      <name val="Times New Roman"/>
      <family val="1"/>
    </font>
    <font>
      <sz val="12"/>
      <color theme="1"/>
      <name val="Times New Roman"/>
      <family val="1"/>
    </font>
    <font>
      <b/>
      <sz val="11"/>
      <color theme="1"/>
      <name val="Times New Roman"/>
      <family val="1"/>
    </font>
    <font>
      <b/>
      <sz val="11"/>
      <color theme="3"/>
      <name val="Calibri"/>
      <family val="2"/>
      <scheme val="minor"/>
    </font>
    <font>
      <b/>
      <sz val="11"/>
      <color theme="0"/>
      <name val="Calibri"/>
      <family val="2"/>
      <scheme val="minor"/>
    </font>
    <font>
      <sz val="11"/>
      <name val="Calibri"/>
      <family val="2"/>
      <scheme val="minor"/>
    </font>
    <font>
      <b/>
      <sz val="11"/>
      <name val="Calibri"/>
      <family val="2"/>
      <scheme val="minor"/>
    </font>
    <font>
      <sz val="10"/>
      <name val="Arial"/>
      <family val="2"/>
    </font>
    <font>
      <sz val="10"/>
      <color theme="1"/>
      <name val="Times New Roman"/>
      <family val="1"/>
    </font>
    <font>
      <b/>
      <sz val="10"/>
      <color theme="1"/>
      <name val="Times New Roman"/>
      <family val="1"/>
    </font>
    <font>
      <sz val="10"/>
      <color rgb="FFFF0000"/>
      <name val="Times New Roman"/>
      <family val="1"/>
    </font>
    <font>
      <b/>
      <sz val="10"/>
      <color rgb="FFFF0000"/>
      <name val="Times New Roman"/>
      <family val="1"/>
    </font>
    <font>
      <b/>
      <sz val="10"/>
      <color theme="0"/>
      <name val="Times New Roman"/>
      <family val="1"/>
    </font>
    <font>
      <b/>
      <sz val="14"/>
      <color theme="1"/>
      <name val="Candara"/>
      <family val="2"/>
    </font>
    <font>
      <sz val="12"/>
      <color theme="1"/>
      <name val="Times New Roman"/>
      <family val="2"/>
    </font>
    <font>
      <b/>
      <sz val="10"/>
      <name val="Times New Roman"/>
      <family val="1"/>
    </font>
    <font>
      <b/>
      <sz val="10"/>
      <color theme="3"/>
      <name val="Calibri"/>
      <family val="2"/>
      <scheme val="minor"/>
    </font>
    <font>
      <sz val="10"/>
      <color theme="1"/>
      <name val="Calibri"/>
      <family val="2"/>
      <scheme val="minor"/>
    </font>
    <font>
      <sz val="11"/>
      <color rgb="FFFF0000"/>
      <name val="Calibri"/>
      <family val="2"/>
      <scheme val="minor"/>
    </font>
    <font>
      <sz val="10"/>
      <color theme="0" tint="-4.9989318521683403E-2"/>
      <name val="Times New Roman"/>
      <family val="1"/>
    </font>
    <font>
      <b/>
      <sz val="11"/>
      <name val="Times New Roman"/>
      <family val="1"/>
    </font>
    <font>
      <b/>
      <sz val="9"/>
      <color theme="1"/>
      <name val="Times New Roman"/>
      <family val="1"/>
    </font>
    <font>
      <b/>
      <sz val="12"/>
      <name val="Times New Roman"/>
      <family val="1"/>
    </font>
    <font>
      <sz val="12"/>
      <name val="Times New Roman"/>
      <family val="1"/>
    </font>
    <font>
      <sz val="10.5"/>
      <color theme="1"/>
      <name val="Times New Roman"/>
      <family val="1"/>
    </font>
    <font>
      <sz val="11"/>
      <color theme="1"/>
      <name val="Times New Roman"/>
      <family val="1"/>
    </font>
    <font>
      <sz val="12"/>
      <color theme="0" tint="-4.9989318521683403E-2"/>
      <name val="Times New Roman"/>
      <family val="1"/>
    </font>
    <font>
      <b/>
      <sz val="12"/>
      <color theme="0"/>
      <name val="Times New Roman"/>
      <family val="1"/>
    </font>
    <font>
      <b/>
      <sz val="10.5"/>
      <color theme="1"/>
      <name val="Times New Roman"/>
      <family val="1"/>
    </font>
    <font>
      <sz val="10"/>
      <name val="Times New Roman"/>
      <family val="1"/>
    </font>
    <font>
      <sz val="12"/>
      <color theme="0"/>
      <name val="Calibri"/>
      <family val="2"/>
      <scheme val="minor"/>
    </font>
    <font>
      <sz val="9"/>
      <color indexed="81"/>
      <name val="Tahoma"/>
      <family val="2"/>
    </font>
    <font>
      <b/>
      <sz val="9"/>
      <color indexed="81"/>
      <name val="Tahoma"/>
      <family val="2"/>
    </font>
    <font>
      <b/>
      <sz val="11"/>
      <color rgb="FF000000"/>
      <name val="Calibri"/>
      <family val="2"/>
    </font>
    <font>
      <b/>
      <sz val="12"/>
      <color rgb="FF000080"/>
      <name val="Calibri"/>
      <family val="2"/>
    </font>
    <font>
      <b/>
      <sz val="12"/>
      <color rgb="FF339966"/>
      <name val="Calibri"/>
      <family val="2"/>
    </font>
    <font>
      <b/>
      <sz val="11"/>
      <color rgb="FFFF0000"/>
      <name val="Calibri"/>
      <family val="2"/>
    </font>
    <font>
      <b/>
      <sz val="12"/>
      <color rgb="FFFF0000"/>
      <name val="Calibri"/>
      <family val="2"/>
      <scheme val="minor"/>
    </font>
    <font>
      <b/>
      <sz val="12"/>
      <color rgb="FF0000FF"/>
      <name val="Calibri"/>
      <family val="2"/>
    </font>
    <font>
      <u/>
      <sz val="11"/>
      <color theme="10"/>
      <name val="Calibri"/>
      <family val="2"/>
      <scheme val="minor"/>
    </font>
  </fonts>
  <fills count="15">
    <fill>
      <patternFill patternType="none"/>
    </fill>
    <fill>
      <patternFill patternType="gray125"/>
    </fill>
    <fill>
      <patternFill patternType="solid">
        <fgColor theme="9" tint="0.59999389629810485"/>
        <bgColor indexed="64"/>
      </patternFill>
    </fill>
    <fill>
      <patternFill patternType="solid">
        <fgColor rgb="FFFFFFCC"/>
      </patternFill>
    </fill>
    <fill>
      <patternFill patternType="solid">
        <fgColor rgb="FFFFFFCC"/>
        <bgColor indexed="64"/>
      </patternFill>
    </fill>
    <fill>
      <patternFill patternType="solid">
        <fgColor theme="8" tint="0.79998168889431442"/>
        <bgColor indexed="64"/>
      </patternFill>
    </fill>
    <fill>
      <patternFill patternType="solid">
        <fgColor rgb="FFF2F2F2"/>
      </patternFill>
    </fill>
    <fill>
      <patternFill patternType="solid">
        <fgColor rgb="FF002060"/>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rgb="FFFF0000"/>
        <bgColor indexed="64"/>
      </patternFill>
    </fill>
    <fill>
      <patternFill patternType="solid">
        <fgColor theme="0" tint="-0.249977111117893"/>
        <bgColor indexed="64"/>
      </patternFill>
    </fill>
    <fill>
      <patternFill patternType="solid">
        <fgColor theme="9" tint="0.39997558519241921"/>
        <bgColor indexed="64"/>
      </patternFill>
    </fill>
    <fill>
      <patternFill patternType="solid">
        <fgColor theme="8"/>
        <bgColor theme="8"/>
      </patternFill>
    </fill>
    <fill>
      <patternFill patternType="solid">
        <fgColor theme="8" tint="0.79998168889431442"/>
        <bgColor theme="8" tint="0.79998168889431442"/>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theme="4" tint="0.39994506668294322"/>
      </left>
      <right style="medium">
        <color theme="4" tint="0.39994506668294322"/>
      </right>
      <top style="medium">
        <color theme="4" tint="0.39994506668294322"/>
      </top>
      <bottom style="medium">
        <color theme="4" tint="0.39994506668294322"/>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style="thin">
        <color theme="0"/>
      </right>
      <top/>
      <bottom style="thick">
        <color theme="0"/>
      </bottom>
      <diagonal/>
    </border>
    <border>
      <left/>
      <right/>
      <top/>
      <bottom style="thick">
        <color theme="0"/>
      </bottom>
      <diagonal/>
    </border>
    <border>
      <left/>
      <right style="thin">
        <color theme="0"/>
      </right>
      <top/>
      <bottom style="thin">
        <color theme="0"/>
      </bottom>
      <diagonal/>
    </border>
    <border>
      <left/>
      <right/>
      <top/>
      <bottom style="thin">
        <color theme="0"/>
      </bottom>
      <diagonal/>
    </border>
    <border>
      <left/>
      <right style="thin">
        <color theme="0"/>
      </right>
      <top/>
      <bottom/>
      <diagonal/>
    </border>
    <border>
      <left style="dashed">
        <color auto="1"/>
      </left>
      <right style="dashed">
        <color auto="1"/>
      </right>
      <top style="dashed">
        <color auto="1"/>
      </top>
      <bottom style="dashed">
        <color auto="1"/>
      </bottom>
      <diagonal/>
    </border>
    <border>
      <left style="thin">
        <color rgb="FFB2B2B2"/>
      </left>
      <right style="thin">
        <color rgb="FFB2B2B2"/>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18">
    <xf numFmtId="0" fontId="0" fillId="0" borderId="0"/>
    <xf numFmtId="43" fontId="1" fillId="0" borderId="0" applyFont="0" applyFill="0" applyBorder="0" applyAlignment="0" applyProtection="0"/>
    <xf numFmtId="43" fontId="10" fillId="0" borderId="0" applyFont="0" applyFill="0" applyBorder="0" applyAlignment="0" applyProtection="0"/>
    <xf numFmtId="0" fontId="10" fillId="0" borderId="0" applyFont="0" applyFill="0" applyBorder="0" applyAlignment="0" applyProtection="0"/>
    <xf numFmtId="0" fontId="10" fillId="0" borderId="0"/>
    <xf numFmtId="0" fontId="10" fillId="0" borderId="0"/>
    <xf numFmtId="0" fontId="6" fillId="6" borderId="4" applyAlignment="0">
      <alignment horizontal="center" vertical="center"/>
    </xf>
    <xf numFmtId="0" fontId="6" fillId="6" borderId="4">
      <alignment horizontal="center" vertical="center"/>
    </xf>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9" fontId="17"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7" fillId="0" borderId="0" applyFont="0" applyFill="0" applyBorder="0" applyAlignment="0" applyProtection="0"/>
    <xf numFmtId="0" fontId="42" fillId="0" borderId="0" applyNumberFormat="0" applyFill="0" applyBorder="0" applyAlignment="0" applyProtection="0"/>
  </cellStyleXfs>
  <cellXfs count="452">
    <xf numFmtId="0" fontId="0" fillId="0" borderId="0" xfId="0"/>
    <xf numFmtId="0" fontId="4" fillId="0" borderId="1" xfId="0" applyFont="1" applyBorder="1" applyAlignment="1">
      <alignment vertical="center"/>
    </xf>
    <xf numFmtId="0" fontId="0" fillId="0" borderId="1" xfId="0" applyBorder="1" applyAlignment="1">
      <alignment vertical="center"/>
    </xf>
    <xf numFmtId="0" fontId="3" fillId="2" borderId="1" xfId="0" applyFont="1" applyFill="1" applyBorder="1" applyAlignment="1"/>
    <xf numFmtId="0" fontId="3" fillId="0" borderId="1" xfId="0" applyFont="1" applyFill="1" applyBorder="1" applyAlignment="1"/>
    <xf numFmtId="0" fontId="0" fillId="0" borderId="1" xfId="0" applyBorder="1" applyAlignment="1"/>
    <xf numFmtId="0" fontId="3" fillId="0" borderId="1" xfId="0" applyFont="1" applyBorder="1" applyAlignment="1"/>
    <xf numFmtId="0" fontId="4" fillId="0" borderId="1" xfId="0" applyFont="1" applyBorder="1" applyAlignment="1"/>
    <xf numFmtId="0" fontId="4" fillId="0" borderId="1" xfId="0" applyFont="1" applyFill="1" applyBorder="1" applyAlignment="1"/>
    <xf numFmtId="0" fontId="0" fillId="0" borderId="1" xfId="0" applyFill="1" applyBorder="1" applyAlignment="1"/>
    <xf numFmtId="0" fontId="0" fillId="0" borderId="0" xfId="0" applyAlignment="1"/>
    <xf numFmtId="0" fontId="0" fillId="0" borderId="0" xfId="0" applyAlignment="1">
      <alignment horizontal="center"/>
    </xf>
    <xf numFmtId="0" fontId="0" fillId="0" borderId="0" xfId="0" applyFont="1" applyAlignment="1">
      <alignment horizontal="center" vertical="center"/>
    </xf>
    <xf numFmtId="0" fontId="0" fillId="0" borderId="0" xfId="0" applyFont="1" applyAlignment="1">
      <alignment horizontal="center"/>
    </xf>
    <xf numFmtId="0" fontId="0" fillId="0" borderId="0" xfId="0" applyFont="1"/>
    <xf numFmtId="1" fontId="3" fillId="2" borderId="1" xfId="1" applyNumberFormat="1" applyFont="1" applyFill="1" applyBorder="1" applyAlignment="1">
      <alignment horizontal="center" vertical="center"/>
    </xf>
    <xf numFmtId="1" fontId="3" fillId="0" borderId="1" xfId="1" applyNumberFormat="1" applyFont="1" applyFill="1" applyBorder="1" applyAlignment="1">
      <alignment horizontal="center" vertical="center"/>
    </xf>
    <xf numFmtId="1" fontId="0" fillId="0" borderId="1" xfId="1" applyNumberFormat="1" applyFont="1" applyBorder="1" applyAlignment="1">
      <alignment horizontal="center" vertical="center"/>
    </xf>
    <xf numFmtId="1" fontId="3" fillId="0" borderId="1" xfId="1" applyNumberFormat="1" applyFont="1" applyBorder="1" applyAlignment="1">
      <alignment horizontal="center" vertical="center"/>
    </xf>
    <xf numFmtId="1" fontId="4" fillId="0" borderId="1" xfId="1" applyNumberFormat="1" applyFont="1" applyBorder="1" applyAlignment="1">
      <alignment horizontal="center" vertical="center"/>
    </xf>
    <xf numFmtId="1" fontId="3" fillId="0" borderId="2" xfId="1" applyNumberFormat="1" applyFont="1" applyBorder="1" applyAlignment="1">
      <alignment horizontal="center" vertical="center"/>
    </xf>
    <xf numFmtId="1" fontId="3" fillId="2" borderId="3" xfId="1" applyNumberFormat="1" applyFont="1" applyFill="1" applyBorder="1" applyAlignment="1">
      <alignment horizontal="center" vertical="center"/>
    </xf>
    <xf numFmtId="1" fontId="0" fillId="0" borderId="2" xfId="1" applyNumberFormat="1" applyFont="1" applyBorder="1" applyAlignment="1">
      <alignment horizontal="center" vertical="center"/>
    </xf>
    <xf numFmtId="1" fontId="0" fillId="0" borderId="0" xfId="1" applyNumberFormat="1" applyFont="1" applyAlignment="1">
      <alignment horizontal="center"/>
    </xf>
    <xf numFmtId="0" fontId="0" fillId="0" borderId="0" xfId="0" applyFont="1" applyAlignment="1">
      <alignment horizontal="left" vertical="center"/>
    </xf>
    <xf numFmtId="0" fontId="0" fillId="0" borderId="0" xfId="0" applyAlignment="1">
      <alignment horizontal="left" vertical="center"/>
    </xf>
    <xf numFmtId="0" fontId="0" fillId="0" borderId="0" xfId="0" applyAlignment="1">
      <alignment horizontal="center" vertical="center"/>
    </xf>
    <xf numFmtId="1" fontId="0" fillId="0" borderId="1" xfId="1" applyNumberFormat="1" applyFont="1" applyBorder="1" applyAlignment="1">
      <alignment horizontal="center"/>
    </xf>
    <xf numFmtId="1" fontId="5" fillId="5" borderId="1" xfId="1" applyNumberFormat="1" applyFont="1" applyFill="1" applyBorder="1" applyAlignment="1">
      <alignment horizontal="center" vertical="center"/>
    </xf>
    <xf numFmtId="164" fontId="0" fillId="0" borderId="0" xfId="1" applyNumberFormat="1" applyFont="1"/>
    <xf numFmtId="0" fontId="11" fillId="0" borderId="0" xfId="0" applyFont="1"/>
    <xf numFmtId="0" fontId="11" fillId="0" borderId="0" xfId="0" applyFont="1" applyAlignment="1">
      <alignment horizontal="center" vertical="center"/>
    </xf>
    <xf numFmtId="41" fontId="12" fillId="0" borderId="0" xfId="0" applyNumberFormat="1" applyFont="1" applyFill="1" applyBorder="1" applyAlignment="1">
      <alignment vertical="center"/>
    </xf>
    <xf numFmtId="0" fontId="12" fillId="0" borderId="0" xfId="0" applyFont="1" applyFill="1" applyBorder="1" applyAlignment="1">
      <alignment horizontal="center" vertical="center"/>
    </xf>
    <xf numFmtId="0" fontId="13" fillId="0" borderId="0" xfId="0" applyFont="1"/>
    <xf numFmtId="41" fontId="14" fillId="0" borderId="1" xfId="0" applyNumberFormat="1" applyFont="1" applyFill="1" applyBorder="1" applyAlignment="1">
      <alignment vertical="center"/>
    </xf>
    <xf numFmtId="0" fontId="14" fillId="0" borderId="1" xfId="0" applyFont="1" applyFill="1" applyBorder="1" applyAlignment="1">
      <alignment horizontal="center" vertical="center"/>
    </xf>
    <xf numFmtId="41" fontId="15" fillId="7" borderId="1" xfId="0" applyNumberFormat="1" applyFont="1" applyFill="1" applyBorder="1" applyAlignment="1">
      <alignment vertical="center"/>
    </xf>
    <xf numFmtId="0" fontId="15" fillId="7" borderId="1" xfId="0" applyFont="1" applyFill="1" applyBorder="1" applyAlignment="1">
      <alignment horizontal="center" vertical="center"/>
    </xf>
    <xf numFmtId="41" fontId="11" fillId="0" borderId="1" xfId="0" applyNumberFormat="1" applyFont="1" applyFill="1" applyBorder="1" applyAlignment="1">
      <alignment vertical="center"/>
    </xf>
    <xf numFmtId="0" fontId="11" fillId="0" borderId="1" xfId="0" applyFont="1" applyBorder="1" applyAlignment="1">
      <alignment horizontal="left" vertical="center"/>
    </xf>
    <xf numFmtId="0" fontId="11" fillId="0" borderId="1" xfId="0" applyFont="1" applyFill="1" applyBorder="1" applyAlignment="1">
      <alignment horizontal="center" vertical="center"/>
    </xf>
    <xf numFmtId="10" fontId="12" fillId="0" borderId="5" xfId="8" applyNumberFormat="1" applyFont="1" applyFill="1" applyBorder="1" applyAlignment="1">
      <alignment vertical="center"/>
    </xf>
    <xf numFmtId="41" fontId="11" fillId="0" borderId="1" xfId="0" applyNumberFormat="1" applyFont="1" applyBorder="1" applyAlignment="1">
      <alignment vertical="center"/>
    </xf>
    <xf numFmtId="0" fontId="11" fillId="0" borderId="1" xfId="0" applyFont="1" applyBorder="1" applyAlignment="1">
      <alignment horizontal="center" vertical="center"/>
    </xf>
    <xf numFmtId="10" fontId="12" fillId="9" borderId="5" xfId="8" applyNumberFormat="1" applyFont="1" applyFill="1" applyBorder="1" applyAlignment="1">
      <alignment vertical="center"/>
    </xf>
    <xf numFmtId="41" fontId="12" fillId="9" borderId="1" xfId="0" applyNumberFormat="1" applyFont="1" applyFill="1" applyBorder="1" applyAlignment="1">
      <alignment vertical="center"/>
    </xf>
    <xf numFmtId="0" fontId="12" fillId="9" borderId="1" xfId="0" applyFont="1" applyFill="1" applyBorder="1" applyAlignment="1">
      <alignment horizontal="left"/>
    </xf>
    <xf numFmtId="0" fontId="12" fillId="9" borderId="1" xfId="0" applyFont="1" applyFill="1" applyBorder="1" applyAlignment="1">
      <alignment horizontal="center" vertical="center"/>
    </xf>
    <xf numFmtId="41" fontId="11" fillId="0" borderId="1" xfId="0" applyNumberFormat="1" applyFont="1" applyBorder="1" applyAlignment="1">
      <alignment vertical="top"/>
    </xf>
    <xf numFmtId="0" fontId="11" fillId="0" borderId="1" xfId="0" applyFont="1" applyBorder="1" applyAlignment="1">
      <alignment horizontal="left" vertical="center" wrapText="1"/>
    </xf>
    <xf numFmtId="41" fontId="12" fillId="0" borderId="1" xfId="0" applyNumberFormat="1" applyFont="1" applyFill="1" applyBorder="1" applyAlignment="1">
      <alignment vertical="top"/>
    </xf>
    <xf numFmtId="41" fontId="12" fillId="0" borderId="1" xfId="0" applyNumberFormat="1" applyFont="1" applyFill="1" applyBorder="1" applyAlignment="1">
      <alignment vertical="center"/>
    </xf>
    <xf numFmtId="0" fontId="12" fillId="0" borderId="1" xfId="0" applyFont="1" applyBorder="1" applyAlignment="1">
      <alignment horizontal="left" vertical="center"/>
    </xf>
    <xf numFmtId="0" fontId="12" fillId="0" borderId="1" xfId="0" applyFont="1" applyBorder="1" applyAlignment="1">
      <alignment horizontal="center" vertical="center"/>
    </xf>
    <xf numFmtId="0" fontId="11" fillId="0" borderId="0" xfId="0" applyFont="1" applyFill="1"/>
    <xf numFmtId="0" fontId="12" fillId="0" borderId="1" xfId="0" applyFont="1" applyFill="1" applyBorder="1" applyAlignment="1">
      <alignment horizontal="left"/>
    </xf>
    <xf numFmtId="0" fontId="12" fillId="0" borderId="1" xfId="0" applyFont="1" applyFill="1" applyBorder="1" applyAlignment="1">
      <alignment horizontal="center" vertical="center"/>
    </xf>
    <xf numFmtId="164" fontId="11" fillId="0" borderId="0" xfId="1" applyNumberFormat="1" applyFont="1"/>
    <xf numFmtId="0" fontId="12" fillId="9" borderId="1" xfId="0" applyFont="1" applyFill="1" applyBorder="1"/>
    <xf numFmtId="41" fontId="12" fillId="0" borderId="1" xfId="0" applyNumberFormat="1" applyFont="1" applyBorder="1" applyAlignment="1">
      <alignment vertical="top"/>
    </xf>
    <xf numFmtId="0" fontId="12" fillId="0" borderId="1" xfId="0" applyFont="1" applyBorder="1" applyAlignment="1">
      <alignment vertical="center"/>
    </xf>
    <xf numFmtId="0" fontId="11" fillId="0" borderId="1" xfId="0" applyFont="1" applyBorder="1" applyAlignment="1">
      <alignment vertical="center"/>
    </xf>
    <xf numFmtId="41" fontId="12" fillId="10" borderId="1" xfId="0" applyNumberFormat="1" applyFont="1" applyFill="1" applyBorder="1" applyAlignment="1">
      <alignment vertical="top"/>
    </xf>
    <xf numFmtId="0" fontId="11" fillId="10" borderId="1" xfId="0" applyFont="1" applyFill="1" applyBorder="1" applyAlignment="1">
      <alignment vertical="center" wrapText="1"/>
    </xf>
    <xf numFmtId="0" fontId="11" fillId="10" borderId="1" xfId="0" applyFont="1" applyFill="1" applyBorder="1" applyAlignment="1">
      <alignment horizontal="center" vertical="center"/>
    </xf>
    <xf numFmtId="41" fontId="11" fillId="10" borderId="1" xfId="0" applyNumberFormat="1" applyFont="1" applyFill="1" applyBorder="1" applyAlignment="1">
      <alignment vertical="top"/>
    </xf>
    <xf numFmtId="0" fontId="12" fillId="10" borderId="1" xfId="0" applyFont="1" applyFill="1" applyBorder="1" applyAlignment="1">
      <alignment vertical="center"/>
    </xf>
    <xf numFmtId="41" fontId="11" fillId="0" borderId="0" xfId="0" applyNumberFormat="1" applyFont="1"/>
    <xf numFmtId="0" fontId="12" fillId="0" borderId="3" xfId="0" applyFont="1" applyBorder="1" applyAlignment="1">
      <alignment vertical="center"/>
    </xf>
    <xf numFmtId="0" fontId="12" fillId="0" borderId="3" xfId="0" applyFont="1" applyBorder="1" applyAlignment="1">
      <alignment horizontal="center" vertical="center"/>
    </xf>
    <xf numFmtId="10" fontId="12" fillId="0" borderId="1" xfId="8" applyNumberFormat="1" applyFont="1" applyFill="1" applyBorder="1" applyAlignment="1">
      <alignment vertical="center"/>
    </xf>
    <xf numFmtId="41" fontId="11" fillId="0" borderId="7" xfId="0" applyNumberFormat="1" applyFont="1" applyBorder="1" applyAlignment="1">
      <alignment vertical="center"/>
    </xf>
    <xf numFmtId="0" fontId="11" fillId="0" borderId="1" xfId="0" applyFont="1" applyBorder="1" applyAlignment="1">
      <alignment vertical="center" wrapText="1"/>
    </xf>
    <xf numFmtId="41" fontId="12" fillId="0" borderId="7" xfId="0" applyNumberFormat="1" applyFont="1" applyFill="1" applyBorder="1" applyAlignment="1">
      <alignment vertical="center"/>
    </xf>
    <xf numFmtId="0" fontId="12" fillId="0" borderId="1" xfId="0" applyFont="1" applyFill="1" applyBorder="1"/>
    <xf numFmtId="0" fontId="12" fillId="11" borderId="1" xfId="0" applyFont="1" applyFill="1" applyBorder="1"/>
    <xf numFmtId="0" fontId="12" fillId="11" borderId="1" xfId="0" applyFont="1" applyFill="1" applyBorder="1" applyAlignment="1">
      <alignment horizontal="center" vertical="center"/>
    </xf>
    <xf numFmtId="10" fontId="11" fillId="0" borderId="0" xfId="8" applyNumberFormat="1" applyFont="1"/>
    <xf numFmtId="0" fontId="15" fillId="0" borderId="0" xfId="0" applyFont="1" applyFill="1" applyBorder="1" applyAlignment="1">
      <alignment horizontal="center" vertical="center"/>
    </xf>
    <xf numFmtId="41" fontId="15" fillId="0" borderId="0" xfId="0" applyNumberFormat="1" applyFont="1" applyFill="1" applyBorder="1" applyAlignment="1">
      <alignment vertical="center"/>
    </xf>
    <xf numFmtId="10" fontId="15" fillId="0" borderId="0" xfId="8" applyNumberFormat="1" applyFont="1" applyFill="1" applyBorder="1" applyAlignment="1">
      <alignment vertical="center"/>
    </xf>
    <xf numFmtId="10" fontId="15" fillId="7" borderId="9" xfId="8" applyNumberFormat="1" applyFont="1" applyFill="1" applyBorder="1" applyAlignment="1">
      <alignment vertical="center"/>
    </xf>
    <xf numFmtId="41" fontId="12" fillId="12" borderId="1" xfId="0" applyNumberFormat="1" applyFont="1" applyFill="1" applyBorder="1" applyAlignment="1">
      <alignment vertical="center"/>
    </xf>
    <xf numFmtId="0" fontId="2" fillId="0" borderId="0" xfId="0" applyFont="1" applyAlignment="1">
      <alignment horizontal="center" vertical="center"/>
    </xf>
    <xf numFmtId="41" fontId="12" fillId="0" borderId="1" xfId="0" applyNumberFormat="1" applyFont="1" applyBorder="1" applyAlignment="1">
      <alignment vertical="center"/>
    </xf>
    <xf numFmtId="41" fontId="11" fillId="0" borderId="0" xfId="0" applyNumberFormat="1" applyFont="1" applyAlignment="1">
      <alignment vertical="center"/>
    </xf>
    <xf numFmtId="0" fontId="11" fillId="0" borderId="0" xfId="0" applyFont="1" applyAlignment="1">
      <alignment vertical="center"/>
    </xf>
    <xf numFmtId="41" fontId="11" fillId="0" borderId="1" xfId="0" applyNumberFormat="1" applyFont="1" applyFill="1" applyBorder="1" applyAlignment="1"/>
    <xf numFmtId="0" fontId="11" fillId="0" borderId="1" xfId="0" applyFont="1" applyBorder="1" applyAlignment="1">
      <alignment horizontal="left" wrapText="1"/>
    </xf>
    <xf numFmtId="0" fontId="18" fillId="0" borderId="11" xfId="0" applyFont="1" applyFill="1" applyBorder="1" applyAlignment="1">
      <alignment vertical="center"/>
    </xf>
    <xf numFmtId="0" fontId="12" fillId="0" borderId="0" xfId="0" applyFont="1" applyAlignment="1">
      <alignment horizontal="center" vertical="center"/>
    </xf>
    <xf numFmtId="0" fontId="18" fillId="0" borderId="11" xfId="0" applyFont="1" applyFill="1" applyBorder="1" applyAlignment="1">
      <alignment horizontal="center"/>
    </xf>
    <xf numFmtId="41" fontId="18" fillId="0" borderId="1" xfId="0" applyNumberFormat="1" applyFont="1" applyFill="1" applyBorder="1" applyAlignment="1">
      <alignment vertical="top"/>
    </xf>
    <xf numFmtId="10" fontId="15" fillId="7" borderId="5" xfId="8" applyNumberFormat="1" applyFont="1" applyFill="1" applyBorder="1" applyAlignment="1">
      <alignment vertical="center"/>
    </xf>
    <xf numFmtId="10" fontId="14" fillId="0" borderId="5" xfId="8" applyNumberFormat="1" applyFont="1" applyFill="1" applyBorder="1" applyAlignment="1">
      <alignment vertical="center"/>
    </xf>
    <xf numFmtId="10" fontId="11" fillId="0" borderId="0" xfId="8" applyNumberFormat="1" applyFont="1" applyAlignment="1">
      <alignment vertical="center"/>
    </xf>
    <xf numFmtId="0" fontId="12" fillId="8" borderId="6" xfId="0" applyFont="1" applyFill="1" applyBorder="1" applyAlignment="1">
      <alignment horizontal="center" vertical="center"/>
    </xf>
    <xf numFmtId="0" fontId="12" fillId="8" borderId="3" xfId="0" applyFont="1" applyFill="1" applyBorder="1" applyAlignment="1">
      <alignment horizontal="center" vertical="center"/>
    </xf>
    <xf numFmtId="0" fontId="12" fillId="8" borderId="6" xfId="0" applyFont="1" applyFill="1" applyBorder="1" applyAlignment="1">
      <alignment horizontal="center" vertical="center" wrapText="1"/>
    </xf>
    <xf numFmtId="41" fontId="12" fillId="8" borderId="1" xfId="0" applyNumberFormat="1" applyFont="1" applyFill="1" applyBorder="1" applyAlignment="1">
      <alignment vertical="center"/>
    </xf>
    <xf numFmtId="0" fontId="18" fillId="0" borderId="0" xfId="0" applyFont="1" applyFill="1" applyBorder="1" applyAlignment="1">
      <alignment horizontal="center" vertical="center"/>
    </xf>
    <xf numFmtId="0" fontId="11" fillId="0" borderId="1" xfId="0" applyFont="1" applyFill="1" applyBorder="1" applyAlignment="1">
      <alignment vertical="center"/>
    </xf>
    <xf numFmtId="0" fontId="11" fillId="0" borderId="1" xfId="0" applyFont="1" applyFill="1" applyBorder="1" applyAlignment="1">
      <alignment horizontal="left" vertical="center"/>
    </xf>
    <xf numFmtId="41" fontId="11" fillId="8" borderId="1" xfId="0" applyNumberFormat="1" applyFont="1" applyFill="1" applyBorder="1" applyAlignment="1">
      <alignment vertical="top"/>
    </xf>
    <xf numFmtId="41" fontId="11" fillId="8" borderId="1" xfId="0" applyNumberFormat="1" applyFont="1" applyFill="1" applyBorder="1" applyAlignment="1">
      <alignment vertical="center"/>
    </xf>
    <xf numFmtId="41" fontId="12" fillId="8" borderId="1" xfId="0" applyNumberFormat="1" applyFont="1" applyFill="1" applyBorder="1" applyAlignment="1">
      <alignment vertical="top"/>
    </xf>
    <xf numFmtId="41" fontId="12" fillId="8" borderId="3" xfId="0" applyNumberFormat="1" applyFont="1" applyFill="1" applyBorder="1" applyAlignment="1">
      <alignment vertical="center"/>
    </xf>
    <xf numFmtId="41" fontId="14" fillId="8" borderId="1" xfId="0" applyNumberFormat="1" applyFont="1" applyFill="1" applyBorder="1" applyAlignment="1">
      <alignment vertical="center"/>
    </xf>
    <xf numFmtId="0" fontId="7" fillId="13" borderId="12" xfId="0" applyFont="1" applyFill="1" applyBorder="1"/>
    <xf numFmtId="0" fontId="0" fillId="14" borderId="14" xfId="0" applyFont="1" applyFill="1" applyBorder="1"/>
    <xf numFmtId="41" fontId="0" fillId="14" borderId="14" xfId="0" applyNumberFormat="1" applyFont="1" applyFill="1" applyBorder="1"/>
    <xf numFmtId="41" fontId="0" fillId="14" borderId="15" xfId="0" applyNumberFormat="1" applyFont="1" applyFill="1" applyBorder="1"/>
    <xf numFmtId="0" fontId="0" fillId="14" borderId="16" xfId="0" applyFont="1" applyFill="1" applyBorder="1"/>
    <xf numFmtId="41" fontId="0" fillId="14" borderId="0" xfId="0" applyNumberFormat="1" applyFont="1" applyFill="1" applyBorder="1"/>
    <xf numFmtId="0" fontId="7" fillId="13" borderId="12" xfId="0" applyFont="1" applyFill="1" applyBorder="1" applyAlignment="1">
      <alignment horizontal="center" vertical="center"/>
    </xf>
    <xf numFmtId="41" fontId="7" fillId="13" borderId="13" xfId="0" applyNumberFormat="1" applyFont="1" applyFill="1" applyBorder="1" applyAlignment="1">
      <alignment horizontal="center" vertical="center"/>
    </xf>
    <xf numFmtId="0" fontId="0" fillId="0" borderId="13" xfId="0" applyBorder="1" applyAlignment="1">
      <alignment horizontal="center" vertical="center"/>
    </xf>
    <xf numFmtId="164" fontId="7" fillId="13" borderId="12" xfId="0" applyNumberFormat="1" applyFont="1" applyFill="1" applyBorder="1"/>
    <xf numFmtId="0" fontId="12" fillId="0" borderId="2" xfId="0" applyFont="1" applyFill="1" applyBorder="1" applyAlignment="1">
      <alignment horizontal="center" vertical="center" wrapText="1"/>
    </xf>
    <xf numFmtId="0" fontId="12" fillId="0" borderId="3" xfId="0" applyFont="1" applyFill="1" applyBorder="1" applyAlignment="1">
      <alignment horizontal="center" vertical="center" wrapText="1"/>
    </xf>
    <xf numFmtId="0" fontId="19" fillId="3" borderId="18" xfId="0" applyFont="1" applyFill="1" applyBorder="1" applyAlignment="1">
      <alignment horizontal="center" vertical="top"/>
    </xf>
    <xf numFmtId="0" fontId="19" fillId="3" borderId="18" xfId="0" applyFont="1" applyFill="1" applyBorder="1" applyAlignment="1">
      <alignment horizontal="center" vertical="center"/>
    </xf>
    <xf numFmtId="164" fontId="19" fillId="4" borderId="18" xfId="0" applyNumberFormat="1" applyFont="1" applyFill="1" applyBorder="1" applyAlignment="1">
      <alignment horizontal="center" vertical="center"/>
    </xf>
    <xf numFmtId="0" fontId="19" fillId="3" borderId="18" xfId="0" applyFont="1" applyFill="1" applyBorder="1" applyAlignment="1">
      <alignment horizontal="center" vertical="center" wrapText="1"/>
    </xf>
    <xf numFmtId="0" fontId="19" fillId="3" borderId="18" xfId="0" applyFont="1" applyFill="1" applyBorder="1" applyAlignment="1">
      <alignment horizontal="center" vertical="top" wrapText="1"/>
    </xf>
    <xf numFmtId="0" fontId="0" fillId="0" borderId="0" xfId="0" pivotButton="1"/>
    <xf numFmtId="0" fontId="9" fillId="0" borderId="0" xfId="0" pivotButton="1" applyFont="1"/>
    <xf numFmtId="0" fontId="9" fillId="0" borderId="0" xfId="0" applyFont="1"/>
    <xf numFmtId="0" fontId="20" fillId="5" borderId="17" xfId="0" applyFont="1" applyFill="1" applyBorder="1" applyAlignment="1">
      <alignment horizontal="center" vertical="center"/>
    </xf>
    <xf numFmtId="0" fontId="0" fillId="5" borderId="17" xfId="0" applyFill="1" applyBorder="1" applyAlignment="1">
      <alignment horizontal="center" vertical="center"/>
    </xf>
    <xf numFmtId="0" fontId="0" fillId="5" borderId="17" xfId="0" applyFill="1" applyBorder="1"/>
    <xf numFmtId="41" fontId="0" fillId="0" borderId="0" xfId="0" applyNumberFormat="1"/>
    <xf numFmtId="41" fontId="8" fillId="0" borderId="0" xfId="0" applyNumberFormat="1" applyFont="1"/>
    <xf numFmtId="0" fontId="0" fillId="0" borderId="0" xfId="0" pivotButton="1" applyAlignment="1">
      <alignment horizontal="center" vertical="center"/>
    </xf>
    <xf numFmtId="41" fontId="12" fillId="11" borderId="3" xfId="0" applyNumberFormat="1" applyFont="1" applyFill="1" applyBorder="1" applyAlignment="1">
      <alignment vertical="center"/>
    </xf>
    <xf numFmtId="0" fontId="12" fillId="0" borderId="0" xfId="0" applyFont="1" applyAlignment="1">
      <alignment horizontal="center"/>
    </xf>
    <xf numFmtId="0" fontId="12" fillId="0" borderId="19" xfId="0" applyFont="1" applyFill="1" applyBorder="1" applyAlignment="1">
      <alignment horizontal="center" vertical="center" wrapText="1"/>
    </xf>
    <xf numFmtId="0" fontId="12" fillId="0" borderId="6" xfId="0" applyFont="1" applyFill="1" applyBorder="1" applyAlignment="1">
      <alignment horizontal="center" vertical="center" wrapText="1"/>
    </xf>
    <xf numFmtId="0" fontId="12" fillId="0" borderId="20" xfId="0" applyFont="1" applyFill="1" applyBorder="1" applyAlignment="1">
      <alignment horizontal="center" vertical="center" wrapText="1"/>
    </xf>
    <xf numFmtId="0" fontId="12" fillId="0" borderId="11" xfId="0" applyFont="1" applyFill="1" applyBorder="1" applyAlignment="1">
      <alignment horizontal="center" vertical="center" wrapText="1"/>
    </xf>
    <xf numFmtId="10" fontId="12" fillId="11" borderId="5" xfId="8" applyNumberFormat="1" applyFont="1" applyFill="1" applyBorder="1" applyAlignment="1">
      <alignment vertical="center"/>
    </xf>
    <xf numFmtId="0" fontId="12" fillId="0" borderId="2" xfId="0" applyFont="1" applyFill="1" applyBorder="1" applyAlignment="1">
      <alignment horizontal="center" vertical="center" wrapText="1"/>
    </xf>
    <xf numFmtId="0" fontId="12" fillId="0" borderId="3" xfId="0" applyFont="1" applyFill="1" applyBorder="1" applyAlignment="1">
      <alignment horizontal="center" vertical="center" wrapText="1"/>
    </xf>
    <xf numFmtId="0" fontId="16" fillId="0" borderId="0" xfId="0" applyFont="1" applyBorder="1" applyAlignment="1">
      <alignment horizontal="center" vertical="center"/>
    </xf>
    <xf numFmtId="41" fontId="0" fillId="0" borderId="0" xfId="0" applyNumberFormat="1" applyBorder="1"/>
    <xf numFmtId="41" fontId="8" fillId="0" borderId="0" xfId="0" applyNumberFormat="1" applyFont="1" applyBorder="1"/>
    <xf numFmtId="41" fontId="8" fillId="0" borderId="21" xfId="0" applyNumberFormat="1" applyFont="1" applyBorder="1"/>
    <xf numFmtId="0" fontId="8" fillId="0" borderId="0" xfId="0" pivotButton="1" applyFont="1" applyAlignment="1">
      <alignment horizontal="center" vertical="center"/>
    </xf>
    <xf numFmtId="0" fontId="8" fillId="0" borderId="0" xfId="0" pivotButton="1" applyFont="1" applyAlignment="1">
      <alignment horizontal="left" vertical="center"/>
    </xf>
    <xf numFmtId="0" fontId="0" fillId="0" borderId="0" xfId="0" pivotButton="1" applyFont="1" applyAlignment="1">
      <alignment horizontal="right" vertical="center"/>
    </xf>
    <xf numFmtId="0" fontId="0" fillId="0" borderId="0" xfId="0" applyFont="1" applyAlignment="1">
      <alignment horizontal="left"/>
    </xf>
    <xf numFmtId="41" fontId="0" fillId="0" borderId="0" xfId="0" applyNumberFormat="1" applyFont="1"/>
    <xf numFmtId="0" fontId="0" fillId="0" borderId="0" xfId="0" pivotButton="1" applyFont="1"/>
    <xf numFmtId="10" fontId="11" fillId="0" borderId="5" xfId="8" applyNumberFormat="1" applyFont="1" applyFill="1" applyBorder="1" applyAlignment="1">
      <alignment vertical="center"/>
    </xf>
    <xf numFmtId="41" fontId="11" fillId="0" borderId="1" xfId="0" applyNumberFormat="1" applyFont="1" applyFill="1" applyBorder="1" applyAlignment="1">
      <alignment vertical="top"/>
    </xf>
    <xf numFmtId="0" fontId="4" fillId="0" borderId="0" xfId="0" applyFont="1" applyAlignment="1">
      <alignment horizontal="center" vertical="center"/>
    </xf>
    <xf numFmtId="41" fontId="22" fillId="0" borderId="0" xfId="0" applyNumberFormat="1" applyFont="1"/>
    <xf numFmtId="10" fontId="22" fillId="0" borderId="0" xfId="8" applyNumberFormat="1" applyFont="1"/>
    <xf numFmtId="0" fontId="5" fillId="0" borderId="19" xfId="0" applyFont="1" applyFill="1" applyBorder="1" applyAlignment="1">
      <alignment horizontal="center" vertical="center"/>
    </xf>
    <xf numFmtId="0" fontId="23" fillId="0" borderId="2" xfId="0" applyFont="1" applyFill="1" applyBorder="1" applyAlignment="1">
      <alignment horizontal="center" vertical="center"/>
    </xf>
    <xf numFmtId="0" fontId="12" fillId="0" borderId="6" xfId="0" applyFont="1" applyBorder="1" applyAlignment="1">
      <alignment horizontal="center" vertical="center"/>
    </xf>
    <xf numFmtId="0" fontId="18" fillId="0" borderId="3" xfId="0" applyFont="1" applyBorder="1" applyAlignment="1">
      <alignment horizontal="center" vertical="center"/>
    </xf>
    <xf numFmtId="0" fontId="3" fillId="11" borderId="1" xfId="0" applyFont="1" applyFill="1" applyBorder="1" applyAlignment="1">
      <alignment horizontal="center" vertical="center"/>
    </xf>
    <xf numFmtId="0" fontId="3" fillId="11" borderId="1" xfId="0" applyFont="1" applyFill="1" applyBorder="1"/>
    <xf numFmtId="41" fontId="3" fillId="11" borderId="1" xfId="0" applyNumberFormat="1" applyFont="1" applyFill="1" applyBorder="1" applyAlignment="1">
      <alignment vertical="center"/>
    </xf>
    <xf numFmtId="41" fontId="25" fillId="11" borderId="1" xfId="0" applyNumberFormat="1" applyFont="1" applyFill="1" applyBorder="1" applyAlignment="1">
      <alignment vertical="center"/>
    </xf>
    <xf numFmtId="0" fontId="3" fillId="0" borderId="1" xfId="0" applyFont="1" applyFill="1" applyBorder="1" applyAlignment="1">
      <alignment horizontal="center" vertical="center"/>
    </xf>
    <xf numFmtId="0" fontId="3" fillId="0" borderId="1" xfId="0" applyFont="1" applyFill="1" applyBorder="1"/>
    <xf numFmtId="41" fontId="3" fillId="0" borderId="1" xfId="0" applyNumberFormat="1" applyFont="1" applyFill="1" applyBorder="1" applyAlignment="1">
      <alignment vertical="center"/>
    </xf>
    <xf numFmtId="41" fontId="25" fillId="0" borderId="1" xfId="0" applyNumberFormat="1" applyFont="1" applyFill="1" applyBorder="1" applyAlignment="1">
      <alignment vertical="center"/>
    </xf>
    <xf numFmtId="0" fontId="4" fillId="0" borderId="2" xfId="0" applyFont="1" applyBorder="1" applyAlignment="1">
      <alignment horizontal="center" vertical="center"/>
    </xf>
    <xf numFmtId="0" fontId="4" fillId="0" borderId="2" xfId="0" applyFont="1" applyBorder="1" applyAlignment="1">
      <alignment vertical="center" wrapText="1"/>
    </xf>
    <xf numFmtId="41" fontId="4" fillId="0" borderId="2" xfId="0" applyNumberFormat="1" applyFont="1" applyBorder="1" applyAlignment="1">
      <alignment vertical="center"/>
    </xf>
    <xf numFmtId="41" fontId="26" fillId="0" borderId="2" xfId="0" applyNumberFormat="1" applyFont="1" applyBorder="1" applyAlignment="1">
      <alignment vertical="top"/>
    </xf>
    <xf numFmtId="41" fontId="4" fillId="0" borderId="2" xfId="0" applyNumberFormat="1" applyFont="1" applyFill="1" applyBorder="1" applyAlignment="1">
      <alignment vertical="center"/>
    </xf>
    <xf numFmtId="9" fontId="11" fillId="0" borderId="0" xfId="8" applyFont="1"/>
    <xf numFmtId="0" fontId="11" fillId="0" borderId="20" xfId="0" applyFont="1" applyBorder="1" applyAlignment="1">
      <alignment vertical="center" wrapText="1"/>
    </xf>
    <xf numFmtId="41" fontId="26" fillId="0" borderId="20" xfId="0" applyNumberFormat="1" applyFont="1" applyBorder="1" applyAlignment="1">
      <alignment vertical="top"/>
    </xf>
    <xf numFmtId="41" fontId="4" fillId="0" borderId="8" xfId="0" applyNumberFormat="1" applyFont="1" applyFill="1" applyBorder="1" applyAlignment="1">
      <alignment vertical="center"/>
    </xf>
    <xf numFmtId="0" fontId="3" fillId="0" borderId="7" xfId="0" applyFont="1" applyFill="1" applyBorder="1" applyAlignment="1">
      <alignment horizontal="center" vertical="center"/>
    </xf>
    <xf numFmtId="0" fontId="3" fillId="0" borderId="1" xfId="0" applyFont="1" applyBorder="1"/>
    <xf numFmtId="41" fontId="4" fillId="0" borderId="9" xfId="0" applyNumberFormat="1" applyFont="1" applyBorder="1" applyAlignment="1">
      <alignment vertical="center"/>
    </xf>
    <xf numFmtId="41" fontId="26" fillId="0" borderId="10" xfId="0" applyNumberFormat="1" applyFont="1" applyBorder="1" applyAlignment="1">
      <alignment vertical="top"/>
    </xf>
    <xf numFmtId="41" fontId="4" fillId="0" borderId="1" xfId="0" applyNumberFormat="1" applyFont="1" applyBorder="1" applyAlignment="1">
      <alignment vertical="center"/>
    </xf>
    <xf numFmtId="41" fontId="4" fillId="0" borderId="9" xfId="0" applyNumberFormat="1" applyFont="1" applyFill="1" applyBorder="1" applyAlignment="1">
      <alignment vertical="center"/>
    </xf>
    <xf numFmtId="0" fontId="4" fillId="0" borderId="19" xfId="0" applyFont="1" applyBorder="1" applyAlignment="1">
      <alignment horizontal="center" vertical="center"/>
    </xf>
    <xf numFmtId="0" fontId="21" fillId="0" borderId="2" xfId="0" applyFont="1" applyBorder="1"/>
    <xf numFmtId="41" fontId="4" fillId="0" borderId="20" xfId="0" applyNumberFormat="1" applyFont="1" applyBorder="1" applyAlignment="1">
      <alignment vertical="center"/>
    </xf>
    <xf numFmtId="0" fontId="3" fillId="0" borderId="1" xfId="0" applyFont="1" applyBorder="1" applyAlignment="1">
      <alignment horizontal="center" vertical="center"/>
    </xf>
    <xf numFmtId="0" fontId="5" fillId="0" borderId="1" xfId="0" applyFont="1" applyBorder="1" applyAlignment="1">
      <alignment vertical="center"/>
    </xf>
    <xf numFmtId="41" fontId="3" fillId="0" borderId="1" xfId="0" applyNumberFormat="1" applyFont="1" applyBorder="1" applyAlignment="1">
      <alignment vertical="top"/>
    </xf>
    <xf numFmtId="0" fontId="11" fillId="0" borderId="19" xfId="0" applyFont="1" applyBorder="1" applyAlignment="1">
      <alignment horizontal="center" vertical="center"/>
    </xf>
    <xf numFmtId="0" fontId="27" fillId="0" borderId="2" xfId="0" quotePrefix="1" applyFont="1" applyBorder="1" applyAlignment="1">
      <alignment vertical="center"/>
    </xf>
    <xf numFmtId="41" fontId="4" fillId="0" borderId="20" xfId="0" applyNumberFormat="1" applyFont="1" applyBorder="1" applyAlignment="1">
      <alignment vertical="top"/>
    </xf>
    <xf numFmtId="0" fontId="11" fillId="0" borderId="21" xfId="0" applyFont="1" applyBorder="1" applyAlignment="1">
      <alignment horizontal="center" vertical="center"/>
    </xf>
    <xf numFmtId="0" fontId="27" fillId="0" borderId="23" xfId="0" quotePrefix="1" applyFont="1" applyBorder="1" applyAlignment="1">
      <alignment vertical="center"/>
    </xf>
    <xf numFmtId="41" fontId="4" fillId="0" borderId="0" xfId="0" applyNumberFormat="1" applyFont="1" applyBorder="1" applyAlignment="1">
      <alignment vertical="top"/>
    </xf>
    <xf numFmtId="41" fontId="26" fillId="0" borderId="23" xfId="0" applyNumberFormat="1" applyFont="1" applyBorder="1" applyAlignment="1">
      <alignment vertical="top"/>
    </xf>
    <xf numFmtId="41" fontId="4" fillId="0" borderId="23" xfId="0" applyNumberFormat="1" applyFont="1" applyFill="1" applyBorder="1" applyAlignment="1">
      <alignment vertical="center"/>
    </xf>
    <xf numFmtId="0" fontId="28" fillId="0" borderId="23" xfId="0" quotePrefix="1" applyFont="1" applyBorder="1" applyAlignment="1">
      <alignment vertical="center"/>
    </xf>
    <xf numFmtId="0" fontId="11" fillId="0" borderId="3" xfId="0" quotePrefix="1" applyFont="1" applyBorder="1" applyAlignment="1">
      <alignment vertical="center" wrapText="1"/>
    </xf>
    <xf numFmtId="41" fontId="4" fillId="0" borderId="11" xfId="0" applyNumberFormat="1" applyFont="1" applyBorder="1" applyAlignment="1">
      <alignment vertical="center"/>
    </xf>
    <xf numFmtId="41" fontId="26" fillId="0" borderId="3" xfId="0" applyNumberFormat="1" applyFont="1" applyBorder="1" applyAlignment="1">
      <alignment vertical="center"/>
    </xf>
    <xf numFmtId="41" fontId="4" fillId="0" borderId="3" xfId="0" applyNumberFormat="1" applyFont="1" applyFill="1" applyBorder="1" applyAlignment="1">
      <alignment vertical="center"/>
    </xf>
    <xf numFmtId="0" fontId="5" fillId="0" borderId="3" xfId="0" applyFont="1" applyBorder="1" applyAlignment="1">
      <alignment vertical="center"/>
    </xf>
    <xf numFmtId="41" fontId="3" fillId="0" borderId="3" xfId="0" applyNumberFormat="1" applyFont="1" applyBorder="1" applyAlignment="1">
      <alignment vertical="center"/>
    </xf>
    <xf numFmtId="41" fontId="25" fillId="0" borderId="3" xfId="0" applyNumberFormat="1" applyFont="1" applyBorder="1" applyAlignment="1">
      <alignment vertical="center"/>
    </xf>
    <xf numFmtId="41" fontId="25" fillId="0" borderId="1" xfId="0" applyNumberFormat="1" applyFont="1" applyBorder="1" applyAlignment="1">
      <alignment vertical="top"/>
    </xf>
    <xf numFmtId="0" fontId="28" fillId="0" borderId="1" xfId="0" applyFont="1" applyBorder="1" applyAlignment="1">
      <alignment vertical="center"/>
    </xf>
    <xf numFmtId="41" fontId="26" fillId="0" borderId="1" xfId="0" applyNumberFormat="1" applyFont="1" applyBorder="1" applyAlignment="1">
      <alignment vertical="top"/>
    </xf>
    <xf numFmtId="41" fontId="4" fillId="0" borderId="1" xfId="0" applyNumberFormat="1" applyFont="1" applyBorder="1" applyAlignment="1">
      <alignment vertical="top"/>
    </xf>
    <xf numFmtId="0" fontId="28" fillId="0" borderId="1" xfId="0" applyFont="1" applyBorder="1" applyAlignment="1">
      <alignment vertical="center" wrapText="1"/>
    </xf>
    <xf numFmtId="0" fontId="3" fillId="9" borderId="1" xfId="0" applyFont="1" applyFill="1" applyBorder="1" applyAlignment="1">
      <alignment horizontal="center" vertical="center"/>
    </xf>
    <xf numFmtId="0" fontId="3" fillId="9" borderId="1" xfId="0" applyFont="1" applyFill="1" applyBorder="1"/>
    <xf numFmtId="41" fontId="3" fillId="9" borderId="1" xfId="0" applyNumberFormat="1" applyFont="1" applyFill="1" applyBorder="1" applyAlignment="1">
      <alignment vertical="center"/>
    </xf>
    <xf numFmtId="41" fontId="25" fillId="9" borderId="1" xfId="0" applyNumberFormat="1" applyFont="1" applyFill="1" applyBorder="1" applyAlignment="1">
      <alignment vertical="center"/>
    </xf>
    <xf numFmtId="0" fontId="4" fillId="10" borderId="1" xfId="0" applyFont="1" applyFill="1" applyBorder="1" applyAlignment="1">
      <alignment horizontal="center" vertical="center"/>
    </xf>
    <xf numFmtId="41" fontId="4" fillId="10" borderId="1" xfId="0" applyNumberFormat="1" applyFont="1" applyFill="1" applyBorder="1" applyAlignment="1">
      <alignment vertical="top"/>
    </xf>
    <xf numFmtId="41" fontId="26" fillId="10" borderId="1" xfId="0" applyNumberFormat="1" applyFont="1" applyFill="1" applyBorder="1" applyAlignment="1">
      <alignment vertical="top"/>
    </xf>
    <xf numFmtId="41" fontId="3" fillId="10" borderId="1" xfId="0" applyNumberFormat="1" applyFont="1" applyFill="1" applyBorder="1" applyAlignment="1">
      <alignment vertical="top"/>
    </xf>
    <xf numFmtId="41" fontId="25" fillId="10" borderId="1" xfId="0" applyNumberFormat="1" applyFont="1" applyFill="1" applyBorder="1" applyAlignment="1">
      <alignment vertical="top"/>
    </xf>
    <xf numFmtId="41" fontId="3" fillId="0" borderId="1" xfId="0" applyNumberFormat="1" applyFont="1" applyFill="1" applyBorder="1" applyAlignment="1">
      <alignment vertical="top"/>
    </xf>
    <xf numFmtId="41" fontId="25" fillId="0" borderId="1" xfId="0" applyNumberFormat="1" applyFont="1" applyFill="1" applyBorder="1" applyAlignment="1">
      <alignment vertical="top"/>
    </xf>
    <xf numFmtId="10" fontId="11" fillId="0" borderId="0" xfId="8" applyNumberFormat="1" applyFont="1" applyFill="1"/>
    <xf numFmtId="0" fontId="3" fillId="0" borderId="2" xfId="0" applyFont="1" applyBorder="1" applyAlignment="1">
      <alignment horizontal="center" vertical="center"/>
    </xf>
    <xf numFmtId="0" fontId="5" fillId="0" borderId="2" xfId="0" applyFont="1" applyBorder="1" applyAlignment="1">
      <alignment vertical="center"/>
    </xf>
    <xf numFmtId="41" fontId="3" fillId="0" borderId="2" xfId="0" applyNumberFormat="1" applyFont="1" applyBorder="1" applyAlignment="1">
      <alignment vertical="top"/>
    </xf>
    <xf numFmtId="41" fontId="25" fillId="0" borderId="2" xfId="0" applyNumberFormat="1" applyFont="1" applyBorder="1" applyAlignment="1">
      <alignment vertical="top"/>
    </xf>
    <xf numFmtId="41" fontId="2" fillId="5" borderId="1" xfId="0" applyNumberFormat="1" applyFont="1" applyFill="1" applyBorder="1" applyAlignment="1">
      <alignment vertical="center"/>
    </xf>
    <xf numFmtId="0" fontId="3" fillId="0" borderId="19" xfId="0" applyFont="1" applyBorder="1" applyAlignment="1">
      <alignment horizontal="center" vertical="center"/>
    </xf>
    <xf numFmtId="0" fontId="28" fillId="0" borderId="2" xfId="0" applyFont="1" applyBorder="1" applyAlignment="1">
      <alignment horizontal="right" vertical="center"/>
    </xf>
    <xf numFmtId="41" fontId="26" fillId="0" borderId="19" xfId="0" applyNumberFormat="1" applyFont="1" applyBorder="1" applyAlignment="1">
      <alignment vertical="top"/>
    </xf>
    <xf numFmtId="41" fontId="4" fillId="0" borderId="2" xfId="0" applyNumberFormat="1" applyFont="1" applyBorder="1" applyAlignment="1">
      <alignment vertical="top"/>
    </xf>
    <xf numFmtId="41" fontId="4" fillId="0" borderId="8" xfId="0" applyNumberFormat="1" applyFont="1" applyBorder="1" applyAlignment="1">
      <alignment vertical="top"/>
    </xf>
    <xf numFmtId="0" fontId="0" fillId="5" borderId="1" xfId="0" applyFill="1" applyBorder="1" applyAlignment="1">
      <alignment vertical="center"/>
    </xf>
    <xf numFmtId="41" fontId="0" fillId="5" borderId="1" xfId="0" applyNumberFormat="1" applyFill="1" applyBorder="1" applyAlignment="1">
      <alignment vertical="center"/>
    </xf>
    <xf numFmtId="0" fontId="0" fillId="5" borderId="1" xfId="0" applyFill="1" applyBorder="1" applyAlignment="1">
      <alignment horizontal="center" vertical="center"/>
    </xf>
    <xf numFmtId="0" fontId="3" fillId="0" borderId="21" xfId="0" applyFont="1" applyBorder="1" applyAlignment="1">
      <alignment horizontal="center" vertical="center"/>
    </xf>
    <xf numFmtId="0" fontId="28" fillId="0" borderId="23" xfId="0" applyFont="1" applyBorder="1" applyAlignment="1">
      <alignment horizontal="right" vertical="center"/>
    </xf>
    <xf numFmtId="41" fontId="26" fillId="0" borderId="21" xfId="0" applyNumberFormat="1" applyFont="1" applyBorder="1" applyAlignment="1">
      <alignment vertical="top"/>
    </xf>
    <xf numFmtId="41" fontId="4" fillId="0" borderId="23" xfId="0" applyNumberFormat="1" applyFont="1" applyBorder="1" applyAlignment="1">
      <alignment vertical="top"/>
    </xf>
    <xf numFmtId="41" fontId="4" fillId="0" borderId="22" xfId="0" applyNumberFormat="1" applyFont="1" applyBorder="1" applyAlignment="1">
      <alignment vertical="top"/>
    </xf>
    <xf numFmtId="0" fontId="3" fillId="0" borderId="6" xfId="0" applyFont="1" applyBorder="1" applyAlignment="1">
      <alignment horizontal="center" vertical="center"/>
    </xf>
    <xf numFmtId="0" fontId="28" fillId="0" borderId="3" xfId="0" applyFont="1" applyBorder="1" applyAlignment="1">
      <alignment horizontal="right" vertical="center"/>
    </xf>
    <xf numFmtId="41" fontId="4" fillId="0" borderId="11" xfId="0" applyNumberFormat="1" applyFont="1" applyBorder="1" applyAlignment="1">
      <alignment vertical="top"/>
    </xf>
    <xf numFmtId="41" fontId="26" fillId="0" borderId="6" xfId="0" applyNumberFormat="1" applyFont="1" applyBorder="1" applyAlignment="1">
      <alignment vertical="top"/>
    </xf>
    <xf numFmtId="41" fontId="4" fillId="0" borderId="3" xfId="0" applyNumberFormat="1" applyFont="1" applyBorder="1" applyAlignment="1">
      <alignment vertical="top"/>
    </xf>
    <xf numFmtId="41" fontId="4" fillId="0" borderId="5" xfId="0" applyNumberFormat="1" applyFont="1" applyBorder="1" applyAlignment="1">
      <alignment vertical="top"/>
    </xf>
    <xf numFmtId="0" fontId="3" fillId="0" borderId="23" xfId="0" applyFont="1" applyBorder="1" applyAlignment="1">
      <alignment horizontal="center" vertical="center"/>
    </xf>
    <xf numFmtId="0" fontId="5" fillId="0" borderId="23" xfId="0" applyFont="1" applyBorder="1" applyAlignment="1">
      <alignment vertical="center"/>
    </xf>
    <xf numFmtId="41" fontId="3" fillId="0" borderId="23" xfId="0" applyNumberFormat="1" applyFont="1" applyBorder="1" applyAlignment="1">
      <alignment vertical="top"/>
    </xf>
    <xf numFmtId="41" fontId="25" fillId="0" borderId="23" xfId="0" applyNumberFormat="1" applyFont="1" applyBorder="1" applyAlignment="1">
      <alignment vertical="top"/>
    </xf>
    <xf numFmtId="41" fontId="3" fillId="0" borderId="20" xfId="0" applyNumberFormat="1" applyFont="1" applyBorder="1" applyAlignment="1">
      <alignment vertical="top"/>
    </xf>
    <xf numFmtId="41" fontId="25" fillId="0" borderId="19" xfId="0" applyNumberFormat="1" applyFont="1" applyBorder="1" applyAlignment="1">
      <alignment vertical="top"/>
    </xf>
    <xf numFmtId="41" fontId="3" fillId="0" borderId="8" xfId="0" applyNumberFormat="1" applyFont="1" applyBorder="1" applyAlignment="1">
      <alignment vertical="top"/>
    </xf>
    <xf numFmtId="41" fontId="0" fillId="5" borderId="1" xfId="0" applyNumberFormat="1" applyFill="1" applyBorder="1"/>
    <xf numFmtId="0" fontId="0" fillId="5" borderId="1" xfId="0" applyFill="1" applyBorder="1"/>
    <xf numFmtId="41" fontId="3" fillId="0" borderId="0" xfId="0" applyNumberFormat="1" applyFont="1" applyBorder="1" applyAlignment="1">
      <alignment vertical="top"/>
    </xf>
    <xf numFmtId="41" fontId="25" fillId="0" borderId="21" xfId="0" applyNumberFormat="1" applyFont="1" applyBorder="1" applyAlignment="1">
      <alignment vertical="top"/>
    </xf>
    <xf numFmtId="41" fontId="3" fillId="0" borderId="22" xfId="0" applyNumberFormat="1" applyFont="1" applyBorder="1" applyAlignment="1">
      <alignment vertical="top"/>
    </xf>
    <xf numFmtId="41" fontId="3" fillId="0" borderId="11" xfId="0" applyNumberFormat="1" applyFont="1" applyBorder="1" applyAlignment="1">
      <alignment vertical="top"/>
    </xf>
    <xf numFmtId="41" fontId="25" fillId="0" borderId="6" xfId="0" applyNumberFormat="1" applyFont="1" applyBorder="1" applyAlignment="1">
      <alignment vertical="top"/>
    </xf>
    <xf numFmtId="41" fontId="3" fillId="0" borderId="5" xfId="0" applyNumberFormat="1" applyFont="1" applyBorder="1" applyAlignment="1">
      <alignment vertical="top"/>
    </xf>
    <xf numFmtId="0" fontId="3" fillId="0" borderId="3" xfId="0" applyFont="1" applyBorder="1" applyAlignment="1">
      <alignment horizontal="center" vertical="center"/>
    </xf>
    <xf numFmtId="41" fontId="3" fillId="0" borderId="3" xfId="0" applyNumberFormat="1" applyFont="1" applyBorder="1" applyAlignment="1">
      <alignment vertical="top"/>
    </xf>
    <xf numFmtId="41" fontId="25" fillId="0" borderId="3" xfId="0" applyNumberFormat="1" applyFont="1" applyBorder="1" applyAlignment="1">
      <alignment vertical="top"/>
    </xf>
    <xf numFmtId="0" fontId="0" fillId="0" borderId="0" xfId="0" applyBorder="1" applyAlignment="1">
      <alignment vertical="center"/>
    </xf>
    <xf numFmtId="41" fontId="2" fillId="5" borderId="1" xfId="0" applyNumberFormat="1" applyFont="1" applyFill="1" applyBorder="1"/>
    <xf numFmtId="41" fontId="3" fillId="0" borderId="1" xfId="0" applyNumberFormat="1" applyFont="1" applyBorder="1" applyAlignment="1">
      <alignment vertical="center"/>
    </xf>
    <xf numFmtId="41" fontId="26" fillId="0" borderId="1" xfId="0" applyNumberFormat="1" applyFont="1" applyBorder="1" applyAlignment="1">
      <alignment vertical="center"/>
    </xf>
    <xf numFmtId="0" fontId="4" fillId="0" borderId="1" xfId="0" applyFont="1" applyBorder="1" applyAlignment="1">
      <alignment horizontal="center" vertical="center"/>
    </xf>
    <xf numFmtId="0" fontId="28" fillId="0" borderId="1" xfId="0" applyFont="1" applyBorder="1" applyAlignment="1">
      <alignment horizontal="left" vertical="center"/>
    </xf>
    <xf numFmtId="0" fontId="28" fillId="0" borderId="1" xfId="0" applyFont="1" applyBorder="1" applyAlignment="1">
      <alignment horizontal="left" vertical="center" wrapText="1"/>
    </xf>
    <xf numFmtId="41" fontId="29" fillId="0" borderId="1" xfId="0" applyNumberFormat="1" applyFont="1" applyBorder="1" applyAlignment="1">
      <alignment vertical="center"/>
    </xf>
    <xf numFmtId="0" fontId="3" fillId="9" borderId="1" xfId="0" applyFont="1" applyFill="1" applyBorder="1" applyAlignment="1">
      <alignment horizontal="left"/>
    </xf>
    <xf numFmtId="0" fontId="4" fillId="0" borderId="0" xfId="0" applyFont="1" applyBorder="1" applyAlignment="1">
      <alignment horizontal="center" vertical="center"/>
    </xf>
    <xf numFmtId="0" fontId="28" fillId="0" borderId="0" xfId="0" applyFont="1" applyBorder="1" applyAlignment="1">
      <alignment horizontal="left" vertical="center"/>
    </xf>
    <xf numFmtId="41" fontId="26" fillId="0" borderId="0" xfId="0" applyNumberFormat="1" applyFont="1" applyBorder="1" applyAlignment="1">
      <alignment vertical="top"/>
    </xf>
    <xf numFmtId="0" fontId="5" fillId="0" borderId="1" xfId="0" applyFont="1" applyFill="1" applyBorder="1" applyAlignment="1">
      <alignment horizontal="center" vertical="center"/>
    </xf>
    <xf numFmtId="0" fontId="23" fillId="0" borderId="1" xfId="0" applyFont="1" applyFill="1" applyBorder="1" applyAlignment="1">
      <alignment horizontal="center" vertical="center"/>
    </xf>
    <xf numFmtId="0" fontId="18" fillId="0" borderId="1" xfId="0" applyFont="1" applyBorder="1" applyAlignment="1">
      <alignment horizontal="center" vertical="center"/>
    </xf>
    <xf numFmtId="0" fontId="3" fillId="0" borderId="1" xfId="0" applyFont="1" applyFill="1" applyBorder="1" applyAlignment="1">
      <alignment horizontal="left"/>
    </xf>
    <xf numFmtId="0" fontId="4" fillId="0" borderId="1" xfId="0" applyFont="1" applyFill="1" applyBorder="1" applyAlignment="1">
      <alignment horizontal="center" vertical="center"/>
    </xf>
    <xf numFmtId="41" fontId="4" fillId="0" borderId="1" xfId="0" applyNumberFormat="1" applyFont="1" applyFill="1" applyBorder="1" applyAlignment="1">
      <alignment vertical="center"/>
    </xf>
    <xf numFmtId="41" fontId="26" fillId="0" borderId="1" xfId="0" applyNumberFormat="1" applyFont="1" applyFill="1" applyBorder="1" applyAlignment="1">
      <alignment vertical="center"/>
    </xf>
    <xf numFmtId="41" fontId="4" fillId="0" borderId="1" xfId="0" applyNumberFormat="1" applyFont="1" applyFill="1" applyBorder="1" applyAlignment="1">
      <alignment vertical="top"/>
    </xf>
    <xf numFmtId="41" fontId="26" fillId="0" borderId="1" xfId="0" applyNumberFormat="1" applyFont="1" applyFill="1" applyBorder="1" applyAlignment="1">
      <alignment vertical="top"/>
    </xf>
    <xf numFmtId="0" fontId="5" fillId="0" borderId="1" xfId="0" applyFont="1" applyBorder="1" applyAlignment="1">
      <alignment horizontal="left" vertical="center"/>
    </xf>
    <xf numFmtId="10" fontId="25" fillId="0" borderId="1" xfId="8" applyNumberFormat="1" applyFont="1" applyFill="1" applyBorder="1" applyAlignment="1">
      <alignment vertical="top"/>
    </xf>
    <xf numFmtId="0" fontId="28" fillId="0" borderId="2" xfId="0" applyFont="1" applyBorder="1" applyAlignment="1">
      <alignment horizontal="left" vertical="center" wrapText="1"/>
    </xf>
    <xf numFmtId="0" fontId="28" fillId="0" borderId="2" xfId="0" applyFont="1" applyBorder="1" applyAlignment="1">
      <alignment horizontal="left" vertical="center"/>
    </xf>
    <xf numFmtId="0" fontId="4" fillId="0" borderId="6" xfId="0" applyFont="1" applyBorder="1" applyAlignment="1">
      <alignment horizontal="center" vertical="center"/>
    </xf>
    <xf numFmtId="41" fontId="26" fillId="0" borderId="3" xfId="0" applyNumberFormat="1" applyFont="1" applyBorder="1" applyAlignment="1">
      <alignment vertical="top"/>
    </xf>
    <xf numFmtId="0" fontId="4" fillId="0" borderId="23" xfId="0" applyFont="1" applyBorder="1" applyAlignment="1">
      <alignment horizontal="center" vertical="center"/>
    </xf>
    <xf numFmtId="0" fontId="28" fillId="0" borderId="23" xfId="0" applyFont="1" applyBorder="1" applyAlignment="1">
      <alignment horizontal="left" vertical="center"/>
    </xf>
    <xf numFmtId="41" fontId="3" fillId="9" borderId="7" xfId="0" applyNumberFormat="1" applyFont="1" applyFill="1" applyBorder="1" applyAlignment="1">
      <alignment vertical="center"/>
    </xf>
    <xf numFmtId="0" fontId="30" fillId="7" borderId="1" xfId="0" applyFont="1" applyFill="1" applyBorder="1" applyAlignment="1">
      <alignment horizontal="center" vertical="center"/>
    </xf>
    <xf numFmtId="41" fontId="30" fillId="7" borderId="1" xfId="0" applyNumberFormat="1" applyFont="1" applyFill="1" applyBorder="1" applyAlignment="1">
      <alignment vertical="center"/>
    </xf>
    <xf numFmtId="0" fontId="3" fillId="0" borderId="0" xfId="0" applyFont="1" applyFill="1" applyBorder="1" applyAlignment="1">
      <alignment horizontal="center" vertical="center"/>
    </xf>
    <xf numFmtId="41" fontId="3" fillId="0" borderId="0" xfId="0" applyNumberFormat="1" applyFont="1" applyFill="1" applyBorder="1" applyAlignment="1">
      <alignment vertical="center"/>
    </xf>
    <xf numFmtId="41" fontId="25" fillId="0" borderId="0" xfId="0" applyNumberFormat="1" applyFont="1" applyFill="1" applyBorder="1" applyAlignment="1">
      <alignment vertical="center"/>
    </xf>
    <xf numFmtId="10" fontId="25" fillId="0" borderId="0" xfId="8" applyNumberFormat="1" applyFont="1" applyFill="1" applyBorder="1" applyAlignment="1">
      <alignment vertical="center"/>
    </xf>
    <xf numFmtId="10" fontId="3" fillId="0" borderId="0" xfId="8" applyNumberFormat="1" applyFont="1" applyFill="1" applyBorder="1" applyAlignment="1">
      <alignment vertical="center"/>
    </xf>
    <xf numFmtId="0" fontId="5" fillId="9" borderId="1" xfId="0" applyFont="1" applyFill="1" applyBorder="1" applyAlignment="1">
      <alignment vertical="center"/>
    </xf>
    <xf numFmtId="41" fontId="3" fillId="9" borderId="3" xfId="0" applyNumberFormat="1" applyFont="1" applyFill="1" applyBorder="1" applyAlignment="1">
      <alignment vertical="center"/>
    </xf>
    <xf numFmtId="41" fontId="25" fillId="9" borderId="3" xfId="0" applyNumberFormat="1" applyFont="1" applyFill="1" applyBorder="1" applyAlignment="1">
      <alignment vertical="center"/>
    </xf>
    <xf numFmtId="0" fontId="3" fillId="0" borderId="1" xfId="0" applyFont="1" applyBorder="1" applyAlignment="1">
      <alignment vertical="center"/>
    </xf>
    <xf numFmtId="0" fontId="4" fillId="0" borderId="2" xfId="0" applyFont="1" applyBorder="1" applyAlignment="1">
      <alignment horizontal="center" vertical="top"/>
    </xf>
    <xf numFmtId="0" fontId="4" fillId="0" borderId="19" xfId="0" applyFont="1" applyBorder="1" applyAlignment="1">
      <alignment horizontal="center" vertical="top"/>
    </xf>
    <xf numFmtId="0" fontId="4" fillId="0" borderId="21" xfId="0" applyFont="1" applyBorder="1" applyAlignment="1">
      <alignment horizontal="center" vertical="top"/>
    </xf>
    <xf numFmtId="0" fontId="27" fillId="0" borderId="23" xfId="0" applyFont="1" applyBorder="1" applyAlignment="1">
      <alignment horizontal="right" vertical="center"/>
    </xf>
    <xf numFmtId="10" fontId="26" fillId="0" borderId="23" xfId="8" applyNumberFormat="1" applyFont="1" applyBorder="1" applyAlignment="1">
      <alignment vertical="top"/>
    </xf>
    <xf numFmtId="10" fontId="26" fillId="0" borderId="1" xfId="8" applyNumberFormat="1" applyFont="1" applyBorder="1" applyAlignment="1">
      <alignment vertical="top"/>
    </xf>
    <xf numFmtId="0" fontId="4" fillId="0" borderId="1" xfId="0" applyFont="1" applyBorder="1" applyAlignment="1">
      <alignment vertical="center" wrapText="1"/>
    </xf>
    <xf numFmtId="0" fontId="28" fillId="0" borderId="1" xfId="0" applyFont="1" applyBorder="1" applyAlignment="1">
      <alignment horizontal="center" vertical="center"/>
    </xf>
    <xf numFmtId="0" fontId="3" fillId="9" borderId="2" xfId="0" applyFont="1" applyFill="1" applyBorder="1" applyAlignment="1">
      <alignment horizontal="center" vertical="center"/>
    </xf>
    <xf numFmtId="0" fontId="5" fillId="9" borderId="2" xfId="0" applyFont="1" applyFill="1" applyBorder="1" applyAlignment="1">
      <alignment vertical="center" wrapText="1"/>
    </xf>
    <xf numFmtId="41" fontId="3" fillId="9" borderId="2" xfId="0" applyNumberFormat="1" applyFont="1" applyFill="1" applyBorder="1" applyAlignment="1">
      <alignment vertical="center"/>
    </xf>
    <xf numFmtId="0" fontId="4" fillId="0" borderId="19" xfId="0" applyFont="1" applyFill="1" applyBorder="1" applyAlignment="1">
      <alignment horizontal="center" vertical="center"/>
    </xf>
    <xf numFmtId="0" fontId="4" fillId="0" borderId="2" xfId="0" applyFont="1" applyFill="1" applyBorder="1" applyAlignment="1">
      <alignment vertical="center"/>
    </xf>
    <xf numFmtId="41" fontId="4" fillId="0" borderId="20" xfId="0" applyNumberFormat="1" applyFont="1" applyFill="1" applyBorder="1" applyAlignment="1">
      <alignment vertical="center"/>
    </xf>
    <xf numFmtId="41" fontId="26" fillId="0" borderId="2" xfId="0" applyNumberFormat="1" applyFont="1" applyFill="1" applyBorder="1" applyAlignment="1">
      <alignment vertical="center"/>
    </xf>
    <xf numFmtId="0" fontId="4" fillId="0" borderId="3" xfId="0" applyFont="1" applyBorder="1" applyAlignment="1">
      <alignment vertical="center"/>
    </xf>
    <xf numFmtId="41" fontId="4" fillId="0" borderId="3" xfId="0" applyNumberFormat="1" applyFont="1" applyBorder="1" applyAlignment="1">
      <alignment vertical="center"/>
    </xf>
    <xf numFmtId="0" fontId="4" fillId="0" borderId="3" xfId="0" applyFont="1" applyFill="1" applyBorder="1" applyAlignment="1">
      <alignment horizontal="center" vertical="center"/>
    </xf>
    <xf numFmtId="41" fontId="3" fillId="0" borderId="3" xfId="0" applyNumberFormat="1" applyFont="1" applyFill="1" applyBorder="1" applyAlignment="1">
      <alignment vertical="center"/>
    </xf>
    <xf numFmtId="41" fontId="25" fillId="0" borderId="3" xfId="0" applyNumberFormat="1" applyFont="1" applyFill="1" applyBorder="1" applyAlignment="1">
      <alignment vertical="center"/>
    </xf>
    <xf numFmtId="41" fontId="3" fillId="0" borderId="6" xfId="0" applyNumberFormat="1" applyFont="1" applyFill="1" applyBorder="1" applyAlignment="1">
      <alignment vertical="center"/>
    </xf>
    <xf numFmtId="0" fontId="5" fillId="0" borderId="1" xfId="0" applyFont="1" applyFill="1" applyBorder="1" applyAlignment="1">
      <alignment vertical="center"/>
    </xf>
    <xf numFmtId="41" fontId="25" fillId="0" borderId="1" xfId="0" applyNumberFormat="1" applyFont="1" applyBorder="1" applyAlignment="1">
      <alignment vertical="center"/>
    </xf>
    <xf numFmtId="0" fontId="27" fillId="0" borderId="1" xfId="0" applyFont="1" applyBorder="1" applyAlignment="1">
      <alignment vertical="center"/>
    </xf>
    <xf numFmtId="0" fontId="3" fillId="0" borderId="0" xfId="0" applyFont="1" applyBorder="1" applyAlignment="1">
      <alignment horizontal="center" vertical="center"/>
    </xf>
    <xf numFmtId="0" fontId="5" fillId="0" borderId="0" xfId="0" applyFont="1" applyBorder="1" applyAlignment="1">
      <alignment vertical="center"/>
    </xf>
    <xf numFmtId="41" fontId="3" fillId="0" borderId="0" xfId="0" applyNumberFormat="1" applyFont="1" applyBorder="1" applyAlignment="1">
      <alignment vertical="center"/>
    </xf>
    <xf numFmtId="41" fontId="25" fillId="0" borderId="0" xfId="0" applyNumberFormat="1" applyFont="1" applyBorder="1" applyAlignment="1">
      <alignment vertical="center"/>
    </xf>
    <xf numFmtId="41" fontId="4" fillId="0" borderId="0" xfId="0" applyNumberFormat="1" applyFont="1" applyFill="1" applyBorder="1" applyAlignment="1">
      <alignment vertical="center"/>
    </xf>
    <xf numFmtId="41" fontId="4" fillId="0" borderId="1" xfId="0" applyNumberFormat="1" applyFont="1" applyBorder="1" applyAlignment="1">
      <alignment horizontal="center" vertical="center"/>
    </xf>
    <xf numFmtId="41" fontId="26" fillId="0" borderId="1" xfId="0" applyNumberFormat="1" applyFont="1" applyBorder="1" applyAlignment="1">
      <alignment horizontal="center" vertical="center"/>
    </xf>
    <xf numFmtId="43" fontId="11" fillId="0" borderId="0" xfId="1" applyFont="1"/>
    <xf numFmtId="0" fontId="4" fillId="0" borderId="2" xfId="0" applyFont="1" applyFill="1" applyBorder="1" applyAlignment="1">
      <alignment horizontal="center" vertical="center"/>
    </xf>
    <xf numFmtId="41" fontId="4" fillId="0" borderId="2" xfId="0" applyNumberFormat="1" applyFont="1" applyFill="1" applyBorder="1" applyAlignment="1">
      <alignment vertical="top"/>
    </xf>
    <xf numFmtId="41" fontId="26" fillId="0" borderId="2" xfId="0" applyNumberFormat="1" applyFont="1" applyFill="1" applyBorder="1" applyAlignment="1">
      <alignment vertical="top"/>
    </xf>
    <xf numFmtId="0" fontId="4" fillId="0" borderId="19" xfId="0" applyFont="1" applyFill="1" applyBorder="1" applyAlignment="1">
      <alignment horizontal="center" vertical="top"/>
    </xf>
    <xf numFmtId="0" fontId="4" fillId="0" borderId="21" xfId="0" applyFont="1" applyFill="1" applyBorder="1" applyAlignment="1">
      <alignment horizontal="center" vertical="center"/>
    </xf>
    <xf numFmtId="41" fontId="4" fillId="0" borderId="0" xfId="0" applyNumberFormat="1" applyFont="1" applyFill="1" applyBorder="1" applyAlignment="1">
      <alignment vertical="top"/>
    </xf>
    <xf numFmtId="41" fontId="26" fillId="0" borderId="23" xfId="0" applyNumberFormat="1" applyFont="1" applyFill="1" applyBorder="1" applyAlignment="1">
      <alignment vertical="top"/>
    </xf>
    <xf numFmtId="0" fontId="4" fillId="0" borderId="21" xfId="0" applyFont="1" applyFill="1" applyBorder="1" applyAlignment="1">
      <alignment horizontal="center" vertical="top"/>
    </xf>
    <xf numFmtId="41" fontId="3" fillId="0" borderId="23" xfId="0" applyNumberFormat="1" applyFont="1" applyBorder="1" applyAlignment="1">
      <alignment vertical="center"/>
    </xf>
    <xf numFmtId="0" fontId="28" fillId="0" borderId="23" xfId="0" applyFont="1" applyBorder="1" applyAlignment="1">
      <alignment horizontal="right" vertical="center" wrapText="1"/>
    </xf>
    <xf numFmtId="0" fontId="4" fillId="0" borderId="6" xfId="0" applyFont="1" applyFill="1" applyBorder="1" applyAlignment="1">
      <alignment horizontal="center" vertical="top"/>
    </xf>
    <xf numFmtId="0" fontId="3" fillId="0" borderId="23" xfId="0" applyFont="1" applyBorder="1" applyAlignment="1">
      <alignment vertical="center"/>
    </xf>
    <xf numFmtId="41" fontId="3" fillId="0" borderId="23" xfId="0" applyNumberFormat="1" applyFont="1" applyFill="1" applyBorder="1" applyAlignment="1">
      <alignment vertical="center"/>
    </xf>
    <xf numFmtId="0" fontId="28" fillId="0" borderId="2" xfId="0" applyFont="1" applyBorder="1" applyAlignment="1">
      <alignment vertical="center"/>
    </xf>
    <xf numFmtId="41" fontId="3" fillId="0" borderId="2" xfId="0" applyNumberFormat="1" applyFont="1" applyFill="1" applyBorder="1" applyAlignment="1">
      <alignment vertical="center"/>
    </xf>
    <xf numFmtId="0" fontId="4" fillId="0" borderId="6" xfId="0" applyFont="1" applyFill="1" applyBorder="1" applyAlignment="1">
      <alignment horizontal="center" vertical="center"/>
    </xf>
    <xf numFmtId="0" fontId="28" fillId="0" borderId="3" xfId="0" applyFont="1" applyBorder="1" applyAlignment="1">
      <alignment horizontal="left" vertical="center"/>
    </xf>
    <xf numFmtId="41" fontId="4" fillId="0" borderId="11" xfId="0" applyNumberFormat="1" applyFont="1" applyFill="1" applyBorder="1" applyAlignment="1">
      <alignment vertical="top"/>
    </xf>
    <xf numFmtId="41" fontId="26" fillId="0" borderId="3" xfId="0" applyNumberFormat="1" applyFont="1" applyFill="1" applyBorder="1" applyAlignment="1">
      <alignment vertical="top"/>
    </xf>
    <xf numFmtId="0" fontId="4" fillId="0" borderId="3" xfId="0" applyFont="1" applyBorder="1" applyAlignment="1">
      <alignment horizontal="center" vertical="center"/>
    </xf>
    <xf numFmtId="0" fontId="28" fillId="0" borderId="3" xfId="0" applyFont="1" applyBorder="1" applyAlignment="1">
      <alignment vertical="center"/>
    </xf>
    <xf numFmtId="0" fontId="11" fillId="0" borderId="1" xfId="0" applyFont="1" applyFill="1" applyBorder="1" applyAlignment="1">
      <alignment vertical="center" wrapText="1"/>
    </xf>
    <xf numFmtId="0" fontId="4" fillId="0" borderId="1" xfId="0" applyFont="1" applyFill="1" applyBorder="1" applyAlignment="1">
      <alignment vertical="center"/>
    </xf>
    <xf numFmtId="0" fontId="26" fillId="0" borderId="1" xfId="0" applyFont="1" applyFill="1" applyBorder="1" applyAlignment="1">
      <alignment vertical="center"/>
    </xf>
    <xf numFmtId="0" fontId="4" fillId="0" borderId="1" xfId="0" applyFont="1" applyFill="1" applyBorder="1" applyAlignment="1">
      <alignment horizontal="center" vertical="top"/>
    </xf>
    <xf numFmtId="0" fontId="31" fillId="9" borderId="1" xfId="0" applyFont="1" applyFill="1" applyBorder="1" applyAlignment="1">
      <alignment vertical="center"/>
    </xf>
    <xf numFmtId="0" fontId="31" fillId="0" borderId="1" xfId="0" applyFont="1" applyFill="1" applyBorder="1" applyAlignment="1">
      <alignment vertical="center"/>
    </xf>
    <xf numFmtId="0" fontId="4" fillId="0" borderId="1" xfId="0" applyFont="1" applyBorder="1" applyAlignment="1">
      <alignment horizontal="center" vertical="top"/>
    </xf>
    <xf numFmtId="0" fontId="3" fillId="0" borderId="1" xfId="0" applyFont="1" applyBorder="1" applyAlignment="1">
      <alignment horizontal="center" vertical="top"/>
    </xf>
    <xf numFmtId="0" fontId="4" fillId="0" borderId="2" xfId="0" applyFont="1" applyBorder="1" applyAlignment="1">
      <alignment vertical="center"/>
    </xf>
    <xf numFmtId="0" fontId="4" fillId="0" borderId="21" xfId="0" applyFont="1" applyBorder="1" applyAlignment="1">
      <alignment horizontal="center" vertical="center"/>
    </xf>
    <xf numFmtId="0" fontId="3" fillId="0" borderId="1" xfId="0" applyFont="1" applyBorder="1" applyAlignment="1">
      <alignment horizontal="center" vertical="center" wrapText="1"/>
    </xf>
    <xf numFmtId="0" fontId="3" fillId="0" borderId="23" xfId="0" applyFont="1" applyBorder="1" applyAlignment="1">
      <alignment vertical="center" wrapText="1"/>
    </xf>
    <xf numFmtId="41" fontId="25" fillId="0" borderId="23" xfId="0" applyNumberFormat="1" applyFont="1" applyBorder="1" applyAlignment="1">
      <alignment vertical="center"/>
    </xf>
    <xf numFmtId="0" fontId="28" fillId="0" borderId="0" xfId="0" applyFont="1" applyBorder="1" applyAlignment="1">
      <alignment horizontal="left" vertical="center" wrapText="1"/>
    </xf>
    <xf numFmtId="0" fontId="3" fillId="0" borderId="2" xfId="0" applyFont="1" applyBorder="1" applyAlignment="1">
      <alignment vertical="center"/>
    </xf>
    <xf numFmtId="41" fontId="3" fillId="0" borderId="2" xfId="0" applyNumberFormat="1" applyFont="1" applyBorder="1" applyAlignment="1">
      <alignment vertical="center"/>
    </xf>
    <xf numFmtId="41" fontId="3" fillId="0" borderId="10" xfId="0" applyNumberFormat="1" applyFont="1" applyBorder="1" applyAlignment="1">
      <alignment vertical="top"/>
    </xf>
    <xf numFmtId="41" fontId="4" fillId="0" borderId="10" xfId="0" applyNumberFormat="1" applyFont="1" applyBorder="1" applyAlignment="1">
      <alignment vertical="center"/>
    </xf>
    <xf numFmtId="0" fontId="5" fillId="0" borderId="1" xfId="0" applyFont="1" applyFill="1" applyBorder="1" applyAlignment="1">
      <alignment vertical="center" wrapText="1"/>
    </xf>
    <xf numFmtId="0" fontId="22" fillId="0" borderId="0" xfId="0" applyFont="1"/>
    <xf numFmtId="0" fontId="22" fillId="0" borderId="0" xfId="0" applyFont="1" applyAlignment="1">
      <alignment horizontal="right" vertical="center"/>
    </xf>
    <xf numFmtId="9" fontId="22" fillId="0" borderId="0" xfId="0" applyNumberFormat="1" applyFont="1" applyAlignment="1">
      <alignment horizontal="left" vertical="center"/>
    </xf>
    <xf numFmtId="9" fontId="32" fillId="0" borderId="0" xfId="0" applyNumberFormat="1" applyFont="1"/>
    <xf numFmtId="41" fontId="32" fillId="0" borderId="0" xfId="0" applyNumberFormat="1" applyFont="1"/>
    <xf numFmtId="0" fontId="32" fillId="0" borderId="0" xfId="0" applyFont="1"/>
    <xf numFmtId="0" fontId="0" fillId="0" borderId="0" xfId="0" applyAlignment="1">
      <alignment vertical="center"/>
    </xf>
    <xf numFmtId="0" fontId="5" fillId="0" borderId="2" xfId="0" applyFont="1" applyFill="1" applyBorder="1" applyAlignment="1">
      <alignment horizontal="center" vertical="center"/>
    </xf>
    <xf numFmtId="0" fontId="5" fillId="9" borderId="1" xfId="0" applyFont="1" applyFill="1" applyBorder="1" applyAlignment="1">
      <alignment horizontal="center" vertical="center"/>
    </xf>
    <xf numFmtId="0" fontId="5" fillId="9" borderId="1" xfId="0" applyFont="1" applyFill="1" applyBorder="1" applyAlignment="1">
      <alignment horizontal="left" vertical="center"/>
    </xf>
    <xf numFmtId="41" fontId="5" fillId="9" borderId="1" xfId="0" applyNumberFormat="1" applyFont="1" applyFill="1" applyBorder="1" applyAlignment="1">
      <alignment horizontal="right" vertical="center"/>
    </xf>
    <xf numFmtId="0" fontId="0" fillId="0" borderId="0" xfId="0" applyFill="1"/>
    <xf numFmtId="0" fontId="4" fillId="0" borderId="2" xfId="0" applyFont="1" applyBorder="1" applyAlignment="1">
      <alignment horizontal="justify" vertical="center"/>
    </xf>
    <xf numFmtId="41" fontId="28" fillId="0" borderId="0" xfId="0" applyNumberFormat="1" applyFont="1" applyAlignment="1">
      <alignment vertical="center"/>
    </xf>
    <xf numFmtId="41" fontId="28" fillId="0" borderId="1" xfId="0" applyNumberFormat="1" applyFont="1" applyBorder="1" applyAlignment="1">
      <alignment vertical="center"/>
    </xf>
    <xf numFmtId="165" fontId="0" fillId="0" borderId="0" xfId="1" applyNumberFormat="1" applyFont="1" applyAlignment="1">
      <alignment vertical="center"/>
    </xf>
    <xf numFmtId="164" fontId="0" fillId="0" borderId="0" xfId="0" applyNumberFormat="1" applyAlignment="1">
      <alignment vertical="center"/>
    </xf>
    <xf numFmtId="9" fontId="0" fillId="0" borderId="0" xfId="0" applyNumberFormat="1" applyAlignment="1">
      <alignment vertical="center"/>
    </xf>
    <xf numFmtId="0" fontId="5" fillId="9" borderId="1" xfId="0" applyFont="1" applyFill="1" applyBorder="1" applyAlignment="1">
      <alignment horizontal="justify" vertical="center"/>
    </xf>
    <xf numFmtId="165" fontId="0" fillId="0" borderId="0" xfId="0" applyNumberFormat="1" applyAlignment="1">
      <alignment vertical="center"/>
    </xf>
    <xf numFmtId="0" fontId="4" fillId="0" borderId="1" xfId="0" applyFont="1" applyBorder="1" applyAlignment="1">
      <alignment horizontal="justify" vertical="center"/>
    </xf>
    <xf numFmtId="41" fontId="28" fillId="0" borderId="1" xfId="0" applyNumberFormat="1" applyFont="1" applyFill="1" applyBorder="1" applyAlignment="1">
      <alignment vertical="center"/>
    </xf>
    <xf numFmtId="165" fontId="0" fillId="0" borderId="0" xfId="0" applyNumberFormat="1" applyBorder="1" applyAlignment="1">
      <alignment vertical="center"/>
    </xf>
    <xf numFmtId="164" fontId="0" fillId="0" borderId="0" xfId="0" applyNumberFormat="1" applyBorder="1" applyAlignment="1">
      <alignment vertical="center"/>
    </xf>
    <xf numFmtId="9" fontId="0" fillId="0" borderId="0" xfId="0" applyNumberFormat="1" applyBorder="1" applyAlignment="1">
      <alignment vertical="center"/>
    </xf>
    <xf numFmtId="0" fontId="33" fillId="7" borderId="1" xfId="0" applyFont="1" applyFill="1" applyBorder="1" applyAlignment="1">
      <alignment horizontal="center" vertical="center"/>
    </xf>
    <xf numFmtId="0" fontId="25" fillId="0" borderId="19" xfId="0" applyFont="1" applyFill="1" applyBorder="1" applyAlignment="1">
      <alignment horizontal="center" vertical="center"/>
    </xf>
    <xf numFmtId="0" fontId="25" fillId="0" borderId="20" xfId="0" applyFont="1" applyFill="1" applyBorder="1" applyAlignment="1">
      <alignment horizontal="center" vertical="center"/>
    </xf>
    <xf numFmtId="0" fontId="25" fillId="0" borderId="10" xfId="0" applyFont="1" applyFill="1" applyBorder="1" applyAlignment="1">
      <alignment horizontal="center" vertical="center"/>
    </xf>
    <xf numFmtId="41" fontId="11" fillId="10" borderId="1" xfId="0" applyNumberFormat="1" applyFont="1" applyFill="1" applyBorder="1" applyAlignment="1">
      <alignment vertical="center"/>
    </xf>
    <xf numFmtId="41" fontId="12" fillId="10" borderId="1" xfId="0" applyNumberFormat="1" applyFont="1" applyFill="1" applyBorder="1" applyAlignment="1">
      <alignment vertical="center"/>
    </xf>
    <xf numFmtId="41" fontId="11" fillId="8" borderId="3" xfId="0" applyNumberFormat="1" applyFont="1" applyFill="1" applyBorder="1" applyAlignment="1">
      <alignment vertical="center"/>
    </xf>
    <xf numFmtId="41" fontId="11" fillId="8" borderId="3" xfId="0" applyNumberFormat="1" applyFont="1" applyFill="1" applyBorder="1" applyAlignment="1">
      <alignment vertical="top"/>
    </xf>
    <xf numFmtId="0" fontId="8" fillId="0" borderId="23" xfId="0" applyFont="1" applyBorder="1" applyAlignment="1">
      <alignment horizontal="left" indent="1"/>
    </xf>
    <xf numFmtId="0" fontId="40" fillId="0" borderId="0" xfId="0" applyFont="1" applyAlignment="1">
      <alignment horizontal="center" vertical="center"/>
    </xf>
    <xf numFmtId="164" fontId="21" fillId="0" borderId="1" xfId="1" applyNumberFormat="1" applyFont="1" applyBorder="1" applyAlignment="1">
      <alignment horizontal="center" vertical="center"/>
    </xf>
    <xf numFmtId="41" fontId="8" fillId="0" borderId="22" xfId="0" applyNumberFormat="1" applyFont="1" applyBorder="1"/>
    <xf numFmtId="0" fontId="8" fillId="0" borderId="23" xfId="0" applyFont="1" applyBorder="1" applyAlignment="1">
      <alignment horizontal="center" vertical="center"/>
    </xf>
    <xf numFmtId="41" fontId="0" fillId="0" borderId="0" xfId="0" applyNumberFormat="1" applyFont="1" applyBorder="1"/>
    <xf numFmtId="0" fontId="0" fillId="5" borderId="17" xfId="0" applyFill="1" applyBorder="1" applyAlignment="1" applyProtection="1">
      <alignment horizontal="center" vertical="center"/>
      <protection locked="0"/>
    </xf>
    <xf numFmtId="0" fontId="0" fillId="5" borderId="17" xfId="0" applyFill="1" applyBorder="1" applyProtection="1">
      <protection locked="0"/>
    </xf>
    <xf numFmtId="164" fontId="0" fillId="5" borderId="17" xfId="1" applyNumberFormat="1" applyFont="1" applyFill="1" applyBorder="1" applyProtection="1">
      <protection locked="0"/>
    </xf>
    <xf numFmtId="14" fontId="0" fillId="5" borderId="17" xfId="0" applyNumberFormat="1" applyFill="1" applyBorder="1" applyProtection="1"/>
    <xf numFmtId="0" fontId="42" fillId="0" borderId="0" xfId="17"/>
    <xf numFmtId="0" fontId="12" fillId="0" borderId="2" xfId="0" applyFont="1" applyFill="1" applyBorder="1" applyAlignment="1">
      <alignment horizontal="center" vertical="center" wrapText="1"/>
    </xf>
    <xf numFmtId="0" fontId="12" fillId="0" borderId="3" xfId="0" applyFont="1" applyFill="1" applyBorder="1" applyAlignment="1">
      <alignment horizontal="center" vertical="center" wrapText="1"/>
    </xf>
    <xf numFmtId="0" fontId="5" fillId="0" borderId="7" xfId="0" applyFont="1" applyFill="1" applyBorder="1" applyAlignment="1">
      <alignment horizontal="center" vertical="center"/>
    </xf>
    <xf numFmtId="0" fontId="5" fillId="0" borderId="9" xfId="0" applyFont="1" applyFill="1" applyBorder="1" applyAlignment="1">
      <alignment horizontal="center" vertical="center" wrapText="1"/>
    </xf>
    <xf numFmtId="0" fontId="24" fillId="0" borderId="1" xfId="0" applyFont="1" applyFill="1" applyBorder="1" applyAlignment="1">
      <alignment horizontal="center" vertical="center" wrapText="1"/>
    </xf>
    <xf numFmtId="0" fontId="16" fillId="0" borderId="0" xfId="0" applyFont="1" applyBorder="1" applyAlignment="1">
      <alignment horizontal="center" vertical="center"/>
    </xf>
    <xf numFmtId="0" fontId="12"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3" fillId="0" borderId="1" xfId="0" applyFont="1" applyBorder="1" applyAlignment="1">
      <alignment horizontal="center" vertical="center"/>
    </xf>
    <xf numFmtId="0" fontId="5" fillId="0" borderId="7" xfId="0" applyFont="1" applyBorder="1" applyAlignment="1">
      <alignment horizontal="center" vertical="center"/>
    </xf>
    <xf numFmtId="0" fontId="25" fillId="0" borderId="7" xfId="0" applyFont="1" applyFill="1" applyBorder="1" applyAlignment="1">
      <alignment horizontal="center" vertical="center"/>
    </xf>
    <xf numFmtId="0" fontId="25" fillId="0" borderId="10" xfId="0" applyFont="1" applyFill="1" applyBorder="1" applyAlignment="1">
      <alignment horizontal="center" vertical="center"/>
    </xf>
    <xf numFmtId="0" fontId="24" fillId="0" borderId="2" xfId="0" applyFont="1" applyFill="1" applyBorder="1" applyAlignment="1">
      <alignment horizontal="center" vertical="center" wrapText="1"/>
    </xf>
    <xf numFmtId="0" fontId="24" fillId="0" borderId="3" xfId="0" applyFont="1" applyFill="1" applyBorder="1" applyAlignment="1">
      <alignment horizontal="center" vertical="center" wrapText="1"/>
    </xf>
    <xf numFmtId="0" fontId="5" fillId="0" borderId="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11" fillId="0" borderId="19" xfId="0" applyFont="1" applyBorder="1" applyAlignment="1">
      <alignment horizontal="left" vertical="center" wrapText="1"/>
    </xf>
    <xf numFmtId="0" fontId="11" fillId="0" borderId="20" xfId="0" applyFont="1" applyBorder="1" applyAlignment="1">
      <alignment horizontal="left" vertical="center" wrapText="1"/>
    </xf>
    <xf numFmtId="0" fontId="11" fillId="0" borderId="8" xfId="0" applyFont="1" applyBorder="1" applyAlignment="1">
      <alignment horizontal="left" vertical="center" wrapText="1"/>
    </xf>
    <xf numFmtId="0" fontId="16" fillId="0" borderId="10" xfId="0" applyFont="1" applyBorder="1" applyAlignment="1">
      <alignment horizontal="center" vertical="center"/>
    </xf>
    <xf numFmtId="0" fontId="12" fillId="0" borderId="7" xfId="0" applyFont="1" applyFill="1" applyBorder="1" applyAlignment="1">
      <alignment horizontal="center" vertical="center"/>
    </xf>
    <xf numFmtId="0" fontId="12" fillId="8" borderId="7" xfId="0" applyFont="1" applyFill="1" applyBorder="1" applyAlignment="1">
      <alignment horizontal="center" vertical="center" wrapText="1"/>
    </xf>
    <xf numFmtId="0" fontId="12" fillId="8" borderId="10" xfId="0" applyFont="1" applyFill="1" applyBorder="1" applyAlignment="1">
      <alignment horizontal="center" vertical="center" wrapText="1"/>
    </xf>
    <xf numFmtId="0" fontId="15" fillId="7" borderId="7" xfId="0" applyFont="1" applyFill="1" applyBorder="1" applyAlignment="1">
      <alignment horizontal="left" vertical="center"/>
    </xf>
    <xf numFmtId="0" fontId="15" fillId="7" borderId="9" xfId="0" applyFont="1" applyFill="1" applyBorder="1" applyAlignment="1">
      <alignment horizontal="left" vertical="center"/>
    </xf>
  </cellXfs>
  <cellStyles count="18">
    <cellStyle name="Lien hypertexte" xfId="17" builtinId="8"/>
    <cellStyle name="Milliers" xfId="1" builtinId="3"/>
    <cellStyle name="Milliers 2" xfId="2"/>
    <cellStyle name="Milliers 2 2" xfId="9"/>
    <cellStyle name="Milliers 2 3" xfId="10"/>
    <cellStyle name="Milliers 3" xfId="3"/>
    <cellStyle name="Normal" xfId="0" builtinId="0"/>
    <cellStyle name="Normal 2" xfId="4"/>
    <cellStyle name="Normal 2 2" xfId="11"/>
    <cellStyle name="Normal 2 3" xfId="12"/>
    <cellStyle name="Normal 3" xfId="5"/>
    <cellStyle name="Pourcentage" xfId="8" builtinId="5"/>
    <cellStyle name="Pourcentage 2" xfId="13"/>
    <cellStyle name="Pourcentage 2 2" xfId="14"/>
    <cellStyle name="Pourcentage 2 3" xfId="15"/>
    <cellStyle name="Pourcentage 3" xfId="16"/>
    <cellStyle name="Style 1" xfId="6"/>
    <cellStyle name="Style 2" xfId="7"/>
  </cellStyles>
  <dxfs count="99">
    <dxf>
      <font>
        <b/>
        <i val="0"/>
        <strike val="0"/>
        <condense val="0"/>
        <extend val="0"/>
        <outline val="0"/>
        <shadow val="0"/>
        <u val="none"/>
        <vertAlign val="baseline"/>
        <sz val="11"/>
        <color theme="0"/>
        <name val="Calibri"/>
        <scheme val="minor"/>
      </font>
      <numFmt numFmtId="164" formatCode="_-* #,##0\ _€_-;\-* #,##0\ _€_-;_-* &quot;-&quot;??\ _€_-;_-@_-"/>
      <fill>
        <patternFill patternType="solid">
          <fgColor theme="8"/>
          <bgColor theme="8"/>
        </patternFill>
      </fill>
      <border diagonalUp="0" diagonalDown="0" outline="0">
        <left/>
        <right style="thin">
          <color theme="0"/>
        </right>
        <top/>
        <bottom style="thick">
          <color theme="0"/>
        </bottom>
      </border>
    </dxf>
    <dxf>
      <numFmt numFmtId="164" formatCode="_-* #,##0\ _€_-;\-* #,##0\ _€_-;_-* &quot;-&quot;??\ _€_-;_-@_-"/>
    </dxf>
    <dxf>
      <font>
        <b/>
        <i val="0"/>
        <strike val="0"/>
        <condense val="0"/>
        <extend val="0"/>
        <outline val="0"/>
        <shadow val="0"/>
        <u val="none"/>
        <vertAlign val="baseline"/>
        <sz val="11"/>
        <color theme="0"/>
        <name val="Calibri"/>
        <scheme val="minor"/>
      </font>
      <numFmt numFmtId="164" formatCode="_-* #,##0\ _€_-;\-* #,##0\ _€_-;_-* &quot;-&quot;??\ _€_-;_-@_-"/>
      <fill>
        <patternFill patternType="solid">
          <fgColor theme="8"/>
          <bgColor theme="8"/>
        </patternFill>
      </fill>
      <border diagonalUp="0" diagonalDown="0" outline="0">
        <left/>
        <right style="thin">
          <color theme="0"/>
        </right>
        <top/>
        <bottom style="thick">
          <color theme="0"/>
        </bottom>
      </border>
    </dxf>
    <dxf>
      <font>
        <b val="0"/>
        <i val="0"/>
        <strike val="0"/>
        <condense val="0"/>
        <extend val="0"/>
        <outline val="0"/>
        <shadow val="0"/>
        <u val="none"/>
        <vertAlign val="baseline"/>
        <sz val="11"/>
        <color theme="1"/>
        <name val="Calibri"/>
        <scheme val="minor"/>
      </font>
      <numFmt numFmtId="33" formatCode="_-* #,##0\ _€_-;\-* #,##0\ _€_-;_-* &quot;-&quot;\ _€_-;_-@_-"/>
      <fill>
        <patternFill patternType="solid">
          <fgColor theme="8" tint="0.79998168889431442"/>
          <bgColor theme="8" tint="0.79998168889431442"/>
        </patternFill>
      </fill>
      <border diagonalUp="0" diagonalDown="0" outline="0">
        <left/>
        <right/>
        <top/>
        <bottom style="thin">
          <color theme="0"/>
        </bottom>
      </border>
    </dxf>
    <dxf>
      <font>
        <b/>
        <i val="0"/>
        <strike val="0"/>
        <condense val="0"/>
        <extend val="0"/>
        <outline val="0"/>
        <shadow val="0"/>
        <u val="none"/>
        <vertAlign val="baseline"/>
        <sz val="11"/>
        <color theme="0"/>
        <name val="Calibri"/>
        <scheme val="minor"/>
      </font>
      <numFmt numFmtId="164" formatCode="_-* #,##0\ _€_-;\-* #,##0\ _€_-;_-* &quot;-&quot;??\ _€_-;_-@_-"/>
      <fill>
        <patternFill patternType="solid">
          <fgColor theme="8"/>
          <bgColor theme="8"/>
        </patternFill>
      </fill>
      <border diagonalUp="0" diagonalDown="0" outline="0">
        <left/>
        <right style="thin">
          <color theme="0"/>
        </right>
        <top/>
        <bottom style="thick">
          <color theme="0"/>
        </bottom>
      </border>
    </dxf>
    <dxf>
      <font>
        <b val="0"/>
        <i val="0"/>
        <strike val="0"/>
        <condense val="0"/>
        <extend val="0"/>
        <outline val="0"/>
        <shadow val="0"/>
        <u val="none"/>
        <vertAlign val="baseline"/>
        <sz val="11"/>
        <color theme="1"/>
        <name val="Calibri"/>
        <scheme val="minor"/>
      </font>
      <numFmt numFmtId="33" formatCode="_-* #,##0\ _€_-;\-* #,##0\ _€_-;_-* &quot;-&quot;\ _€_-;_-@_-"/>
      <fill>
        <patternFill patternType="solid">
          <fgColor theme="8" tint="0.79998168889431442"/>
          <bgColor theme="8" tint="0.79998168889431442"/>
        </patternFill>
      </fill>
      <border diagonalUp="0" diagonalDown="0">
        <left/>
        <right style="thin">
          <color theme="0"/>
        </right>
        <top/>
        <bottom style="thin">
          <color theme="0"/>
        </bottom>
        <vertical/>
        <horizontal/>
      </border>
    </dxf>
    <dxf>
      <font>
        <b/>
        <i val="0"/>
        <strike val="0"/>
        <condense val="0"/>
        <extend val="0"/>
        <outline val="0"/>
        <shadow val="0"/>
        <u val="none"/>
        <vertAlign val="baseline"/>
        <sz val="11"/>
        <color theme="0"/>
        <name val="Calibri"/>
        <scheme val="minor"/>
      </font>
      <fill>
        <patternFill patternType="solid">
          <fgColor theme="8"/>
          <bgColor theme="8"/>
        </patternFill>
      </fill>
      <border diagonalUp="0" diagonalDown="0" outline="0">
        <left/>
        <right style="thin">
          <color theme="0"/>
        </right>
        <top/>
        <bottom style="thick">
          <color theme="0"/>
        </bottom>
      </border>
    </dxf>
    <dxf>
      <font>
        <b val="0"/>
        <i val="0"/>
        <strike val="0"/>
        <condense val="0"/>
        <extend val="0"/>
        <outline val="0"/>
        <shadow val="0"/>
        <u val="none"/>
        <vertAlign val="baseline"/>
        <sz val="11"/>
        <color theme="1"/>
        <name val="Calibri"/>
        <scheme val="minor"/>
      </font>
      <fill>
        <patternFill patternType="solid">
          <fgColor theme="8" tint="0.79998168889431442"/>
          <bgColor theme="8" tint="0.79998168889431442"/>
        </patternFill>
      </fill>
      <border diagonalUp="0" diagonalDown="0">
        <left/>
        <right style="thin">
          <color theme="0"/>
        </right>
        <top/>
        <bottom style="thin">
          <color theme="0"/>
        </bottom>
        <vertical/>
        <horizontal/>
      </border>
    </dxf>
    <dxf>
      <border outline="0">
        <bottom style="thick">
          <color theme="0"/>
        </bottom>
      </border>
    </dxf>
    <dxf>
      <alignment horizontal="center" vertical="center" textRotation="0" wrapText="0" indent="0" justifyLastLine="0" shrinkToFit="0" readingOrder="0"/>
    </dxf>
    <dxf>
      <alignment vertical="center" readingOrder="0"/>
    </dxf>
    <dxf>
      <alignment vertical="center" readingOrder="0"/>
    </dxf>
    <dxf>
      <alignment vertical="center" readingOrder="0"/>
    </dxf>
    <dxf>
      <alignment horizontal="center" readingOrder="0"/>
    </dxf>
    <dxf>
      <alignment horizontal="center" readingOrder="0"/>
    </dxf>
    <dxf>
      <alignment horizontal="center" readingOrder="0"/>
    </dxf>
    <dxf>
      <font>
        <sz val="11"/>
      </font>
    </dxf>
    <dxf>
      <font>
        <sz val="11"/>
      </font>
    </dxf>
    <dxf>
      <font>
        <sz val="11"/>
      </font>
    </dxf>
    <dxf>
      <font>
        <sz val="11"/>
      </font>
    </dxf>
    <dxf>
      <font>
        <sz val="11"/>
      </font>
    </dxf>
    <dxf>
      <alignment vertical="center" readingOrder="0"/>
    </dxf>
    <dxf>
      <alignment horizontal="right" readingOrder="0"/>
    </dxf>
    <dxf>
      <font>
        <sz val="10"/>
      </font>
    </dxf>
    <dxf>
      <numFmt numFmtId="33" formatCode="_-* #,##0\ _€_-;\-* #,##0\ _€_-;_-* &quot;-&quot;\ _€_-;_-@_-"/>
    </dxf>
    <dxf>
      <font>
        <b/>
      </font>
    </dxf>
    <dxf>
      <font>
        <color auto="1"/>
      </font>
    </dxf>
    <dxf>
      <font>
        <b/>
      </font>
    </dxf>
    <dxf>
      <font>
        <color auto="1"/>
      </font>
    </dxf>
    <dxf>
      <alignment horizontal="center" readingOrder="0"/>
    </dxf>
    <dxf>
      <alignment horizontal="center" readingOrder="0"/>
    </dxf>
    <dxf>
      <numFmt numFmtId="164" formatCode="_-* #,##0\ _€_-;\-* #,##0\ _€_-;_-* &quot;-&quot;??\ _€_-;_-@_-"/>
    </dxf>
    <dxf>
      <border>
        <right/>
      </border>
    </dxf>
    <dxf>
      <border>
        <right/>
      </border>
    </dxf>
    <dxf>
      <border>
        <right/>
      </border>
    </dxf>
    <dxf>
      <border>
        <right/>
      </border>
    </dxf>
    <dxf>
      <border>
        <right/>
      </border>
    </dxf>
    <dxf>
      <border>
        <right/>
      </border>
    </dxf>
    <dxf>
      <border>
        <right/>
      </border>
    </dxf>
    <dxf>
      <border>
        <right/>
      </border>
    </dxf>
    <dxf>
      <border>
        <right/>
      </border>
    </dxf>
    <dxf>
      <border>
        <right/>
      </border>
    </dxf>
    <dxf>
      <border>
        <right/>
      </border>
    </dxf>
    <dxf>
      <border>
        <right/>
      </border>
    </dxf>
    <dxf>
      <font>
        <sz val="11"/>
      </font>
    </dxf>
    <dxf>
      <font>
        <sz val="11"/>
      </font>
    </dxf>
    <dxf>
      <font>
        <sz val="11"/>
      </font>
    </dxf>
    <dxf>
      <font>
        <sz val="11"/>
      </font>
    </dxf>
    <dxf>
      <font>
        <sz val="11"/>
      </font>
    </dxf>
    <dxf>
      <font>
        <sz val="11"/>
      </font>
    </dxf>
    <dxf>
      <font>
        <color auto="1"/>
      </font>
    </dxf>
    <dxf>
      <alignment horizontal="left" readingOrder="0"/>
    </dxf>
    <dxf>
      <font>
        <color auto="1"/>
      </font>
    </dxf>
    <dxf>
      <alignment vertical="center" readingOrder="0"/>
    </dxf>
    <dxf>
      <alignment horizontal="right" readingOrder="0"/>
    </dxf>
    <dxf>
      <alignment vertical="center" readingOrder="0"/>
    </dxf>
    <dxf>
      <alignment vertical="center" readingOrder="0"/>
    </dxf>
    <dxf>
      <alignment horizontal="center" readingOrder="0"/>
    </dxf>
    <dxf>
      <alignment horizontal="center" readingOrder="0"/>
    </dxf>
    <dxf>
      <border>
        <right style="thin">
          <color indexed="64"/>
        </right>
      </border>
    </dxf>
    <dxf>
      <border>
        <right style="thin">
          <color indexed="64"/>
        </right>
      </border>
    </dxf>
    <dxf>
      <border>
        <left style="thin">
          <color indexed="64"/>
        </left>
      </border>
    </dxf>
    <dxf>
      <border>
        <left style="thin">
          <color indexed="64"/>
        </left>
      </border>
    </dxf>
    <dxf>
      <font>
        <color auto="1"/>
      </font>
    </dxf>
    <dxf>
      <alignment vertical="center" readingOrder="0"/>
    </dxf>
    <dxf>
      <alignment vertical="center" readingOrder="0"/>
    </dxf>
    <dxf>
      <alignment horizontal="center" readingOrder="0"/>
    </dxf>
    <dxf>
      <alignment horizontal="center" readingOrder="0"/>
    </dxf>
    <dxf>
      <numFmt numFmtId="33" formatCode="_-* #,##0\ _€_-;\-* #,##0\ _€_-;_-* &quot;-&quot;\ _€_-;_-@_-"/>
    </dxf>
    <dxf>
      <font>
        <color auto="1"/>
      </font>
    </dxf>
    <dxf>
      <font>
        <sz val="10"/>
      </font>
    </dxf>
    <dxf>
      <numFmt numFmtId="164" formatCode="_-* #,##0\ _€_-;\-* #,##0\ _€_-;_-* &quot;-&quot;??\ _€_-;_-@_-"/>
    </dxf>
    <dxf>
      <font>
        <b/>
        <i val="0"/>
        <strike val="0"/>
        <condense val="0"/>
        <extend val="0"/>
        <outline val="0"/>
        <shadow val="0"/>
        <u val="none"/>
        <vertAlign val="baseline"/>
        <sz val="12"/>
        <color theme="0"/>
        <name val="Calibri"/>
        <scheme val="minor"/>
      </font>
      <numFmt numFmtId="2" formatCode="0.00"/>
      <fill>
        <patternFill patternType="solid">
          <fgColor indexed="64"/>
          <bgColor theme="1" tint="0.14999847407452621"/>
        </patternFill>
      </fill>
      <alignment horizontal="general" vertical="center" textRotation="0" wrapText="0" indent="0" justifyLastLine="0" shrinkToFit="0" readingOrder="0"/>
      <border diagonalUp="0" diagonalDown="0" outline="0">
        <left/>
        <right/>
        <top/>
        <bottom style="medium">
          <color theme="4" tint="0.39997558519241921"/>
        </bottom>
      </border>
    </dxf>
    <dxf>
      <fill>
        <patternFill patternType="solid">
          <fgColor indexed="64"/>
          <bgColor theme="8" tint="0.79998168889431442"/>
        </patternFill>
      </fill>
      <border diagonalUp="0" diagonalDown="0">
        <left style="dashed">
          <color auto="1"/>
        </left>
        <right style="dashed">
          <color auto="1"/>
        </right>
        <top style="dashed">
          <color auto="1"/>
        </top>
        <bottom style="dashed">
          <color auto="1"/>
        </bottom>
      </border>
      <protection locked="0" hidden="0"/>
    </dxf>
    <dxf>
      <font>
        <b/>
        <i val="0"/>
        <strike val="0"/>
        <condense val="0"/>
        <extend val="0"/>
        <outline val="0"/>
        <shadow val="0"/>
        <u val="none"/>
        <vertAlign val="baseline"/>
        <sz val="12"/>
        <color theme="0"/>
        <name val="Calibri"/>
        <scheme val="minor"/>
      </font>
      <fill>
        <patternFill patternType="solid">
          <fgColor indexed="64"/>
          <bgColor theme="1" tint="0.14999847407452621"/>
        </patternFill>
      </fill>
      <alignment horizontal="general" vertical="center" textRotation="0" wrapText="0" indent="0" justifyLastLine="0" shrinkToFit="0" readingOrder="0"/>
      <border diagonalUp="0" diagonalDown="0" outline="0">
        <left/>
        <right/>
        <top/>
        <bottom style="medium">
          <color theme="4" tint="0.39997558519241921"/>
        </bottom>
      </border>
    </dxf>
    <dxf>
      <fill>
        <patternFill patternType="solid">
          <fgColor indexed="64"/>
          <bgColor theme="8" tint="0.79998168889431442"/>
        </patternFill>
      </fill>
      <border diagonalUp="0" diagonalDown="0">
        <left style="dashed">
          <color auto="1"/>
        </left>
        <right style="dashed">
          <color auto="1"/>
        </right>
        <top style="dashed">
          <color auto="1"/>
        </top>
        <bottom style="dashed">
          <color auto="1"/>
        </bottom>
      </border>
      <protection locked="0" hidden="0"/>
    </dxf>
    <dxf>
      <font>
        <b/>
        <i val="0"/>
        <strike val="0"/>
        <condense val="0"/>
        <extend val="0"/>
        <outline val="0"/>
        <shadow val="0"/>
        <u val="none"/>
        <vertAlign val="baseline"/>
        <sz val="12"/>
        <color theme="0"/>
        <name val="Calibri"/>
        <scheme val="minor"/>
      </font>
      <fill>
        <patternFill patternType="solid">
          <fgColor indexed="64"/>
          <bgColor theme="1" tint="0.14999847407452621"/>
        </patternFill>
      </fill>
      <alignment horizontal="general" vertical="center" textRotation="0" wrapText="0" indent="0" justifyLastLine="0" shrinkToFit="0" readingOrder="0"/>
      <border diagonalUp="0" diagonalDown="0" outline="0">
        <left/>
        <right/>
        <top/>
        <bottom style="medium">
          <color theme="4" tint="0.39997558519241921"/>
        </bottom>
      </border>
    </dxf>
    <dxf>
      <fill>
        <patternFill patternType="solid">
          <fgColor indexed="64"/>
          <bgColor theme="8" tint="0.79998168889431442"/>
        </patternFill>
      </fill>
      <border diagonalUp="0" diagonalDown="0">
        <left style="dashed">
          <color auto="1"/>
        </left>
        <right style="dashed">
          <color auto="1"/>
        </right>
        <top style="dashed">
          <color auto="1"/>
        </top>
        <bottom style="dashed">
          <color auto="1"/>
        </bottom>
      </border>
      <protection locked="0" hidden="0"/>
    </dxf>
    <dxf>
      <font>
        <b/>
        <i val="0"/>
        <strike val="0"/>
        <condense val="0"/>
        <extend val="0"/>
        <outline val="0"/>
        <shadow val="0"/>
        <u val="none"/>
        <vertAlign val="baseline"/>
        <sz val="12"/>
        <color theme="0"/>
        <name val="Calibri"/>
        <scheme val="minor"/>
      </font>
      <numFmt numFmtId="164" formatCode="_-* #,##0\ _€_-;\-* #,##0\ _€_-;_-* &quot;-&quot;??\ _€_-;_-@_-"/>
      <fill>
        <patternFill patternType="solid">
          <fgColor indexed="64"/>
          <bgColor theme="1" tint="0.14999847407452621"/>
        </patternFill>
      </fill>
      <alignment horizontal="general" vertical="center" textRotation="0" wrapText="0" indent="0" justifyLastLine="0" shrinkToFit="0" readingOrder="0"/>
      <border diagonalUp="0" diagonalDown="0" outline="0">
        <left/>
        <right/>
        <top/>
        <bottom/>
      </border>
    </dxf>
    <dxf>
      <fill>
        <patternFill patternType="solid">
          <fgColor indexed="64"/>
          <bgColor theme="8" tint="0.79998168889431442"/>
        </patternFill>
      </fill>
      <border diagonalUp="0" diagonalDown="0">
        <left style="dashed">
          <color auto="1"/>
        </left>
        <right style="dashed">
          <color auto="1"/>
        </right>
        <top style="dashed">
          <color auto="1"/>
        </top>
        <bottom style="dashed">
          <color auto="1"/>
        </bottom>
      </border>
      <protection locked="0" hidden="0"/>
    </dxf>
    <dxf>
      <font>
        <b/>
        <i val="0"/>
        <strike val="0"/>
        <condense val="0"/>
        <extend val="0"/>
        <outline val="0"/>
        <shadow val="0"/>
        <u val="none"/>
        <vertAlign val="baseline"/>
        <sz val="12"/>
        <color theme="0"/>
        <name val="Calibri"/>
        <scheme val="minor"/>
      </font>
      <fill>
        <patternFill patternType="solid">
          <fgColor indexed="64"/>
          <bgColor theme="1" tint="0.14999847407452621"/>
        </patternFill>
      </fill>
      <alignment horizontal="general" vertical="center" textRotation="0" wrapText="0" indent="0" justifyLastLine="0" shrinkToFit="0" readingOrder="0"/>
      <border diagonalUp="0" diagonalDown="0" outline="0">
        <left/>
        <right/>
        <top/>
        <bottom style="medium">
          <color theme="4" tint="0.39997558519241921"/>
        </bottom>
      </border>
    </dxf>
    <dxf>
      <fill>
        <patternFill patternType="solid">
          <fgColor indexed="64"/>
          <bgColor theme="8" tint="0.79998168889431442"/>
        </patternFill>
      </fill>
      <border diagonalUp="0" diagonalDown="0">
        <left style="dashed">
          <color auto="1"/>
        </left>
        <right style="dashed">
          <color auto="1"/>
        </right>
        <top style="dashed">
          <color auto="1"/>
        </top>
        <bottom style="dashed">
          <color auto="1"/>
        </bottom>
        <vertical/>
        <horizontal/>
      </border>
      <protection locked="0" hidden="0"/>
    </dxf>
    <dxf>
      <font>
        <b/>
        <i val="0"/>
        <strike val="0"/>
        <condense val="0"/>
        <extend val="0"/>
        <outline val="0"/>
        <shadow val="0"/>
        <u val="none"/>
        <vertAlign val="baseline"/>
        <sz val="12"/>
        <color theme="0"/>
        <name val="Calibri"/>
        <scheme val="minor"/>
      </font>
      <fill>
        <patternFill patternType="solid">
          <fgColor indexed="64"/>
          <bgColor theme="1" tint="0.14999847407452621"/>
        </patternFill>
      </fill>
      <alignment horizontal="general" vertical="center" textRotation="0" wrapText="0" indent="0" justifyLastLine="0" shrinkToFit="0" readingOrder="0"/>
      <border diagonalUp="0" diagonalDown="0" outline="0">
        <left/>
        <right/>
        <top/>
        <bottom style="medium">
          <color theme="4" tint="0.39997558519241921"/>
        </bottom>
      </border>
    </dxf>
    <dxf>
      <fill>
        <patternFill patternType="solid">
          <fgColor indexed="64"/>
          <bgColor theme="8" tint="0.79998168889431442"/>
        </patternFill>
      </fill>
      <border diagonalUp="0" diagonalDown="0">
        <left style="dashed">
          <color auto="1"/>
        </left>
        <right style="dashed">
          <color auto="1"/>
        </right>
        <top style="dashed">
          <color auto="1"/>
        </top>
        <bottom style="dashed">
          <color auto="1"/>
        </bottom>
      </border>
      <protection locked="0" hidden="0"/>
    </dxf>
    <dxf>
      <font>
        <b/>
        <i val="0"/>
        <strike val="0"/>
        <condense val="0"/>
        <extend val="0"/>
        <outline val="0"/>
        <shadow val="0"/>
        <u val="none"/>
        <vertAlign val="baseline"/>
        <sz val="12"/>
        <color theme="0"/>
        <name val="Calibri"/>
        <scheme val="minor"/>
      </font>
      <fill>
        <patternFill patternType="solid">
          <fgColor indexed="64"/>
          <bgColor theme="1" tint="0.14999847407452621"/>
        </patternFill>
      </fill>
      <alignment horizontal="left" vertical="center" textRotation="0" wrapText="0" indent="0" justifyLastLine="0" shrinkToFit="0" readingOrder="0"/>
      <border diagonalUp="0" diagonalDown="0" outline="0">
        <left/>
        <right/>
        <top/>
        <bottom style="medium">
          <color theme="4" tint="0.39997558519241921"/>
        </bottom>
      </border>
    </dxf>
    <dxf>
      <fill>
        <patternFill patternType="solid">
          <fgColor indexed="64"/>
          <bgColor theme="8" tint="0.79998168889431442"/>
        </patternFill>
      </fill>
      <border diagonalUp="0" diagonalDown="0" outline="0">
        <left style="dashed">
          <color auto="1"/>
        </left>
        <right style="dashed">
          <color auto="1"/>
        </right>
        <top style="dashed">
          <color auto="1"/>
        </top>
        <bottom style="dashed">
          <color auto="1"/>
        </bottom>
      </border>
    </dxf>
    <dxf>
      <font>
        <b/>
        <i val="0"/>
        <strike val="0"/>
        <condense val="0"/>
        <extend val="0"/>
        <outline val="0"/>
        <shadow val="0"/>
        <u val="none"/>
        <vertAlign val="baseline"/>
        <sz val="12"/>
        <color theme="0"/>
        <name val="Calibri"/>
        <scheme val="minor"/>
      </font>
      <fill>
        <patternFill patternType="solid">
          <fgColor indexed="64"/>
          <bgColor theme="1" tint="0.14999847407452621"/>
        </patternFill>
      </fill>
      <alignment horizontal="center" vertical="center" textRotation="0" wrapText="0" indent="0" justifyLastLine="0" shrinkToFit="0" readingOrder="0"/>
      <border diagonalUp="0" diagonalDown="0" outline="0">
        <left/>
        <right/>
        <top/>
        <bottom style="medium">
          <color theme="4" tint="0.39997558519241921"/>
        </bottom>
      </border>
    </dxf>
    <dxf>
      <numFmt numFmtId="0" formatCode="General"/>
      <fill>
        <patternFill patternType="solid">
          <fgColor indexed="64"/>
          <bgColor theme="8" tint="0.79998168889431442"/>
        </patternFill>
      </fill>
      <alignment horizontal="center" vertical="bottom" textRotation="0" wrapText="0" indent="0" justifyLastLine="0" shrinkToFit="0" readingOrder="0"/>
      <border diagonalUp="0" diagonalDown="0" outline="0">
        <left style="dashed">
          <color auto="1"/>
        </left>
        <right style="dashed">
          <color auto="1"/>
        </right>
        <top style="dashed">
          <color auto="1"/>
        </top>
        <bottom style="dashed">
          <color auto="1"/>
        </bottom>
      </border>
    </dxf>
    <dxf>
      <font>
        <b/>
        <i val="0"/>
        <strike val="0"/>
        <condense val="0"/>
        <extend val="0"/>
        <outline val="0"/>
        <shadow val="0"/>
        <u val="none"/>
        <vertAlign val="baseline"/>
        <sz val="12"/>
        <color theme="0"/>
        <name val="Calibri"/>
        <scheme val="minor"/>
      </font>
      <fill>
        <patternFill patternType="solid">
          <fgColor indexed="64"/>
          <bgColor theme="1" tint="0.14999847407452621"/>
        </patternFill>
      </fill>
      <alignment horizontal="center" vertical="center" textRotation="0" wrapText="0" indent="0" justifyLastLine="0" shrinkToFit="0" readingOrder="0"/>
      <border diagonalUp="0" diagonalDown="0" outline="0">
        <left/>
        <right/>
        <top/>
        <bottom style="medium">
          <color theme="4" tint="0.39997558519241921"/>
        </bottom>
      </border>
    </dxf>
    <dxf>
      <fill>
        <patternFill patternType="solid">
          <fgColor indexed="64"/>
          <bgColor theme="8" tint="0.79998168889431442"/>
        </patternFill>
      </fill>
      <alignment horizontal="center" textRotation="0" wrapText="0" indent="0" justifyLastLine="0" shrinkToFit="0" readingOrder="0"/>
      <border diagonalUp="0" diagonalDown="0">
        <left style="dashed">
          <color auto="1"/>
        </left>
        <right style="dashed">
          <color auto="1"/>
        </right>
        <top style="dashed">
          <color auto="1"/>
        </top>
        <bottom style="dashed">
          <color auto="1"/>
        </bottom>
      </border>
      <protection locked="0" hidden="0"/>
    </dxf>
    <dxf>
      <font>
        <b/>
        <i val="0"/>
        <strike val="0"/>
        <condense val="0"/>
        <extend val="0"/>
        <outline val="0"/>
        <shadow val="0"/>
        <u val="none"/>
        <vertAlign val="baseline"/>
        <sz val="12"/>
        <color theme="0"/>
        <name val="Calibri"/>
        <scheme val="minor"/>
      </font>
      <fill>
        <patternFill patternType="solid">
          <fgColor indexed="64"/>
          <bgColor theme="1" tint="0.14999847407452621"/>
        </patternFill>
      </fill>
      <alignment horizontal="center" vertical="center" textRotation="0" wrapText="0" indent="0" justifyLastLine="0" shrinkToFit="0" readingOrder="0"/>
      <border diagonalUp="0" diagonalDown="0" outline="0">
        <left/>
        <right/>
        <top/>
        <bottom style="medium">
          <color theme="4" tint="0.39997558519241921"/>
        </bottom>
      </border>
    </dxf>
    <dxf>
      <fill>
        <patternFill patternType="solid">
          <fgColor indexed="64"/>
          <bgColor theme="8" tint="0.79998168889431442"/>
        </patternFill>
      </fill>
      <border diagonalUp="0" diagonalDown="0">
        <left style="dashed">
          <color auto="1"/>
        </left>
        <right style="dashed">
          <color auto="1"/>
        </right>
        <top style="dashed">
          <color auto="1"/>
        </top>
        <bottom style="dashed">
          <color auto="1"/>
        </bottom>
      </border>
      <protection locked="1" hidden="0"/>
    </dxf>
    <dxf>
      <font>
        <b/>
        <i val="0"/>
        <strike val="0"/>
        <condense val="0"/>
        <extend val="0"/>
        <outline val="0"/>
        <shadow val="0"/>
        <u val="none"/>
        <vertAlign val="baseline"/>
        <sz val="12"/>
        <color theme="0"/>
        <name val="Calibri"/>
        <scheme val="minor"/>
      </font>
      <fill>
        <patternFill patternType="solid">
          <fgColor indexed="64"/>
          <bgColor theme="1" tint="0.14999847407452621"/>
        </patternFill>
      </fill>
      <alignment horizontal="center" vertical="center" textRotation="0" wrapText="0" indent="0" justifyLastLine="0" shrinkToFit="0" readingOrder="0"/>
      <border diagonalUp="0" diagonalDown="0" outline="0">
        <left/>
        <right/>
        <top/>
        <bottom style="medium">
          <color theme="4" tint="0.39997558519241921"/>
        </bottom>
      </border>
    </dxf>
    <dxf>
      <fill>
        <patternFill patternType="solid">
          <fgColor indexed="64"/>
          <bgColor theme="8" tint="0.79998168889431442"/>
        </patternFill>
      </fill>
      <alignment horizontal="center" textRotation="0" wrapText="0" indent="0" justifyLastLine="0" shrinkToFit="0" readingOrder="0"/>
      <border diagonalUp="0" diagonalDown="0" outline="0">
        <left style="dashed">
          <color auto="1"/>
        </left>
        <right style="dashed">
          <color auto="1"/>
        </right>
        <top style="dashed">
          <color auto="1"/>
        </top>
        <bottom style="dashed">
          <color auto="1"/>
        </bottom>
      </border>
    </dxf>
    <dxf>
      <font>
        <b/>
      </font>
      <fill>
        <patternFill patternType="solid">
          <fgColor indexed="64"/>
          <bgColor theme="1" tint="0.14999847407452621"/>
        </patternFill>
      </fill>
    </dxf>
    <dxf>
      <border outline="0">
        <top style="thin">
          <color rgb="FFB2B2B2"/>
        </top>
        <bottom style="medium">
          <color theme="4" tint="0.39997558519241921"/>
        </bottom>
      </border>
    </dxf>
    <dxf>
      <font>
        <b val="0"/>
        <strike val="0"/>
        <outline val="0"/>
        <shadow val="0"/>
        <u val="none"/>
        <vertAlign val="baseline"/>
        <sz val="10"/>
        <color auto="1"/>
        <name val="Cambria"/>
        <scheme val="major"/>
      </font>
      <fill>
        <patternFill patternType="solid">
          <fgColor indexed="64"/>
          <bgColor theme="8" tint="0.79998168889431442"/>
        </patternFill>
      </fill>
    </dxf>
    <dxf>
      <border outline="0">
        <bottom style="thin">
          <color rgb="FFB2B2B2"/>
        </bottom>
      </border>
    </dxf>
    <dxf>
      <font>
        <b/>
        <i val="0"/>
        <strike val="0"/>
        <condense val="0"/>
        <extend val="0"/>
        <outline val="0"/>
        <shadow val="0"/>
        <u val="none"/>
        <vertAlign val="baseline"/>
        <sz val="10"/>
        <color theme="3"/>
        <name val="Calibri"/>
        <scheme val="minor"/>
      </font>
      <alignment horizontal="center" vertical="center" textRotation="0" wrapText="0" indent="0" justifyLastLine="0" shrinkToFit="0" readingOrder="0"/>
      <border diagonalUp="0" diagonalDown="0" outline="0">
        <left style="thin">
          <color rgb="FFB2B2B2"/>
        </left>
        <right style="thin">
          <color rgb="FFB2B2B2"/>
        </right>
        <top/>
        <bottom/>
      </border>
    </dxf>
  </dxfs>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pivotCacheDefinition" Target="pivotCache/pivotCacheDefinition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[GESFICO RECETTE.xlsm]Graphique!Tableau croisé dynamique3</c:name>
    <c:fmtId val="0"/>
  </c:pivotSource>
  <c:chart>
    <c:autoTitleDeleted val="0"/>
    <c:pivotFmts>
      <c:pivotFmt>
        <c:idx val="0"/>
      </c:pivotFmt>
      <c:pivotFmt>
        <c:idx val="1"/>
      </c:pivotFmt>
      <c:pivotFmt>
        <c:idx val="2"/>
      </c:pivotFmt>
      <c:pivotFmt>
        <c:idx val="3"/>
      </c:pivotFmt>
      <c:pivotFmt>
        <c:idx val="4"/>
      </c:pivotFmt>
      <c:pivotFmt>
        <c:idx val="5"/>
      </c:pivotFmt>
      <c:pivotFmt>
        <c:idx val="6"/>
      </c:pivotFmt>
      <c:pivotFmt>
        <c:idx val="7"/>
      </c:pivotFmt>
      <c:pivotFmt>
        <c:idx val="8"/>
      </c:pivotFmt>
      <c:pivotFmt>
        <c:idx val="9"/>
      </c:pivotFmt>
      <c:pivotFmt>
        <c:idx val="10"/>
      </c:pivotFmt>
      <c:pivotFmt>
        <c:idx val="11"/>
      </c:pivotFmt>
      <c:pivotFmt>
        <c:idx val="12"/>
      </c:pivotFmt>
      <c:pivotFmt>
        <c:idx val="13"/>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14"/>
        <c:spPr>
          <a:noFill/>
          <a:ln w="22225" cap="rnd" cmpd="sng" algn="ctr">
            <a:solidFill>
              <a:srgbClr val="FFC000"/>
            </a:solidFill>
            <a:miter lim="800000"/>
          </a:ln>
          <a:effectLst>
            <a:glow rad="139700">
              <a:schemeClr val="accent1">
                <a:satMod val="175000"/>
                <a:alpha val="14000"/>
              </a:schemeClr>
            </a:glow>
          </a:effectLst>
        </c:spPr>
        <c:marker>
          <c:symbol val="none"/>
        </c:marker>
      </c:pivotFmt>
      <c:pivotFmt>
        <c:idx val="15"/>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16"/>
        <c:spPr>
          <a:ln w="22225" cap="rnd" cmpd="sng" algn="ctr">
            <a:solidFill>
              <a:schemeClr val="accent1"/>
            </a:solidFill>
            <a:miter lim="800000"/>
          </a:ln>
          <a:effectLst>
            <a:glow rad="139700">
              <a:schemeClr val="accent1">
                <a:satMod val="175000"/>
                <a:alpha val="14000"/>
              </a:schemeClr>
            </a:glo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7"/>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18"/>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19"/>
        <c:dLbl>
          <c:idx val="0"/>
          <c:layout>
            <c:manualLayout>
              <c:x val="-4.0345821325648484E-2"/>
              <c:y val="3.3542972509553085E-2"/>
            </c:manualLayout>
          </c:layout>
          <c:showLegendKey val="0"/>
          <c:showVal val="1"/>
          <c:showCatName val="0"/>
          <c:showSerName val="0"/>
          <c:showPercent val="0"/>
          <c:showBubbleSize val="0"/>
          <c:extLst>
            <c:ext xmlns:c15="http://schemas.microsoft.com/office/drawing/2012/chart" uri="{CE6537A1-D6FC-4f65-9D91-7224C49458BB}"/>
          </c:extLst>
        </c:dLbl>
      </c:pivotFmt>
      <c:pivotFmt>
        <c:idx val="20"/>
        <c:dLbl>
          <c:idx val="0"/>
          <c:layout>
            <c:manualLayout>
              <c:x val="-1.5369836695485181E-2"/>
              <c:y val="-2.3480080756687231E-2"/>
            </c:manualLayout>
          </c:layout>
          <c:showLegendKey val="0"/>
          <c:showVal val="1"/>
          <c:showCatName val="0"/>
          <c:showSerName val="0"/>
          <c:showPercent val="0"/>
          <c:showBubbleSize val="0"/>
          <c:extLst>
            <c:ext xmlns:c15="http://schemas.microsoft.com/office/drawing/2012/chart" uri="{CE6537A1-D6FC-4f65-9D91-7224C49458BB}"/>
          </c:extLst>
        </c:dLbl>
      </c:pivotFmt>
      <c:pivotFmt>
        <c:idx val="21"/>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22"/>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23"/>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24"/>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25"/>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26"/>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27"/>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28"/>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29"/>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30"/>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31"/>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32"/>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33"/>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34"/>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35"/>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36"/>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37"/>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38"/>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39"/>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40"/>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41"/>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42"/>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43"/>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44"/>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45"/>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46"/>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47"/>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48"/>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49"/>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50"/>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51"/>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52"/>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53"/>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54"/>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55"/>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56"/>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57"/>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58"/>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59"/>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60"/>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61"/>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62"/>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63"/>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64"/>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65"/>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66"/>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67"/>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68"/>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69"/>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70"/>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71"/>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72"/>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73"/>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74"/>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75"/>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76"/>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77"/>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78"/>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79"/>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80"/>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81"/>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82"/>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83"/>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84"/>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85"/>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86"/>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87"/>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88"/>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89"/>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90"/>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91"/>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92"/>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93"/>
        <c:spPr>
          <a:noFill/>
          <a:ln w="22225" cap="rnd" cmpd="sng" algn="ctr">
            <a:solidFill>
              <a:srgbClr val="FFC000"/>
            </a:solidFill>
            <a:miter lim="800000"/>
          </a:ln>
          <a:effectLst>
            <a:glow rad="139700">
              <a:schemeClr val="accent1">
                <a:satMod val="175000"/>
                <a:alpha val="14000"/>
              </a:schemeClr>
            </a:glow>
          </a:effectLst>
        </c:spPr>
        <c:marker>
          <c:symbol val="none"/>
        </c:marker>
      </c:pivotFmt>
      <c:pivotFmt>
        <c:idx val="94"/>
        <c:spPr>
          <a:ln w="22225" cap="rnd" cmpd="sng" algn="ctr">
            <a:solidFill>
              <a:schemeClr val="accent1"/>
            </a:solidFill>
            <a:miter lim="800000"/>
          </a:ln>
          <a:effectLst>
            <a:glow rad="139700">
              <a:schemeClr val="accent1">
                <a:satMod val="175000"/>
                <a:alpha val="14000"/>
              </a:schemeClr>
            </a:glow>
          </a:effectLst>
        </c:spPr>
        <c:marker>
          <c:symbol val="none"/>
        </c:marker>
      </c:pivotFmt>
      <c:pivotFmt>
        <c:idx val="95"/>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96"/>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97"/>
        <c:spPr>
          <a:noFill/>
          <a:ln w="22225" cap="rnd" cmpd="sng" algn="ctr">
            <a:solidFill>
              <a:srgbClr val="FFC000"/>
            </a:solidFill>
            <a:miter lim="800000"/>
          </a:ln>
          <a:effectLst>
            <a:glow rad="139700">
              <a:schemeClr val="accent1">
                <a:satMod val="175000"/>
                <a:alpha val="14000"/>
              </a:schemeClr>
            </a:glow>
          </a:effectLst>
        </c:spPr>
        <c:marker>
          <c:symbol val="none"/>
        </c:marker>
      </c:pivotFmt>
      <c:pivotFmt>
        <c:idx val="98"/>
        <c:spPr>
          <a:noFill/>
          <a:ln w="22225" cap="rnd" cmpd="sng" algn="ctr">
            <a:solidFill>
              <a:srgbClr val="FFC000"/>
            </a:solidFill>
            <a:miter lim="800000"/>
          </a:ln>
          <a:effectLst>
            <a:glow rad="139700">
              <a:schemeClr val="accent1">
                <a:satMod val="175000"/>
                <a:alpha val="14000"/>
              </a:schemeClr>
            </a:glow>
          </a:effectLst>
        </c:spPr>
        <c:marker>
          <c:symbol val="none"/>
        </c:marker>
      </c:pivotFmt>
      <c:pivotFmt>
        <c:idx val="99"/>
        <c:spPr>
          <a:ln w="22225" cap="rnd" cmpd="sng" algn="ctr">
            <a:solidFill>
              <a:schemeClr val="accent1"/>
            </a:solidFill>
            <a:miter lim="800000"/>
          </a:ln>
          <a:effectLst>
            <a:glow rad="139700">
              <a:schemeClr val="accent1">
                <a:satMod val="175000"/>
                <a:alpha val="14000"/>
              </a:schemeClr>
            </a:glow>
          </a:effectLst>
        </c:spPr>
        <c:marker>
          <c:symbol val="none"/>
        </c:marker>
      </c:pivotFmt>
      <c:pivotFmt>
        <c:idx val="100"/>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101"/>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102"/>
        <c:spPr>
          <a:noFill/>
          <a:ln w="22225" cap="rnd" cmpd="sng" algn="ctr">
            <a:solidFill>
              <a:schemeClr val="accent1"/>
            </a:solidFill>
            <a:miter lim="800000"/>
          </a:ln>
          <a:effectLst>
            <a:glow rad="139700">
              <a:schemeClr val="accent1">
                <a:satMod val="175000"/>
                <a:alpha val="14000"/>
              </a:schemeClr>
            </a:glow>
          </a:effectLst>
        </c:spPr>
        <c:marker>
          <c:symbol val="none"/>
        </c:marker>
      </c:pivotFmt>
      <c:pivotFmt>
        <c:idx val="103"/>
        <c:spPr>
          <a:ln w="22225" cap="rnd">
            <a:solidFill>
              <a:schemeClr val="accent1"/>
            </a:solidFill>
          </a:ln>
          <a:effectLst>
            <a:glow rad="139700">
              <a:schemeClr val="accent1">
                <a:satMod val="175000"/>
                <a:alpha val="14000"/>
              </a:schemeClr>
            </a:glow>
          </a:effectLst>
        </c:spPr>
        <c:marker>
          <c:symbol val="none"/>
        </c:marker>
      </c:pivotFmt>
    </c:pivotFmts>
    <c:plotArea>
      <c:layout>
        <c:manualLayout>
          <c:layoutTarget val="inner"/>
          <c:xMode val="edge"/>
          <c:yMode val="edge"/>
          <c:x val="0.10064232604930147"/>
          <c:y val="0.15233056505626294"/>
          <c:w val="0.75430484013705779"/>
          <c:h val="0.70350921280634304"/>
        </c:manualLayout>
      </c:layout>
      <c:lineChart>
        <c:grouping val="standard"/>
        <c:varyColors val="0"/>
        <c:ser>
          <c:idx val="0"/>
          <c:order val="0"/>
          <c:tx>
            <c:strRef>
              <c:f>Graphique!$B$3:$B$4</c:f>
              <c:strCache>
                <c:ptCount val="1"/>
                <c:pt idx="0">
                  <c:v>7055</c:v>
                </c:pt>
              </c:strCache>
            </c:strRef>
          </c:tx>
          <c:spPr>
            <a:ln w="22225" cap="rnd" cmpd="sng" algn="ctr">
              <a:solidFill>
                <a:schemeClr val="accent1"/>
              </a:solidFill>
              <a:miter lim="800000"/>
            </a:ln>
            <a:effectLst>
              <a:glow rad="139700">
                <a:schemeClr val="accent1">
                  <a:satMod val="175000"/>
                  <a:alpha val="14000"/>
                </a:schemeClr>
              </a:glow>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50000"/>
                        </a:schemeClr>
                      </a:solidFill>
                      <a:round/>
                    </a:ln>
                    <a:effectLst/>
                  </c:spPr>
                </c15:leaderLines>
              </c:ext>
            </c:extLst>
          </c:dLbls>
          <c:cat>
            <c:strRef>
              <c:f>Graphique!$A$5:$A$7</c:f>
              <c:strCache>
                <c:ptCount val="2"/>
                <c:pt idx="0">
                  <c:v>janv</c:v>
                </c:pt>
                <c:pt idx="1">
                  <c:v>févr</c:v>
                </c:pt>
              </c:strCache>
            </c:strRef>
          </c:cat>
          <c:val>
            <c:numRef>
              <c:f>Graphique!$B$5:$B$7</c:f>
              <c:numCache>
                <c:formatCode>_(* #,##0_);_(* \(#,##0\);_(* "-"_);_(@_)</c:formatCode>
                <c:ptCount val="2"/>
                <c:pt idx="0">
                  <c:v>18000</c:v>
                </c:pt>
              </c:numCache>
            </c:numRef>
          </c:val>
          <c:smooth val="0"/>
        </c:ser>
        <c:ser>
          <c:idx val="1"/>
          <c:order val="1"/>
          <c:tx>
            <c:strRef>
              <c:f>Graphique!$C$3:$C$4</c:f>
              <c:strCache>
                <c:ptCount val="1"/>
                <c:pt idx="0">
                  <c:v>7030</c:v>
                </c:pt>
              </c:strCache>
            </c:strRef>
          </c:tx>
          <c:spPr>
            <a:ln w="22225" cap="rnd" cmpd="sng" algn="ctr">
              <a:solidFill>
                <a:schemeClr val="accent2"/>
              </a:solidFill>
              <a:miter lim="800000"/>
            </a:ln>
            <a:effectLst>
              <a:glow rad="139700">
                <a:schemeClr val="accent2">
                  <a:satMod val="175000"/>
                  <a:alpha val="14000"/>
                </a:schemeClr>
              </a:glow>
            </a:effectLst>
          </c:spPr>
          <c:marker>
            <c:symbol val="none"/>
          </c:marker>
          <c:cat>
            <c:strRef>
              <c:f>Graphique!$A$5:$A$7</c:f>
              <c:strCache>
                <c:ptCount val="2"/>
                <c:pt idx="0">
                  <c:v>janv</c:v>
                </c:pt>
                <c:pt idx="1">
                  <c:v>févr</c:v>
                </c:pt>
              </c:strCache>
            </c:strRef>
          </c:cat>
          <c:val>
            <c:numRef>
              <c:f>Graphique!$C$5:$C$7</c:f>
              <c:numCache>
                <c:formatCode>_(* #,##0_);_(* \(#,##0\);_(* "-"_);_(@_)</c:formatCode>
                <c:ptCount val="2"/>
                <c:pt idx="0">
                  <c:v>65000</c:v>
                </c:pt>
              </c:numCache>
            </c:numRef>
          </c:val>
          <c:smooth val="0"/>
        </c:ser>
        <c:ser>
          <c:idx val="2"/>
          <c:order val="2"/>
          <c:tx>
            <c:strRef>
              <c:f>Graphique!$D$3:$D$4</c:f>
              <c:strCache>
                <c:ptCount val="1"/>
                <c:pt idx="0">
                  <c:v>7031</c:v>
                </c:pt>
              </c:strCache>
            </c:strRef>
          </c:tx>
          <c:spPr>
            <a:ln w="22225" cap="rnd" cmpd="sng" algn="ctr">
              <a:solidFill>
                <a:schemeClr val="accent3"/>
              </a:solidFill>
              <a:miter lim="800000"/>
            </a:ln>
            <a:effectLst>
              <a:glow rad="139700">
                <a:schemeClr val="accent3">
                  <a:satMod val="175000"/>
                  <a:alpha val="14000"/>
                </a:schemeClr>
              </a:glow>
            </a:effectLst>
          </c:spPr>
          <c:marker>
            <c:symbol val="none"/>
          </c:marker>
          <c:cat>
            <c:strRef>
              <c:f>Graphique!$A$5:$A$7</c:f>
              <c:strCache>
                <c:ptCount val="2"/>
                <c:pt idx="0">
                  <c:v>janv</c:v>
                </c:pt>
                <c:pt idx="1">
                  <c:v>févr</c:v>
                </c:pt>
              </c:strCache>
            </c:strRef>
          </c:cat>
          <c:val>
            <c:numRef>
              <c:f>Graphique!$D$5:$D$7</c:f>
              <c:numCache>
                <c:formatCode>_(* #,##0_);_(* \(#,##0\);_(* "-"_);_(@_)</c:formatCode>
                <c:ptCount val="2"/>
                <c:pt idx="1">
                  <c:v>95000</c:v>
                </c:pt>
              </c:numCache>
            </c:numRef>
          </c:val>
          <c:smooth val="0"/>
        </c:ser>
        <c:ser>
          <c:idx val="3"/>
          <c:order val="3"/>
          <c:tx>
            <c:strRef>
              <c:f>Graphique!$E$3:$E$4</c:f>
              <c:strCache>
                <c:ptCount val="1"/>
                <c:pt idx="0">
                  <c:v>7140</c:v>
                </c:pt>
              </c:strCache>
            </c:strRef>
          </c:tx>
          <c:spPr>
            <a:ln w="22225" cap="rnd">
              <a:solidFill>
                <a:schemeClr val="accent4"/>
              </a:solidFill>
            </a:ln>
            <a:effectLst>
              <a:glow rad="139700">
                <a:schemeClr val="accent4">
                  <a:satMod val="175000"/>
                  <a:alpha val="14000"/>
                </a:schemeClr>
              </a:glow>
            </a:effectLst>
          </c:spPr>
          <c:marker>
            <c:symbol val="none"/>
          </c:marker>
          <c:cat>
            <c:strRef>
              <c:f>Graphique!$A$5:$A$7</c:f>
              <c:strCache>
                <c:ptCount val="2"/>
                <c:pt idx="0">
                  <c:v>janv</c:v>
                </c:pt>
                <c:pt idx="1">
                  <c:v>févr</c:v>
                </c:pt>
              </c:strCache>
            </c:strRef>
          </c:cat>
          <c:val>
            <c:numRef>
              <c:f>Graphique!$E$5:$E$7</c:f>
              <c:numCache>
                <c:formatCode>_(* #,##0_);_(* \(#,##0\);_(* "-"_);_(@_)</c:formatCode>
                <c:ptCount val="2"/>
                <c:pt idx="0">
                  <c:v>145000</c:v>
                </c:pt>
                <c:pt idx="1">
                  <c:v>82000</c:v>
                </c:pt>
              </c:numCache>
            </c:numRef>
          </c:val>
          <c:smooth val="0"/>
        </c:ser>
        <c:dLbls>
          <c:showLegendKey val="0"/>
          <c:showVal val="0"/>
          <c:showCatName val="0"/>
          <c:showSerName val="0"/>
          <c:showPercent val="0"/>
          <c:showBubbleSize val="0"/>
        </c:dLbls>
        <c:smooth val="0"/>
        <c:axId val="255038808"/>
        <c:axId val="255039592"/>
      </c:lineChart>
      <c:catAx>
        <c:axId val="255038808"/>
        <c:scaling>
          <c:orientation val="minMax"/>
        </c:scaling>
        <c:delete val="0"/>
        <c:axPos val="b"/>
        <c:majorGridlines>
          <c:spPr>
            <a:ln w="9525" cap="flat" cmpd="sng" algn="ctr">
              <a:gradFill>
                <a:gsLst>
                  <a:gs pos="100000">
                    <a:schemeClr val="dk1">
                      <a:lumMod val="75000"/>
                      <a:lumOff val="25000"/>
                    </a:schemeClr>
                  </a:gs>
                  <a:gs pos="0">
                    <a:schemeClr val="dk1">
                      <a:lumMod val="65000"/>
                      <a:lumOff val="35000"/>
                    </a:schemeClr>
                  </a:gs>
                </a:gsLst>
                <a:lin ang="5400000" scaled="0"/>
              </a:gra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fr-FR"/>
          </a:p>
        </c:txPr>
        <c:crossAx val="255039592"/>
        <c:crosses val="autoZero"/>
        <c:auto val="1"/>
        <c:lblAlgn val="ctr"/>
        <c:lblOffset val="100"/>
        <c:noMultiLvlLbl val="0"/>
      </c:catAx>
      <c:valAx>
        <c:axId val="255039592"/>
        <c:scaling>
          <c:orientation val="minMax"/>
        </c:scaling>
        <c:delete val="0"/>
        <c:axPos val="l"/>
        <c:majorGridlines>
          <c:spPr>
            <a:ln w="9525" cap="flat" cmpd="sng" algn="ctr">
              <a:gradFill>
                <a:gsLst>
                  <a:gs pos="100000">
                    <a:schemeClr val="dk1">
                      <a:lumMod val="75000"/>
                      <a:lumOff val="25000"/>
                    </a:schemeClr>
                  </a:gs>
                  <a:gs pos="0">
                    <a:schemeClr val="dk1">
                      <a:lumMod val="65000"/>
                      <a:lumOff val="35000"/>
                    </a:schemeClr>
                  </a:gs>
                </a:gsLst>
                <a:lin ang="5400000" scaled="0"/>
              </a:gradFill>
              <a:round/>
            </a:ln>
            <a:effectLst/>
          </c:spPr>
        </c:majorGridlines>
        <c:numFmt formatCode="_(* #,##0_);_(* \(#,##0\);_(*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fr-FR"/>
          </a:p>
        </c:txPr>
        <c:crossAx val="255038808"/>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fr-FR"/>
        </a:p>
      </c:txPr>
    </c:legend>
    <c:plotVisOnly val="1"/>
    <c:dispBlanksAs val="gap"/>
    <c:showDLblsOverMax val="0"/>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fr-FR"/>
    </a:p>
  </c:txPr>
  <c:printSettings>
    <c:headerFooter/>
    <c:pageMargins b="0.75" l="0.7" r="0.7" t="0.75" header="0.3" footer="0.3"/>
    <c:pageSetup orientation="portrait"/>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Ls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3">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15000"/>
        <a:lumOff val="85000"/>
      </a:schemeClr>
    </cs:fontRef>
    <cs:spPr>
      <a:solidFill>
        <a:schemeClr val="dk1">
          <a:lumMod val="65000"/>
          <a:lumOff val="35000"/>
        </a:schemeClr>
      </a:solidFill>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
  <cs:dataPoint3D>
    <cs:lnRef idx="0">
      <cs:styleClr val="auto"/>
    </cs:lnRef>
    <cs:fillRef idx="0">
      <cs:styleClr val="auto"/>
    </cs:fillRef>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3D>
  <cs:dataPointLine>
    <cs:lnRef idx="0">
      <cs:styleClr val="auto"/>
    </cs:lnRef>
    <cs:fillRef idx="0">
      <cs:styleClr val="auto"/>
    </cs:fillRef>
    <cs:effectRef idx="0">
      <cs:styleClr val="auto"/>
    </cs:effectRef>
    <cs:fontRef idx="minor">
      <a:schemeClr val="dk1"/>
    </cs:fontRef>
    <cs:spPr>
      <a:ln w="22225" cap="rnd">
        <a:solidFill>
          <a:schemeClr val="phClr"/>
        </a:solidFill>
      </a:ln>
      <a:effectLst>
        <a:glow rad="139700">
          <a:schemeClr val="phClr">
            <a:satMod val="175000"/>
            <a:alpha val="1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75000"/>
                <a:lumOff val="25000"/>
              </a:schemeClr>
            </a:gs>
            <a:gs pos="0">
              <a:schemeClr val="dk1">
                <a:lumMod val="65000"/>
                <a:lumOff val="35000"/>
              </a:schemeClr>
            </a:gs>
          </a:gsLst>
          <a:lin ang="5400000" scaled="0"/>
        </a:gradFill>
        <a:round/>
      </a:ln>
    </cs:spPr>
  </cs:gridlineMajor>
  <cs:gridlineMinor>
    <cs:lnRef idx="0"/>
    <cs:fillRef idx="0"/>
    <cs:effectRef idx="0"/>
    <cs:fontRef idx="minor">
      <a:schemeClr val="dk1"/>
    </cs:fontRef>
    <cs:spPr>
      <a:ln w="9525" cap="flat" cmpd="sng" algn="ctr">
        <a:gradFill>
          <a:gsLst>
            <a:gs pos="100000">
              <a:schemeClr val="dk1">
                <a:lumMod val="75000"/>
                <a:lumOff val="25000"/>
                <a:alpha val="25000"/>
              </a:schemeClr>
            </a:gs>
            <a:gs pos="0">
              <a:schemeClr val="dk1">
                <a:lumMod val="65000"/>
                <a:lumOff val="35000"/>
                <a:alpha val="25000"/>
              </a:schemeClr>
            </a:gs>
          </a:gsLst>
          <a:lin ang="5400000" scaled="0"/>
        </a:gra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1" kern="1200" cap="none" baseline="0"/>
  </cs:title>
  <cs:trendline>
    <cs:lnRef idx="0">
      <cs:styleClr val="auto"/>
    </cs:lnRef>
    <cs:fillRef idx="0"/>
    <cs:effectRef idx="0"/>
    <cs:fontRef idx="minor">
      <a:schemeClr val="lt1"/>
    </cs:fontRef>
    <cs:spPr>
      <a:ln w="25400"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485775</xdr:colOff>
          <xdr:row>0</xdr:row>
          <xdr:rowOff>38100</xdr:rowOff>
        </xdr:from>
        <xdr:to>
          <xdr:col>4</xdr:col>
          <xdr:colOff>647700</xdr:colOff>
          <xdr:row>0</xdr:row>
          <xdr:rowOff>295275</xdr:rowOff>
        </xdr:to>
        <xdr:sp macro="" textlink="">
          <xdr:nvSpPr>
            <xdr:cNvPr id="11266" name="Button 2" hidden="1">
              <a:extLst>
                <a:ext uri="{63B3BB69-23CF-44E3-9099-C40C66FF867C}">
                  <a14:compatExt spid="_x0000_s1126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rPr>
                <a:t>Analyse par compte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895350</xdr:colOff>
          <xdr:row>0</xdr:row>
          <xdr:rowOff>38100</xdr:rowOff>
        </xdr:from>
        <xdr:to>
          <xdr:col>4</xdr:col>
          <xdr:colOff>2200275</xdr:colOff>
          <xdr:row>0</xdr:row>
          <xdr:rowOff>295275</xdr:rowOff>
        </xdr:to>
        <xdr:sp macro="" textlink="">
          <xdr:nvSpPr>
            <xdr:cNvPr id="11267" name="Button 3" hidden="1">
              <a:extLst>
                <a:ext uri="{63B3BB69-23CF-44E3-9099-C40C66FF867C}">
                  <a14:compatExt spid="_x0000_s1126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80"/>
                  </a:solidFill>
                  <a:latin typeface="Calibri"/>
                </a:rPr>
                <a:t>Analyse par date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314325</xdr:colOff>
          <xdr:row>0</xdr:row>
          <xdr:rowOff>66675</xdr:rowOff>
        </xdr:from>
        <xdr:to>
          <xdr:col>2</xdr:col>
          <xdr:colOff>123825</xdr:colOff>
          <xdr:row>0</xdr:row>
          <xdr:rowOff>295275</xdr:rowOff>
        </xdr:to>
        <xdr:sp macro="" textlink="">
          <xdr:nvSpPr>
            <xdr:cNvPr id="11268" name="Button 4" hidden="1">
              <a:extLst>
                <a:ext uri="{63B3BB69-23CF-44E3-9099-C40C66FF867C}">
                  <a14:compatExt spid="_x0000_s1126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339966"/>
                  </a:solidFill>
                  <a:latin typeface="Calibri"/>
                </a:rPr>
                <a:t>Actualiser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2457450</xdr:colOff>
          <xdr:row>0</xdr:row>
          <xdr:rowOff>38100</xdr:rowOff>
        </xdr:from>
        <xdr:to>
          <xdr:col>5</xdr:col>
          <xdr:colOff>581025</xdr:colOff>
          <xdr:row>0</xdr:row>
          <xdr:rowOff>304800</xdr:rowOff>
        </xdr:to>
        <xdr:sp macro="" textlink="">
          <xdr:nvSpPr>
            <xdr:cNvPr id="11272" name="Button 8" hidden="1">
              <a:extLst>
                <a:ext uri="{63B3BB69-23CF-44E3-9099-C40C66FF867C}">
                  <a14:compatExt spid="_x0000_s1127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rPr>
                <a:t>Graphique</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190500</xdr:colOff>
          <xdr:row>0</xdr:row>
          <xdr:rowOff>28575</xdr:rowOff>
        </xdr:from>
        <xdr:to>
          <xdr:col>6</xdr:col>
          <xdr:colOff>457200</xdr:colOff>
          <xdr:row>1</xdr:row>
          <xdr:rowOff>114300</xdr:rowOff>
        </xdr:to>
        <xdr:sp macro="" textlink="">
          <xdr:nvSpPr>
            <xdr:cNvPr id="13313" name="Button 1" hidden="1">
              <a:extLst>
                <a:ext uri="{63B3BB69-23CF-44E3-9099-C40C66FF867C}">
                  <a14:compatExt spid="_x0000_s1331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FF0000"/>
                  </a:solidFill>
                  <a:latin typeface="Calibri"/>
                </a:rPr>
                <a:t>Retour à enregistrement des titres émis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581025</xdr:colOff>
          <xdr:row>0</xdr:row>
          <xdr:rowOff>47625</xdr:rowOff>
        </xdr:from>
        <xdr:to>
          <xdr:col>8</xdr:col>
          <xdr:colOff>266700</xdr:colOff>
          <xdr:row>1</xdr:row>
          <xdr:rowOff>114300</xdr:rowOff>
        </xdr:to>
        <xdr:sp macro="" textlink="">
          <xdr:nvSpPr>
            <xdr:cNvPr id="13314" name="Button 2" hidden="1">
              <a:extLst>
                <a:ext uri="{63B3BB69-23CF-44E3-9099-C40C66FF867C}">
                  <a14:compatExt spid="_x0000_s1331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80"/>
                  </a:solidFill>
                  <a:latin typeface="Calibri"/>
                </a:rPr>
                <a:t>Analyse par date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342900</xdr:colOff>
          <xdr:row>0</xdr:row>
          <xdr:rowOff>38100</xdr:rowOff>
        </xdr:from>
        <xdr:to>
          <xdr:col>9</xdr:col>
          <xdr:colOff>561975</xdr:colOff>
          <xdr:row>1</xdr:row>
          <xdr:rowOff>114300</xdr:rowOff>
        </xdr:to>
        <xdr:sp macro="" textlink="">
          <xdr:nvSpPr>
            <xdr:cNvPr id="13315" name="Button 3" hidden="1">
              <a:extLst>
                <a:ext uri="{63B3BB69-23CF-44E3-9099-C40C66FF867C}">
                  <a14:compatExt spid="_x0000_s1331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rPr>
                <a:t>Graphique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600075</xdr:colOff>
          <xdr:row>0</xdr:row>
          <xdr:rowOff>47625</xdr:rowOff>
        </xdr:from>
        <xdr:to>
          <xdr:col>3</xdr:col>
          <xdr:colOff>57150</xdr:colOff>
          <xdr:row>1</xdr:row>
          <xdr:rowOff>85725</xdr:rowOff>
        </xdr:to>
        <xdr:sp macro="" textlink="">
          <xdr:nvSpPr>
            <xdr:cNvPr id="13316" name="Button 4" hidden="1">
              <a:extLst>
                <a:ext uri="{63B3BB69-23CF-44E3-9099-C40C66FF867C}">
                  <a14:compatExt spid="_x0000_s1331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339966"/>
                  </a:solidFill>
                  <a:latin typeface="Calibri"/>
                </a:rPr>
                <a:t>Actualiser</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266700</xdr:colOff>
          <xdr:row>0</xdr:row>
          <xdr:rowOff>28575</xdr:rowOff>
        </xdr:from>
        <xdr:to>
          <xdr:col>7</xdr:col>
          <xdr:colOff>438150</xdr:colOff>
          <xdr:row>1</xdr:row>
          <xdr:rowOff>114300</xdr:rowOff>
        </xdr:to>
        <xdr:sp macro="" textlink="">
          <xdr:nvSpPr>
            <xdr:cNvPr id="16385" name="Button 1" hidden="1">
              <a:extLst>
                <a:ext uri="{63B3BB69-23CF-44E3-9099-C40C66FF867C}">
                  <a14:compatExt spid="_x0000_s1638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FF0000"/>
                  </a:solidFill>
                  <a:latin typeface="Calibri"/>
                </a:rPr>
                <a:t>Aller à enregistrement des titres émis</a:t>
              </a:r>
            </a:p>
            <a:p>
              <a:pPr algn="ctr" rtl="0">
                <a:defRPr sz="1000"/>
              </a:pPr>
              <a:endParaRPr lang="fr-FR" sz="1100" b="1" i="0" u="none" strike="noStrike" baseline="0">
                <a:solidFill>
                  <a:srgbClr val="FF0000"/>
                </a:solidFill>
                <a:latin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523875</xdr:colOff>
          <xdr:row>0</xdr:row>
          <xdr:rowOff>38100</xdr:rowOff>
        </xdr:from>
        <xdr:to>
          <xdr:col>9</xdr:col>
          <xdr:colOff>495300</xdr:colOff>
          <xdr:row>1</xdr:row>
          <xdr:rowOff>104775</xdr:rowOff>
        </xdr:to>
        <xdr:sp macro="" textlink="">
          <xdr:nvSpPr>
            <xdr:cNvPr id="16386" name="Button 2" hidden="1">
              <a:extLst>
                <a:ext uri="{63B3BB69-23CF-44E3-9099-C40C66FF867C}">
                  <a14:compatExt spid="_x0000_s1638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rPr>
                <a:t>Analyse par compte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581025</xdr:colOff>
          <xdr:row>0</xdr:row>
          <xdr:rowOff>38100</xdr:rowOff>
        </xdr:from>
        <xdr:to>
          <xdr:col>11</xdr:col>
          <xdr:colOff>142875</xdr:colOff>
          <xdr:row>1</xdr:row>
          <xdr:rowOff>114300</xdr:rowOff>
        </xdr:to>
        <xdr:sp macro="" textlink="">
          <xdr:nvSpPr>
            <xdr:cNvPr id="16387" name="Button 3" hidden="1">
              <a:extLst>
                <a:ext uri="{63B3BB69-23CF-44E3-9099-C40C66FF867C}">
                  <a14:compatExt spid="_x0000_s1638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rPr>
                <a:t>Graphique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228600</xdr:colOff>
          <xdr:row>0</xdr:row>
          <xdr:rowOff>47625</xdr:rowOff>
        </xdr:from>
        <xdr:to>
          <xdr:col>3</xdr:col>
          <xdr:colOff>200025</xdr:colOff>
          <xdr:row>1</xdr:row>
          <xdr:rowOff>95250</xdr:rowOff>
        </xdr:to>
        <xdr:sp macro="" textlink="">
          <xdr:nvSpPr>
            <xdr:cNvPr id="16388" name="Button 4" hidden="1">
              <a:extLst>
                <a:ext uri="{63B3BB69-23CF-44E3-9099-C40C66FF867C}">
                  <a14:compatExt spid="_x0000_s1638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339966"/>
                  </a:solidFill>
                  <a:latin typeface="Calibri"/>
                </a:rPr>
                <a:t>Actualiser</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0</xdr:col>
      <xdr:colOff>1457325</xdr:colOff>
      <xdr:row>6</xdr:row>
      <xdr:rowOff>0</xdr:rowOff>
    </xdr:from>
    <xdr:to>
      <xdr:col>6</xdr:col>
      <xdr:colOff>619124</xdr:colOff>
      <xdr:row>27</xdr:row>
      <xdr:rowOff>185738</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xdr:from>
          <xdr:col>2</xdr:col>
          <xdr:colOff>114300</xdr:colOff>
          <xdr:row>0</xdr:row>
          <xdr:rowOff>47625</xdr:rowOff>
        </xdr:from>
        <xdr:to>
          <xdr:col>5</xdr:col>
          <xdr:colOff>295275</xdr:colOff>
          <xdr:row>0</xdr:row>
          <xdr:rowOff>304800</xdr:rowOff>
        </xdr:to>
        <xdr:sp macro="" textlink="">
          <xdr:nvSpPr>
            <xdr:cNvPr id="17409" name="Button 1" hidden="1">
              <a:extLst>
                <a:ext uri="{63B3BB69-23CF-44E3-9099-C40C66FF867C}">
                  <a14:compatExt spid="_x0000_s1740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FF0000"/>
                  </a:solidFill>
                  <a:latin typeface="Calibri"/>
                </a:rPr>
                <a:t>Retour à enregistrement des titres émis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361950</xdr:colOff>
          <xdr:row>0</xdr:row>
          <xdr:rowOff>57150</xdr:rowOff>
        </xdr:from>
        <xdr:to>
          <xdr:col>8</xdr:col>
          <xdr:colOff>133350</xdr:colOff>
          <xdr:row>0</xdr:row>
          <xdr:rowOff>285750</xdr:rowOff>
        </xdr:to>
        <xdr:sp macro="" textlink="">
          <xdr:nvSpPr>
            <xdr:cNvPr id="17410" name="Button 2" hidden="1">
              <a:extLst>
                <a:ext uri="{63B3BB69-23CF-44E3-9099-C40C66FF867C}">
                  <a14:compatExt spid="_x0000_s1741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rPr>
                <a:t>Analyse par compte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209550</xdr:colOff>
          <xdr:row>0</xdr:row>
          <xdr:rowOff>57150</xdr:rowOff>
        </xdr:from>
        <xdr:to>
          <xdr:col>9</xdr:col>
          <xdr:colOff>676275</xdr:colOff>
          <xdr:row>0</xdr:row>
          <xdr:rowOff>266700</xdr:rowOff>
        </xdr:to>
        <xdr:sp macro="" textlink="">
          <xdr:nvSpPr>
            <xdr:cNvPr id="17411" name="Button 3" hidden="1">
              <a:extLst>
                <a:ext uri="{63B3BB69-23CF-44E3-9099-C40C66FF867C}">
                  <a14:compatExt spid="_x0000_s1741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80"/>
                  </a:solidFill>
                  <a:latin typeface="Calibri"/>
                </a:rPr>
                <a:t>Analyse par date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809625</xdr:colOff>
          <xdr:row>0</xdr:row>
          <xdr:rowOff>38100</xdr:rowOff>
        </xdr:from>
        <xdr:to>
          <xdr:col>10</xdr:col>
          <xdr:colOff>9525</xdr:colOff>
          <xdr:row>0</xdr:row>
          <xdr:rowOff>276225</xdr:rowOff>
        </xdr:to>
        <xdr:sp macro="" textlink="">
          <xdr:nvSpPr>
            <xdr:cNvPr id="17412" name="Button 4" hidden="1">
              <a:extLst>
                <a:ext uri="{63B3BB69-23CF-44E3-9099-C40C66FF867C}">
                  <a14:compatExt spid="_x0000_s1741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339966"/>
                  </a:solidFill>
                  <a:latin typeface="Calibri"/>
                </a:rPr>
                <a:t>Actualiser</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0</xdr:col>
      <xdr:colOff>19051</xdr:colOff>
      <xdr:row>0</xdr:row>
      <xdr:rowOff>28574</xdr:rowOff>
    </xdr:from>
    <xdr:to>
      <xdr:col>8</xdr:col>
      <xdr:colOff>447675</xdr:colOff>
      <xdr:row>80</xdr:row>
      <xdr:rowOff>85725</xdr:rowOff>
    </xdr:to>
    <xdr:sp macro="" textlink="">
      <xdr:nvSpPr>
        <xdr:cNvPr id="2" name="ZoneTexte 1"/>
        <xdr:cNvSpPr txBox="1"/>
      </xdr:nvSpPr>
      <xdr:spPr>
        <a:xfrm>
          <a:off x="19051" y="28574"/>
          <a:ext cx="6524624" cy="15297151"/>
        </a:xfrm>
        <a:prstGeom prst="rect">
          <a:avLst/>
        </a:prstGeom>
        <a:ln>
          <a:noFill/>
        </a:ln>
      </xdr:spPr>
      <xdr:style>
        <a:lnRef idx="1">
          <a:schemeClr val="accent3"/>
        </a:lnRef>
        <a:fillRef idx="2">
          <a:schemeClr val="accent3"/>
        </a:fillRef>
        <a:effectRef idx="1">
          <a:schemeClr val="accent3"/>
        </a:effectRef>
        <a:fontRef idx="minor">
          <a:schemeClr val="dk1"/>
        </a:fontRef>
      </xdr:style>
      <xdr:txBody>
        <a:bodyPr vertOverflow="clip" horzOverflow="clip" wrap="square" rtlCol="0" anchor="t"/>
        <a:lstStyle/>
        <a:p>
          <a:r>
            <a:rPr lang="fr-FR" sz="1400" b="1"/>
            <a:t>Manuel d'utilisation</a:t>
          </a:r>
        </a:p>
        <a:p>
          <a:r>
            <a:rPr lang="fr-FR" sz="1100"/>
            <a:t>L'application GESFICO</a:t>
          </a:r>
          <a:r>
            <a:rPr lang="fr-FR" sz="1100" baseline="0"/>
            <a:t> est un outil qui vise à facilité la gestion financière des collectivités locales à travers l'informatisation des données enregistrées de façon manuscrite dans les documents financiers (régistres, titres, mandats...). C'est un outil qui se veut simple d'utilisation pour permettre d'avoir la situation financière en temps réel de la collectivité et de faciliter l'élaboration des documents financiers (budgets, compte administratifs, décades...).</a:t>
          </a:r>
        </a:p>
        <a:p>
          <a:endParaRPr lang="fr-FR" sz="1100" baseline="0"/>
        </a:p>
        <a:p>
          <a:r>
            <a:rPr lang="fr-FR" sz="1200" b="1" baseline="0">
              <a:solidFill>
                <a:srgbClr val="C00000"/>
              </a:solidFill>
            </a:rPr>
            <a:t>1) Présentation de l'outil l'application GESFICO</a:t>
          </a:r>
        </a:p>
        <a:p>
          <a:r>
            <a:rPr lang="fr-FR" sz="1100" baseline="0"/>
            <a:t>- GESFICO est un simple fichier Microsoft Excel comme tout autre fichier informatique. Elle ne nécessite aucune installation mais peut être utiliser comme </a:t>
          </a:r>
          <a:r>
            <a:rPr lang="fr-FR" sz="1100" b="1" baseline="0"/>
            <a:t>Modèles Office personnalisés</a:t>
          </a:r>
          <a:r>
            <a:rPr lang="fr-FR" sz="1100" baseline="0"/>
            <a:t>.</a:t>
          </a:r>
        </a:p>
        <a:p>
          <a:r>
            <a:rPr lang="fr-FR" sz="1100" baseline="0"/>
            <a:t>- Elle est constitué de plusieures feuilles ou onglet à savoir : </a:t>
          </a:r>
        </a:p>
        <a:p>
          <a:r>
            <a:rPr lang="fr-FR" sz="1100" baseline="0"/>
            <a:t>L'onglet/feuille </a:t>
          </a:r>
          <a:r>
            <a:rPr lang="fr-FR" sz="1100" b="1" i="1" baseline="0"/>
            <a:t>Titres émis  </a:t>
          </a:r>
          <a:r>
            <a:rPr lang="fr-FR" sz="1100" b="0" i="0" baseline="0"/>
            <a:t>qui </a:t>
          </a:r>
          <a:r>
            <a:rPr lang="fr-FR" sz="1100" baseline="0"/>
            <a:t>permet de saisir les informations du registre des recettes</a:t>
          </a:r>
        </a:p>
        <a:p>
          <a:r>
            <a:rPr lang="fr-FR" sz="1100" baseline="0"/>
            <a:t>L'onglet</a:t>
          </a:r>
          <a:r>
            <a:rPr lang="fr-FR" sz="1100" baseline="0">
              <a:solidFill>
                <a:schemeClr val="dk1"/>
              </a:solidFill>
              <a:effectLst/>
              <a:latin typeface="+mn-lt"/>
              <a:ea typeface="+mn-ea"/>
              <a:cs typeface="+mn-cs"/>
            </a:rPr>
            <a:t>/feuille</a:t>
          </a:r>
          <a:r>
            <a:rPr lang="fr-FR" sz="1100" baseline="0"/>
            <a:t> </a:t>
          </a:r>
          <a:r>
            <a:rPr lang="fr-FR" sz="1100" b="1" i="1" baseline="0"/>
            <a:t>Analyse par compte </a:t>
          </a:r>
          <a:r>
            <a:rPr lang="fr-FR" sz="1100" b="0" i="0" baseline="0"/>
            <a:t>qui </a:t>
          </a:r>
          <a:r>
            <a:rPr lang="fr-FR" sz="1100" baseline="0"/>
            <a:t>permet d'avoir la situation financière par compte (comptes en ligne et dates en colonne)</a:t>
          </a:r>
        </a:p>
        <a:p>
          <a:r>
            <a:rPr lang="fr-FR" sz="1100" baseline="0"/>
            <a:t>L'onglet</a:t>
          </a:r>
          <a:r>
            <a:rPr lang="fr-FR" sz="1100" baseline="0">
              <a:solidFill>
                <a:schemeClr val="dk1"/>
              </a:solidFill>
              <a:effectLst/>
              <a:latin typeface="+mn-lt"/>
              <a:ea typeface="+mn-ea"/>
              <a:cs typeface="+mn-cs"/>
            </a:rPr>
            <a:t>/feuille</a:t>
          </a:r>
          <a:r>
            <a:rPr lang="fr-FR" sz="1100" baseline="0"/>
            <a:t> </a:t>
          </a:r>
          <a:r>
            <a:rPr lang="fr-FR" sz="1100" b="1" i="1" baseline="0"/>
            <a:t>Analyse par date</a:t>
          </a:r>
          <a:r>
            <a:rPr lang="fr-FR" sz="1100" baseline="0"/>
            <a:t> qui permet d'avoir la situation financière par date (comptes en colonne et dates en ligne)</a:t>
          </a:r>
        </a:p>
        <a:p>
          <a:r>
            <a:rPr lang="fr-FR" sz="1100" baseline="0"/>
            <a:t>L'onglet</a:t>
          </a:r>
          <a:r>
            <a:rPr lang="fr-FR" sz="1100" baseline="0">
              <a:solidFill>
                <a:schemeClr val="dk1"/>
              </a:solidFill>
              <a:effectLst/>
              <a:latin typeface="+mn-lt"/>
              <a:ea typeface="+mn-ea"/>
              <a:cs typeface="+mn-cs"/>
            </a:rPr>
            <a:t>/feuille</a:t>
          </a:r>
          <a:r>
            <a:rPr lang="fr-FR" sz="1100" baseline="0"/>
            <a:t> </a:t>
          </a:r>
          <a:r>
            <a:rPr lang="fr-FR" sz="1100" b="1" i="1" baseline="0"/>
            <a:t>Graphique</a:t>
          </a:r>
          <a:r>
            <a:rPr lang="fr-FR" sz="1100" baseline="0"/>
            <a:t> qui permet d'avoir l'évolution de chaque type de recette ou dépense en fonction des périodes</a:t>
          </a:r>
        </a:p>
        <a:p>
          <a:endParaRPr lang="fr-FR" sz="1100" baseline="0"/>
        </a:p>
        <a:p>
          <a:pPr marL="0" marR="0" indent="0" defTabSz="914400" eaLnBrk="1" fontAlgn="auto" latinLnBrk="0" hangingPunct="1">
            <a:lnSpc>
              <a:spcPct val="100000"/>
            </a:lnSpc>
            <a:spcBef>
              <a:spcPts val="0"/>
            </a:spcBef>
            <a:spcAft>
              <a:spcPts val="0"/>
            </a:spcAft>
            <a:buClrTx/>
            <a:buSzTx/>
            <a:buFontTx/>
            <a:buNone/>
            <a:tabLst/>
            <a:defRPr/>
          </a:pPr>
          <a:r>
            <a:rPr lang="fr-FR" sz="1200" b="1" baseline="0">
              <a:solidFill>
                <a:srgbClr val="C00000"/>
              </a:solidFill>
              <a:effectLst/>
              <a:latin typeface="+mn-lt"/>
              <a:ea typeface="+mn-ea"/>
              <a:cs typeface="+mn-cs"/>
            </a:rPr>
            <a:t>2) Mode d'utilisation</a:t>
          </a:r>
          <a:endParaRPr lang="fr-FR" sz="1200">
            <a:solidFill>
              <a:srgbClr val="C00000"/>
            </a:solidFill>
            <a:effectLst/>
          </a:endParaRPr>
        </a:p>
        <a:p>
          <a:r>
            <a:rPr lang="fr-FR" sz="1100" b="1" baseline="0">
              <a:solidFill>
                <a:srgbClr val="0070C0"/>
              </a:solidFill>
            </a:rPr>
            <a:t>2.1) L'entrée des données </a:t>
          </a:r>
        </a:p>
        <a:p>
          <a:r>
            <a:rPr lang="fr-FR" sz="1100" baseline="0"/>
            <a:t>- L'entrée des </a:t>
          </a:r>
          <a:r>
            <a:rPr lang="fr-FR" sz="1100" b="0" baseline="0">
              <a:solidFill>
                <a:sysClr val="windowText" lastClr="000000"/>
              </a:solidFill>
              <a:latin typeface="+mn-lt"/>
              <a:ea typeface="+mn-ea"/>
              <a:cs typeface="+mn-cs"/>
            </a:rPr>
            <a:t>données se fait uniquement grâce à l'onglet </a:t>
          </a:r>
          <a:r>
            <a:rPr lang="fr-FR" sz="1100" b="1" baseline="0">
              <a:solidFill>
                <a:sysClr val="windowText" lastClr="000000"/>
              </a:solidFill>
              <a:latin typeface="+mn-lt"/>
              <a:ea typeface="+mn-ea"/>
              <a:cs typeface="+mn-cs"/>
            </a:rPr>
            <a:t>Titres émis</a:t>
          </a:r>
          <a:r>
            <a:rPr lang="fr-FR" sz="1100" b="0" baseline="0">
              <a:solidFill>
                <a:sysClr val="windowText" lastClr="000000"/>
              </a:solidFill>
              <a:latin typeface="+mn-lt"/>
              <a:ea typeface="+mn-ea"/>
              <a:cs typeface="+mn-cs"/>
            </a:rPr>
            <a:t>. Elle est conçu en respectant le plus possible le registre des recettes de la collectivité. L'agent saisie tout simplement les données en respectant les lignes et les collones du registre.</a:t>
          </a:r>
        </a:p>
        <a:p>
          <a:r>
            <a:rPr lang="fr-FR" sz="1100" b="0" baseline="0">
              <a:solidFill>
                <a:sysClr val="windowText" lastClr="000000"/>
              </a:solidFill>
              <a:latin typeface="+mn-lt"/>
              <a:ea typeface="+mn-ea"/>
              <a:cs typeface="+mn-cs"/>
            </a:rPr>
            <a:t>- Pour rentrée les données, il faut que l'agent dispose du mot de passe lui permettant d'activer les cellules de l'onglet</a:t>
          </a:r>
        </a:p>
        <a:p>
          <a:r>
            <a:rPr lang="fr-FR" sz="1100" b="0" baseline="0">
              <a:solidFill>
                <a:sysClr val="windowText" lastClr="000000"/>
              </a:solidFill>
              <a:latin typeface="+mn-lt"/>
              <a:ea typeface="+mn-ea"/>
              <a:cs typeface="+mn-cs"/>
            </a:rPr>
            <a:t>- </a:t>
          </a:r>
          <a:r>
            <a:rPr lang="fr-FR" sz="1100" b="1" u="sng" baseline="0">
              <a:solidFill>
                <a:sysClr val="windowText" lastClr="000000"/>
              </a:solidFill>
              <a:latin typeface="+mn-lt"/>
              <a:ea typeface="+mn-ea"/>
              <a:cs typeface="+mn-cs"/>
            </a:rPr>
            <a:t>IMPORTANT</a:t>
          </a:r>
          <a:r>
            <a:rPr lang="fr-FR" sz="1100" b="0" baseline="0">
              <a:solidFill>
                <a:sysClr val="windowText" lastClr="000000"/>
              </a:solidFill>
              <a:latin typeface="+mn-lt"/>
              <a:ea typeface="+mn-ea"/>
              <a:cs typeface="+mn-cs"/>
            </a:rPr>
            <a:t> : il est nécessaire d'actualiser les données après une saisie pour mettre à jour les informations liées aux comptes. Pour ce faire, il suffit d'un clique sur le bouton </a:t>
          </a:r>
          <a:r>
            <a:rPr lang="fr-FR" sz="1100" b="1" i="1" baseline="0">
              <a:solidFill>
                <a:srgbClr val="00B050"/>
              </a:solidFill>
              <a:latin typeface="+mn-lt"/>
              <a:ea typeface="+mn-ea"/>
              <a:cs typeface="+mn-cs"/>
            </a:rPr>
            <a:t>Actualiser</a:t>
          </a:r>
          <a:r>
            <a:rPr lang="fr-FR" sz="1100" b="0" baseline="0">
              <a:solidFill>
                <a:srgbClr val="00B050"/>
              </a:solidFill>
              <a:latin typeface="+mn-lt"/>
              <a:ea typeface="+mn-ea"/>
              <a:cs typeface="+mn-cs"/>
            </a:rPr>
            <a:t> </a:t>
          </a:r>
          <a:r>
            <a:rPr lang="fr-FR" sz="1100" b="0" baseline="0">
              <a:solidFill>
                <a:sysClr val="windowText" lastClr="000000"/>
              </a:solidFill>
              <a:latin typeface="+mn-lt"/>
              <a:ea typeface="+mn-ea"/>
              <a:cs typeface="+mn-cs"/>
            </a:rPr>
            <a:t>dans le coin supérieur gauche de l'onglet </a:t>
          </a:r>
          <a:r>
            <a:rPr lang="fr-FR" sz="1100" b="1" i="1" baseline="0">
              <a:solidFill>
                <a:sysClr val="windowText" lastClr="000000"/>
              </a:solidFill>
              <a:latin typeface="+mn-lt"/>
              <a:ea typeface="+mn-ea"/>
              <a:cs typeface="+mn-cs"/>
            </a:rPr>
            <a:t>Titres émis </a:t>
          </a:r>
          <a:r>
            <a:rPr lang="fr-FR" sz="1100" b="0" i="0" baseline="0">
              <a:solidFill>
                <a:sysClr val="windowText" lastClr="000000"/>
              </a:solidFill>
              <a:latin typeface="+mn-lt"/>
              <a:ea typeface="+mn-ea"/>
              <a:cs typeface="+mn-cs"/>
            </a:rPr>
            <a:t>ou au niveau du ruban d'Excel, sélectionner </a:t>
          </a:r>
          <a:r>
            <a:rPr lang="fr-FR" sz="1100" b="1" i="0" baseline="0">
              <a:solidFill>
                <a:sysClr val="windowText" lastClr="000000"/>
              </a:solidFill>
              <a:latin typeface="+mn-lt"/>
              <a:ea typeface="+mn-ea"/>
              <a:cs typeface="+mn-cs"/>
            </a:rPr>
            <a:t>DONNEES\ACTUALISER TOUT </a:t>
          </a:r>
          <a:r>
            <a:rPr lang="fr-FR" sz="1100" b="0" i="0" baseline="0">
              <a:solidFill>
                <a:sysClr val="windowText" lastClr="000000"/>
              </a:solidFill>
              <a:latin typeface="+mn-lt"/>
              <a:ea typeface="+mn-ea"/>
              <a:cs typeface="+mn-cs"/>
            </a:rPr>
            <a:t>dans le groupe Connexions au niveau du ruban d'Excel</a:t>
          </a:r>
          <a:r>
            <a:rPr lang="fr-FR" sz="1100" b="0" baseline="0">
              <a:solidFill>
                <a:sysClr val="windowText" lastClr="000000"/>
              </a:solidFill>
              <a:latin typeface="+mn-lt"/>
              <a:ea typeface="+mn-ea"/>
              <a:cs typeface="+mn-cs"/>
            </a:rPr>
            <a:t>.</a:t>
          </a:r>
        </a:p>
        <a:p>
          <a:endParaRPr lang="fr-FR" sz="1100" b="0" baseline="0">
            <a:solidFill>
              <a:sysClr val="windowText" lastClr="000000"/>
            </a:solidFill>
            <a:latin typeface="+mn-lt"/>
            <a:ea typeface="+mn-ea"/>
            <a:cs typeface="+mn-cs"/>
          </a:endParaRPr>
        </a:p>
        <a:p>
          <a:r>
            <a:rPr lang="fr-FR" sz="1100" b="1" baseline="0">
              <a:solidFill>
                <a:srgbClr val="0070C0"/>
              </a:solidFill>
              <a:latin typeface="+mn-lt"/>
              <a:ea typeface="+mn-ea"/>
              <a:cs typeface="+mn-cs"/>
            </a:rPr>
            <a:t>2.2) Analyse des données</a:t>
          </a:r>
        </a:p>
        <a:p>
          <a:r>
            <a:rPr lang="fr-FR" sz="1100" b="0" baseline="0">
              <a:solidFill>
                <a:sysClr val="windowText" lastClr="000000"/>
              </a:solidFill>
              <a:latin typeface="+mn-lt"/>
              <a:ea typeface="+mn-ea"/>
              <a:cs typeface="+mn-cs"/>
            </a:rPr>
            <a:t>- Les onglets </a:t>
          </a:r>
          <a:r>
            <a:rPr lang="fr-FR" sz="1100" b="1" i="1" baseline="0">
              <a:solidFill>
                <a:schemeClr val="dk1"/>
              </a:solidFill>
              <a:effectLst/>
              <a:latin typeface="+mn-lt"/>
              <a:ea typeface="+mn-ea"/>
              <a:cs typeface="+mn-cs"/>
            </a:rPr>
            <a:t>Analyse par compte, Analyse par date,</a:t>
          </a:r>
          <a:r>
            <a:rPr lang="fr-FR" sz="1100" baseline="0">
              <a:solidFill>
                <a:schemeClr val="dk1"/>
              </a:solidFill>
              <a:effectLst/>
              <a:latin typeface="+mn-lt"/>
              <a:ea typeface="+mn-ea"/>
              <a:cs typeface="+mn-cs"/>
            </a:rPr>
            <a:t> </a:t>
          </a:r>
          <a:r>
            <a:rPr lang="fr-FR" sz="1100" b="1" i="1" baseline="0">
              <a:solidFill>
                <a:schemeClr val="dk1"/>
              </a:solidFill>
              <a:effectLst/>
              <a:latin typeface="+mn-lt"/>
              <a:ea typeface="+mn-ea"/>
              <a:cs typeface="+mn-cs"/>
            </a:rPr>
            <a:t>Graphique </a:t>
          </a:r>
          <a:r>
            <a:rPr lang="fr-FR" sz="1100" b="0" i="0" baseline="0">
              <a:solidFill>
                <a:schemeClr val="dk1"/>
              </a:solidFill>
              <a:effectLst/>
              <a:latin typeface="+mn-lt"/>
              <a:ea typeface="+mn-ea"/>
              <a:cs typeface="+mn-cs"/>
            </a:rPr>
            <a:t>permettent de faire une analyse simple et rapide des données saisies. Pour accéder à ces onglets, il suffit d'un clique directement sur les onglets concernés ou un clique sur les boutons correspondants en haut de </a:t>
          </a:r>
          <a:r>
            <a:rPr lang="fr-FR" sz="1100" b="1" i="1" baseline="0">
              <a:solidFill>
                <a:schemeClr val="dk1"/>
              </a:solidFill>
              <a:effectLst/>
              <a:latin typeface="+mn-lt"/>
              <a:ea typeface="+mn-ea"/>
              <a:cs typeface="+mn-cs"/>
            </a:rPr>
            <a:t>l'onglet Enregistrement des titres émis</a:t>
          </a:r>
        </a:p>
        <a:p>
          <a:r>
            <a:rPr lang="fr-FR" sz="1100" b="0" i="0" baseline="0">
              <a:solidFill>
                <a:schemeClr val="dk1"/>
              </a:solidFill>
              <a:effectLst/>
              <a:latin typeface="+mn-lt"/>
              <a:ea typeface="+mn-ea"/>
              <a:cs typeface="+mn-cs"/>
            </a:rPr>
            <a:t>- L'onglet </a:t>
          </a:r>
          <a:r>
            <a:rPr lang="fr-FR" sz="1100" b="1" i="1" baseline="0">
              <a:solidFill>
                <a:schemeClr val="dk1"/>
              </a:solidFill>
              <a:effectLst/>
              <a:latin typeface="+mn-lt"/>
              <a:ea typeface="+mn-ea"/>
              <a:cs typeface="+mn-cs"/>
            </a:rPr>
            <a:t>Analyse par compte </a:t>
          </a:r>
          <a:r>
            <a:rPr lang="fr-FR" sz="1100" b="0" i="0" baseline="0">
              <a:solidFill>
                <a:schemeClr val="dk1"/>
              </a:solidFill>
              <a:effectLst/>
              <a:latin typeface="+mn-lt"/>
              <a:ea typeface="+mn-ea"/>
              <a:cs typeface="+mn-cs"/>
            </a:rPr>
            <a:t>organise les données avec les comptes en ligne et les dates/périodes en colonne alors que pour l'onglet </a:t>
          </a:r>
          <a:r>
            <a:rPr lang="fr-FR" sz="1100" b="1" i="1" baseline="0">
              <a:solidFill>
                <a:schemeClr val="dk1"/>
              </a:solidFill>
              <a:effectLst/>
              <a:latin typeface="+mn-lt"/>
              <a:ea typeface="+mn-ea"/>
              <a:cs typeface="+mn-cs"/>
            </a:rPr>
            <a:t>Analyse par date </a:t>
          </a:r>
          <a:r>
            <a:rPr lang="fr-FR" sz="1100" b="0" i="0" baseline="0">
              <a:solidFill>
                <a:schemeClr val="dk1"/>
              </a:solidFill>
              <a:effectLst/>
              <a:latin typeface="+mn-lt"/>
              <a:ea typeface="+mn-ea"/>
              <a:cs typeface="+mn-cs"/>
            </a:rPr>
            <a:t>c'est le contraire. </a:t>
          </a:r>
        </a:p>
        <a:p>
          <a:r>
            <a:rPr lang="fr-FR" sz="1100" b="0" i="0" baseline="0">
              <a:solidFill>
                <a:schemeClr val="dk1"/>
              </a:solidFill>
              <a:effectLst/>
              <a:latin typeface="+mn-lt"/>
              <a:ea typeface="+mn-ea"/>
              <a:cs typeface="+mn-cs"/>
            </a:rPr>
            <a:t>- L'onglet </a:t>
          </a:r>
          <a:r>
            <a:rPr lang="fr-FR" sz="1100" b="1" i="1" baseline="0">
              <a:solidFill>
                <a:schemeClr val="dk1"/>
              </a:solidFill>
              <a:effectLst/>
              <a:latin typeface="+mn-lt"/>
              <a:ea typeface="+mn-ea"/>
              <a:cs typeface="+mn-cs"/>
            </a:rPr>
            <a:t>Graphique </a:t>
          </a:r>
          <a:r>
            <a:rPr lang="fr-FR" sz="1100" b="0" i="0" baseline="0">
              <a:solidFill>
                <a:schemeClr val="dk1"/>
              </a:solidFill>
              <a:effectLst/>
              <a:latin typeface="+mn-lt"/>
              <a:ea typeface="+mn-ea"/>
              <a:cs typeface="+mn-cs"/>
            </a:rPr>
            <a:t>permet de faire une analyse graphique des données à partir des filtres et des tris</a:t>
          </a:r>
        </a:p>
        <a:p>
          <a:r>
            <a:rPr lang="fr-FR" sz="1100" b="0" i="0" baseline="0">
              <a:solidFill>
                <a:schemeClr val="dk1"/>
              </a:solidFill>
              <a:effectLst/>
              <a:latin typeface="+mn-lt"/>
              <a:ea typeface="+mn-ea"/>
              <a:cs typeface="+mn-cs"/>
            </a:rPr>
            <a:t>- L'organisation avec les comptes en ligne permet d'avoir les sous-totaux des comptes par chapitre. La disposition en date permet d'organiser ou d'afficher les informations en fonction de la périodicité voulue (année, semestre, trimestre, mois, jour et même par décade ou quinzaine).</a:t>
          </a:r>
        </a:p>
        <a:p>
          <a:r>
            <a:rPr lang="fr-FR" sz="1100" b="1" i="0" u="sng" baseline="0">
              <a:solidFill>
                <a:srgbClr val="FF0000"/>
              </a:solidFill>
              <a:effectLst/>
              <a:latin typeface="+mn-lt"/>
              <a:ea typeface="+mn-ea"/>
              <a:cs typeface="+mn-cs"/>
            </a:rPr>
            <a:t>Comment afficher les données en fonction de la périodicité voulue?</a:t>
          </a:r>
          <a:endParaRPr lang="fr-FR" sz="1100" b="1" i="0" u="sng" baseline="0">
            <a:solidFill>
              <a:srgbClr val="FF0000"/>
            </a:solidFill>
            <a:latin typeface="+mn-lt"/>
            <a:ea typeface="+mn-ea"/>
            <a:cs typeface="+mn-cs"/>
          </a:endParaRPr>
        </a:p>
        <a:p>
          <a:r>
            <a:rPr lang="fr-FR" sz="1100" b="0" i="0" baseline="0">
              <a:solidFill>
                <a:schemeClr val="dk1"/>
              </a:solidFill>
              <a:effectLst/>
              <a:latin typeface="+mn-lt"/>
              <a:ea typeface="+mn-ea"/>
              <a:cs typeface="+mn-cs"/>
            </a:rPr>
            <a:t>- Dans l'onglet Analyse par compte par exemple, faites un clique droit sur une date/période.</a:t>
          </a:r>
        </a:p>
        <a:p>
          <a:r>
            <a:rPr lang="fr-FR" sz="1100" b="0" i="0" baseline="0">
              <a:solidFill>
                <a:schemeClr val="dk1"/>
              </a:solidFill>
              <a:effectLst/>
              <a:latin typeface="+mn-lt"/>
              <a:ea typeface="+mn-ea"/>
              <a:cs typeface="+mn-cs"/>
            </a:rPr>
            <a:t>- Dans le menu déroulant qui s'affiche, sélectionner </a:t>
          </a:r>
          <a:r>
            <a:rPr lang="fr-FR" sz="1100" b="1" i="0" baseline="0">
              <a:solidFill>
                <a:schemeClr val="dk1"/>
              </a:solidFill>
              <a:effectLst/>
              <a:latin typeface="+mn-lt"/>
              <a:ea typeface="+mn-ea"/>
              <a:cs typeface="+mn-cs"/>
            </a:rPr>
            <a:t>Grouper</a:t>
          </a:r>
          <a:r>
            <a:rPr lang="fr-FR" sz="1100" b="0" i="0" baseline="0">
              <a:solidFill>
                <a:schemeClr val="dk1"/>
              </a:solidFill>
              <a:effectLst/>
              <a:latin typeface="+mn-lt"/>
              <a:ea typeface="+mn-ea"/>
              <a:cs typeface="+mn-cs"/>
            </a:rPr>
            <a:t>,</a:t>
          </a:r>
          <a:r>
            <a:rPr lang="fr-FR" sz="1100" b="1" i="0" baseline="0">
              <a:solidFill>
                <a:schemeClr val="dk1"/>
              </a:solidFill>
              <a:effectLst/>
              <a:latin typeface="+mn-lt"/>
              <a:ea typeface="+mn-ea"/>
              <a:cs typeface="+mn-cs"/>
            </a:rPr>
            <a:t> </a:t>
          </a:r>
          <a:r>
            <a:rPr lang="fr-FR" sz="1100" b="0" i="0" baseline="0">
              <a:solidFill>
                <a:schemeClr val="dk1"/>
              </a:solidFill>
              <a:effectLst/>
              <a:latin typeface="+mn-lt"/>
              <a:ea typeface="+mn-ea"/>
              <a:cs typeface="+mn-cs"/>
            </a:rPr>
            <a:t>la boîte de dialogue Grouper s'ouvre</a:t>
          </a:r>
        </a:p>
        <a:p>
          <a:r>
            <a:rPr lang="fr-FR" sz="1100" b="0" i="0" baseline="0">
              <a:solidFill>
                <a:schemeClr val="dk1"/>
              </a:solidFill>
              <a:effectLst/>
              <a:latin typeface="+mn-lt"/>
              <a:ea typeface="+mn-ea"/>
              <a:cs typeface="+mn-cs"/>
            </a:rPr>
            <a:t>- Sélectionner la périodicité souhaitée, puis ok.</a:t>
          </a:r>
        </a:p>
        <a:p>
          <a:r>
            <a:rPr lang="fr-FR" sz="1100" b="0" i="0" baseline="0">
              <a:solidFill>
                <a:schemeClr val="dk1"/>
              </a:solidFill>
              <a:effectLst/>
              <a:latin typeface="+mn-lt"/>
              <a:ea typeface="+mn-ea"/>
              <a:cs typeface="+mn-cs"/>
            </a:rPr>
            <a:t>- Pour afficher les données par décade par exempe, choisir </a:t>
          </a:r>
          <a:r>
            <a:rPr lang="fr-FR" sz="1100" b="1" i="0" baseline="0">
              <a:solidFill>
                <a:schemeClr val="dk1"/>
              </a:solidFill>
              <a:effectLst/>
              <a:latin typeface="+mn-lt"/>
              <a:ea typeface="+mn-ea"/>
              <a:cs typeface="+mn-cs"/>
            </a:rPr>
            <a:t>Jours</a:t>
          </a:r>
          <a:r>
            <a:rPr lang="fr-FR" sz="1100" b="0" i="0" baseline="0">
              <a:solidFill>
                <a:schemeClr val="dk1"/>
              </a:solidFill>
              <a:effectLst/>
              <a:latin typeface="+mn-lt"/>
              <a:ea typeface="+mn-ea"/>
              <a:cs typeface="+mn-cs"/>
            </a:rPr>
            <a:t> puis entrer </a:t>
          </a:r>
          <a:r>
            <a:rPr lang="fr-FR" sz="1100" b="1" i="0" baseline="0">
              <a:solidFill>
                <a:schemeClr val="dk1"/>
              </a:solidFill>
              <a:effectLst/>
              <a:latin typeface="+mn-lt"/>
              <a:ea typeface="+mn-ea"/>
              <a:cs typeface="+mn-cs"/>
            </a:rPr>
            <a:t>10</a:t>
          </a:r>
          <a:r>
            <a:rPr lang="fr-FR" sz="1100" b="0" i="0" baseline="0">
              <a:solidFill>
                <a:schemeClr val="dk1"/>
              </a:solidFill>
              <a:effectLst/>
              <a:latin typeface="+mn-lt"/>
              <a:ea typeface="+mn-ea"/>
              <a:cs typeface="+mn-cs"/>
            </a:rPr>
            <a:t> dans le champ </a:t>
          </a:r>
          <a:r>
            <a:rPr lang="fr-FR" sz="1100" b="1" i="0" baseline="0">
              <a:solidFill>
                <a:schemeClr val="dk1"/>
              </a:solidFill>
              <a:effectLst/>
              <a:latin typeface="+mn-lt"/>
              <a:ea typeface="+mn-ea"/>
              <a:cs typeface="+mn-cs"/>
            </a:rPr>
            <a:t>Nombre de jours</a:t>
          </a:r>
        </a:p>
        <a:p>
          <a:endParaRPr lang="fr-FR" sz="1100" b="0" i="0" baseline="0">
            <a:solidFill>
              <a:schemeClr val="dk1"/>
            </a:solidFill>
            <a:effectLst/>
            <a:latin typeface="+mn-lt"/>
            <a:ea typeface="+mn-ea"/>
            <a:cs typeface="+mn-cs"/>
          </a:endParaRPr>
        </a:p>
        <a:p>
          <a:endParaRPr lang="fr-FR" sz="1100" b="0" i="0" baseline="0">
            <a:solidFill>
              <a:schemeClr val="dk1"/>
            </a:solidFill>
            <a:effectLst/>
            <a:latin typeface="+mn-lt"/>
            <a:ea typeface="+mn-ea"/>
            <a:cs typeface="+mn-cs"/>
          </a:endParaRPr>
        </a:p>
        <a:p>
          <a:endParaRPr lang="fr-FR" sz="1100" b="0" i="0" baseline="0">
            <a:solidFill>
              <a:schemeClr val="dk1"/>
            </a:solidFill>
            <a:effectLst/>
            <a:latin typeface="+mn-lt"/>
            <a:ea typeface="+mn-ea"/>
            <a:cs typeface="+mn-cs"/>
          </a:endParaRPr>
        </a:p>
        <a:p>
          <a:endParaRPr lang="fr-FR" sz="1100" b="0" i="0" baseline="0">
            <a:solidFill>
              <a:schemeClr val="dk1"/>
            </a:solidFill>
            <a:effectLst/>
            <a:latin typeface="+mn-lt"/>
            <a:ea typeface="+mn-ea"/>
            <a:cs typeface="+mn-cs"/>
          </a:endParaRPr>
        </a:p>
        <a:p>
          <a:endParaRPr lang="fr-FR" sz="1100" b="0" i="0" baseline="0">
            <a:solidFill>
              <a:schemeClr val="dk1"/>
            </a:solidFill>
            <a:effectLst/>
            <a:latin typeface="+mn-lt"/>
            <a:ea typeface="+mn-ea"/>
            <a:cs typeface="+mn-cs"/>
          </a:endParaRPr>
        </a:p>
        <a:p>
          <a:endParaRPr lang="fr-FR" sz="1100" b="0" i="0" baseline="0">
            <a:solidFill>
              <a:schemeClr val="dk1"/>
            </a:solidFill>
            <a:effectLst/>
            <a:latin typeface="+mn-lt"/>
            <a:ea typeface="+mn-ea"/>
            <a:cs typeface="+mn-cs"/>
          </a:endParaRPr>
        </a:p>
        <a:p>
          <a:endParaRPr lang="fr-FR" sz="1100" b="0" i="0" baseline="0">
            <a:solidFill>
              <a:schemeClr val="dk1"/>
            </a:solidFill>
            <a:effectLst/>
            <a:latin typeface="+mn-lt"/>
            <a:ea typeface="+mn-ea"/>
            <a:cs typeface="+mn-cs"/>
          </a:endParaRPr>
        </a:p>
        <a:p>
          <a:endParaRPr lang="fr-FR" sz="1100" b="0" i="0" baseline="0">
            <a:solidFill>
              <a:schemeClr val="dk1"/>
            </a:solidFill>
            <a:effectLst/>
            <a:latin typeface="+mn-lt"/>
            <a:ea typeface="+mn-ea"/>
            <a:cs typeface="+mn-cs"/>
          </a:endParaRPr>
        </a:p>
        <a:p>
          <a:endParaRPr lang="fr-FR" sz="1100" b="0" i="0" baseline="0">
            <a:solidFill>
              <a:schemeClr val="dk1"/>
            </a:solidFill>
            <a:effectLst/>
            <a:latin typeface="+mn-lt"/>
            <a:ea typeface="+mn-ea"/>
            <a:cs typeface="+mn-cs"/>
          </a:endParaRPr>
        </a:p>
        <a:p>
          <a:endParaRPr lang="fr-FR" sz="1100" b="0" i="0" baseline="0">
            <a:solidFill>
              <a:schemeClr val="dk1"/>
            </a:solidFill>
            <a:effectLst/>
            <a:latin typeface="+mn-lt"/>
            <a:ea typeface="+mn-ea"/>
            <a:cs typeface="+mn-cs"/>
          </a:endParaRPr>
        </a:p>
        <a:p>
          <a:endParaRPr lang="fr-FR" sz="1100" b="0" i="0" baseline="0">
            <a:solidFill>
              <a:schemeClr val="dk1"/>
            </a:solidFill>
            <a:effectLst/>
            <a:latin typeface="+mn-lt"/>
            <a:ea typeface="+mn-ea"/>
            <a:cs typeface="+mn-cs"/>
          </a:endParaRPr>
        </a:p>
        <a:p>
          <a:endParaRPr lang="fr-FR" sz="1100" b="0" i="0" baseline="0">
            <a:solidFill>
              <a:schemeClr val="dk1"/>
            </a:solidFill>
            <a:effectLst/>
            <a:latin typeface="+mn-lt"/>
            <a:ea typeface="+mn-ea"/>
            <a:cs typeface="+mn-cs"/>
          </a:endParaRPr>
        </a:p>
        <a:p>
          <a:endParaRPr lang="fr-FR" sz="1100" b="0" i="0" baseline="0">
            <a:solidFill>
              <a:schemeClr val="dk1"/>
            </a:solidFill>
            <a:effectLst/>
            <a:latin typeface="+mn-lt"/>
            <a:ea typeface="+mn-ea"/>
            <a:cs typeface="+mn-cs"/>
          </a:endParaRPr>
        </a:p>
        <a:p>
          <a:endParaRPr lang="fr-FR" sz="1100" b="0" i="0" baseline="0">
            <a:solidFill>
              <a:schemeClr val="dk1"/>
            </a:solidFill>
            <a:effectLst/>
            <a:latin typeface="+mn-lt"/>
            <a:ea typeface="+mn-ea"/>
            <a:cs typeface="+mn-cs"/>
          </a:endParaRPr>
        </a:p>
        <a:p>
          <a:endParaRPr lang="fr-FR" sz="1100" b="1" baseline="0">
            <a:solidFill>
              <a:srgbClr val="0070C0"/>
            </a:solidFill>
            <a:latin typeface="+mn-lt"/>
            <a:ea typeface="+mn-ea"/>
            <a:cs typeface="+mn-cs"/>
          </a:endParaRPr>
        </a:p>
        <a:p>
          <a:pPr marL="0" indent="0"/>
          <a:r>
            <a:rPr lang="fr-FR" sz="1100" b="1" baseline="0">
              <a:solidFill>
                <a:srgbClr val="0070C0"/>
              </a:solidFill>
              <a:latin typeface="+mn-lt"/>
              <a:ea typeface="+mn-ea"/>
              <a:cs typeface="+mn-cs"/>
            </a:rPr>
            <a:t>2.3) Imprimer les données</a:t>
          </a:r>
        </a:p>
        <a:p>
          <a:r>
            <a:rPr lang="fr-FR" sz="1100"/>
            <a:t>- L'impression des données</a:t>
          </a:r>
          <a:r>
            <a:rPr lang="fr-FR" sz="1100" baseline="0"/>
            <a:t> se fait comme tout autre document Excel. Certains paramétrages ont été déjà effectués pour permettre aux donées de tenir sur une page de façon optimale ou encore pour permettre l'impression des titres des lignes et des colonnes à chaque changement de page. Il faut toutefois avant d'imprimer une feuillet, de faire un appecçu avant impression afin de faire d'autres réglages si nécessaire (zones d'impressions, saut de page etc.)</a:t>
          </a:r>
          <a:endParaRPr lang="fr-FR" sz="1100"/>
        </a:p>
        <a:p>
          <a:endParaRPr lang="fr-FR" sz="1100"/>
        </a:p>
        <a:p>
          <a:r>
            <a:rPr lang="fr-FR" sz="1100" b="1" baseline="0">
              <a:solidFill>
                <a:srgbClr val="0070C0"/>
              </a:solidFill>
              <a:latin typeface="+mn-lt"/>
              <a:ea typeface="+mn-ea"/>
              <a:cs typeface="+mn-cs"/>
            </a:rPr>
            <a:t>2.4) Suppression des données</a:t>
          </a:r>
        </a:p>
        <a:p>
          <a:r>
            <a:rPr lang="fr-FR" sz="1100" baseline="0">
              <a:solidFill>
                <a:schemeClr val="dk1"/>
              </a:solidFill>
              <a:latin typeface="+mn-lt"/>
              <a:ea typeface="+mn-ea"/>
              <a:cs typeface="+mn-cs"/>
            </a:rPr>
            <a:t>- Dans l'oglet </a:t>
          </a:r>
          <a:r>
            <a:rPr lang="fr-FR" sz="1100" b="1" baseline="0">
              <a:solidFill>
                <a:schemeClr val="dk1"/>
              </a:solidFill>
              <a:latin typeface="+mn-lt"/>
              <a:ea typeface="+mn-ea"/>
              <a:cs typeface="+mn-cs"/>
            </a:rPr>
            <a:t>Enregistrment des titres émis</a:t>
          </a:r>
          <a:r>
            <a:rPr lang="fr-FR" sz="1100" baseline="0">
              <a:solidFill>
                <a:schemeClr val="dk1"/>
              </a:solidFill>
              <a:latin typeface="+mn-lt"/>
              <a:ea typeface="+mn-ea"/>
              <a:cs typeface="+mn-cs"/>
            </a:rPr>
            <a:t>, il existe un bouton Effacer tout (coin surpérieur droit) qui permet de supprimer tous les données et de remettre à zéro tous les tableaux. Ce bouton doit donc être utilisé avec prudence.</a:t>
          </a:r>
        </a:p>
        <a:p>
          <a:endParaRPr lang="fr-FR" sz="1100" baseline="0">
            <a:solidFill>
              <a:schemeClr val="dk1"/>
            </a:solidFill>
            <a:latin typeface="+mn-lt"/>
            <a:ea typeface="+mn-ea"/>
            <a:cs typeface="+mn-cs"/>
          </a:endParaRPr>
        </a:p>
        <a:p>
          <a:r>
            <a:rPr lang="fr-FR" sz="1100" u="sng" baseline="0">
              <a:solidFill>
                <a:srgbClr val="FF0000"/>
              </a:solidFill>
              <a:latin typeface="+mn-lt"/>
              <a:ea typeface="+mn-ea"/>
              <a:cs typeface="+mn-cs"/>
            </a:rPr>
            <a:t>Dans quels cas utilisé le bouton </a:t>
          </a:r>
          <a:r>
            <a:rPr lang="fr-FR" sz="1100" b="1" u="sng" baseline="0">
              <a:solidFill>
                <a:srgbClr val="FF0000"/>
              </a:solidFill>
              <a:latin typeface="+mn-lt"/>
              <a:ea typeface="+mn-ea"/>
              <a:cs typeface="+mn-cs"/>
            </a:rPr>
            <a:t>Effacer tout </a:t>
          </a:r>
          <a:r>
            <a:rPr lang="fr-FR" sz="1100" u="sng" baseline="0">
              <a:solidFill>
                <a:srgbClr val="FF0000"/>
              </a:solidFill>
              <a:latin typeface="+mn-lt"/>
              <a:ea typeface="+mn-ea"/>
              <a:cs typeface="+mn-cs"/>
            </a:rPr>
            <a:t>?</a:t>
          </a:r>
        </a:p>
        <a:p>
          <a:r>
            <a:rPr lang="fr-FR" sz="1100" baseline="0">
              <a:solidFill>
                <a:schemeClr val="dk1"/>
              </a:solidFill>
              <a:latin typeface="+mn-lt"/>
              <a:ea typeface="+mn-ea"/>
              <a:cs typeface="+mn-cs"/>
            </a:rPr>
            <a:t>Le bouton </a:t>
          </a:r>
          <a:r>
            <a:rPr lang="fr-FR" sz="1100" b="1" i="1" baseline="0">
              <a:solidFill>
                <a:srgbClr val="00B050"/>
              </a:solidFill>
              <a:latin typeface="+mn-lt"/>
              <a:ea typeface="+mn-ea"/>
              <a:cs typeface="+mn-cs"/>
            </a:rPr>
            <a:t>Effacer tout </a:t>
          </a:r>
          <a:r>
            <a:rPr lang="fr-FR" sz="1100" baseline="0">
              <a:solidFill>
                <a:schemeClr val="dk1"/>
              </a:solidFill>
              <a:latin typeface="+mn-lt"/>
              <a:ea typeface="+mn-ea"/>
              <a:cs typeface="+mn-cs"/>
            </a:rPr>
            <a:t>est utile quand l'on veut commencer un nouveau exercice budgétaire. </a:t>
          </a:r>
        </a:p>
        <a:p>
          <a:r>
            <a:rPr lang="fr-FR" sz="1100" baseline="0">
              <a:solidFill>
                <a:schemeClr val="dk1"/>
              </a:solidFill>
              <a:latin typeface="+mn-lt"/>
              <a:ea typeface="+mn-ea"/>
              <a:cs typeface="+mn-cs"/>
            </a:rPr>
            <a:t>- A la clôture d'un exercice budgéraire, il est conseillé d'enregistrer les données et l'ensemble du classeur.</a:t>
          </a:r>
        </a:p>
        <a:p>
          <a:r>
            <a:rPr lang="fr-FR" sz="1100" baseline="0">
              <a:solidFill>
                <a:schemeClr val="dk1"/>
              </a:solidFill>
              <a:latin typeface="+mn-lt"/>
              <a:ea typeface="+mn-ea"/>
              <a:cs typeface="+mn-cs"/>
            </a:rPr>
            <a:t>- Pour utiliser GESFICO pour l'année suivante, il suffit de faire une copie du classeur de l'année précédente, ensuite d'utiliser le bouton </a:t>
          </a:r>
          <a:r>
            <a:rPr lang="fr-FR" sz="1100" b="1" i="1" baseline="0">
              <a:solidFill>
                <a:srgbClr val="00B050"/>
              </a:solidFill>
              <a:latin typeface="+mn-lt"/>
              <a:ea typeface="+mn-ea"/>
              <a:cs typeface="+mn-cs"/>
            </a:rPr>
            <a:t>Effacer tout </a:t>
          </a:r>
          <a:r>
            <a:rPr lang="fr-FR" sz="1100" baseline="0">
              <a:solidFill>
                <a:schemeClr val="dk1"/>
              </a:solidFill>
              <a:latin typeface="+mn-lt"/>
              <a:ea typeface="+mn-ea"/>
              <a:cs typeface="+mn-cs"/>
            </a:rPr>
            <a:t>et commencé la saisie des nouvelles données pour la nouvelle année</a:t>
          </a:r>
        </a:p>
        <a:p>
          <a:endParaRPr lang="fr-FR" sz="1100" baseline="0">
            <a:solidFill>
              <a:schemeClr val="dk1"/>
            </a:solidFill>
            <a:latin typeface="+mn-lt"/>
            <a:ea typeface="+mn-ea"/>
            <a:cs typeface="+mn-cs"/>
          </a:endParaRPr>
        </a:p>
        <a:p>
          <a:r>
            <a:rPr lang="fr-FR" sz="1100" b="1" baseline="0">
              <a:solidFill>
                <a:srgbClr val="0070C0"/>
              </a:solidFill>
              <a:latin typeface="+mn-lt"/>
              <a:ea typeface="+mn-ea"/>
              <a:cs typeface="+mn-cs"/>
            </a:rPr>
            <a:t>2.5) Utiliser GESFICO comme un modèle Excel pour une nouvelle année budgétaire</a:t>
          </a:r>
        </a:p>
        <a:p>
          <a:r>
            <a:rPr lang="fr-FR" sz="1100" baseline="0">
              <a:solidFill>
                <a:schemeClr val="dk1"/>
              </a:solidFill>
              <a:latin typeface="+mn-lt"/>
              <a:ea typeface="+mn-ea"/>
              <a:cs typeface="+mn-cs"/>
            </a:rPr>
            <a:t>- Pour utiliser GESFICO comme un modèle Excel (nécessaire pour changer d'année) il suffit de sauvegarder le ficher GESFICO dans le dossier </a:t>
          </a:r>
          <a:r>
            <a:rPr lang="fr-FR" sz="1100" b="1" baseline="0">
              <a:solidFill>
                <a:schemeClr val="dk1"/>
              </a:solidFill>
              <a:latin typeface="+mn-lt"/>
              <a:ea typeface="+mn-ea"/>
              <a:cs typeface="+mn-cs"/>
            </a:rPr>
            <a:t>Modèles Office personnalisés </a:t>
          </a:r>
          <a:r>
            <a:rPr lang="fr-FR" sz="1100" b="0" baseline="0">
              <a:solidFill>
                <a:schemeClr val="dk1"/>
              </a:solidFill>
              <a:latin typeface="+mn-lt"/>
              <a:ea typeface="+mn-ea"/>
              <a:cs typeface="+mn-cs"/>
            </a:rPr>
            <a:t>situé dans le répertoire </a:t>
          </a:r>
          <a:r>
            <a:rPr lang="fr-FR" sz="1100" b="1" baseline="0">
              <a:solidFill>
                <a:schemeClr val="dk1"/>
              </a:solidFill>
              <a:latin typeface="+mn-lt"/>
              <a:ea typeface="+mn-ea"/>
              <a:cs typeface="+mn-cs"/>
            </a:rPr>
            <a:t>Mes documents</a:t>
          </a:r>
        </a:p>
        <a:p>
          <a:r>
            <a:rPr lang="fr-FR" sz="1100" b="1" baseline="0">
              <a:solidFill>
                <a:schemeClr val="dk1"/>
              </a:solidFill>
              <a:latin typeface="+mn-lt"/>
              <a:ea typeface="+mn-ea"/>
              <a:cs typeface="+mn-cs"/>
            </a:rPr>
            <a:t>- </a:t>
          </a:r>
          <a:r>
            <a:rPr lang="fr-FR" sz="1100" baseline="0">
              <a:solidFill>
                <a:schemeClr val="dk1"/>
              </a:solidFill>
              <a:latin typeface="+mn-lt"/>
              <a:ea typeface="+mn-ea"/>
              <a:cs typeface="+mn-cs"/>
            </a:rPr>
            <a:t>Ainsi au moment d'une nouvelle année budgétaire, il suffit d'un clic sur le bouton office  (</a:t>
          </a:r>
          <a:r>
            <a:rPr lang="fr-FR" sz="1100" baseline="0">
              <a:solidFill>
                <a:schemeClr val="dk1"/>
              </a:solidFill>
              <a:effectLst/>
              <a:latin typeface="+mn-lt"/>
              <a:ea typeface="+mn-ea"/>
              <a:cs typeface="+mn-cs"/>
            </a:rPr>
            <a:t>Excel </a:t>
          </a:r>
          <a:r>
            <a:rPr lang="fr-FR" sz="1100" baseline="0">
              <a:solidFill>
                <a:schemeClr val="dk1"/>
              </a:solidFill>
              <a:latin typeface="+mn-lt"/>
              <a:ea typeface="+mn-ea"/>
              <a:cs typeface="+mn-cs"/>
            </a:rPr>
            <a:t>2007) ou fichier (</a:t>
          </a:r>
          <a:r>
            <a:rPr lang="fr-FR" sz="1100" baseline="0">
              <a:solidFill>
                <a:schemeClr val="dk1"/>
              </a:solidFill>
              <a:effectLst/>
              <a:latin typeface="+mn-lt"/>
              <a:ea typeface="+mn-ea"/>
              <a:cs typeface="+mn-cs"/>
            </a:rPr>
            <a:t>Excel 2</a:t>
          </a:r>
          <a:r>
            <a:rPr lang="fr-FR" sz="1100" baseline="0">
              <a:solidFill>
                <a:schemeClr val="dk1"/>
              </a:solidFill>
              <a:latin typeface="+mn-lt"/>
              <a:ea typeface="+mn-ea"/>
              <a:cs typeface="+mn-cs"/>
            </a:rPr>
            <a:t>013)  puis choisir nouveau</a:t>
          </a:r>
        </a:p>
        <a:p>
          <a:r>
            <a:rPr lang="fr-FR" sz="1100" baseline="0">
              <a:solidFill>
                <a:schemeClr val="dk1"/>
              </a:solidFill>
              <a:latin typeface="+mn-lt"/>
              <a:ea typeface="+mn-ea"/>
              <a:cs typeface="+mn-cs"/>
            </a:rPr>
            <a:t>- Dans la liste des modèles personnel qui s'affichent, sélectionner GESFICO puis commencer la saisie des données</a:t>
          </a:r>
        </a:p>
        <a:p>
          <a:r>
            <a:rPr lang="fr-FR" sz="1100" baseline="0">
              <a:solidFill>
                <a:schemeClr val="dk1"/>
              </a:solidFill>
              <a:latin typeface="+mn-lt"/>
              <a:ea typeface="+mn-ea"/>
              <a:cs typeface="+mn-cs"/>
            </a:rPr>
            <a:t>- A la fin de la saisie, enregistrer le fichier sous un nouveau nom en ajoutant l'année</a:t>
          </a:r>
        </a:p>
        <a:p>
          <a:r>
            <a:rPr lang="fr-FR" sz="1100" baseline="0">
              <a:solidFill>
                <a:schemeClr val="dk1"/>
              </a:solidFill>
              <a:latin typeface="+mn-lt"/>
              <a:ea typeface="+mn-ea"/>
              <a:cs typeface="+mn-cs"/>
            </a:rPr>
            <a:t>   (Exemple : GESFICO RECETTE 2016)</a:t>
          </a:r>
        </a:p>
      </xdr:txBody>
    </xdr:sp>
    <xdr:clientData/>
  </xdr:twoCellAnchor>
  <xdr:twoCellAnchor editAs="oneCell">
    <xdr:from>
      <xdr:col>0</xdr:col>
      <xdr:colOff>692144</xdr:colOff>
      <xdr:row>42</xdr:row>
      <xdr:rowOff>142875</xdr:rowOff>
    </xdr:from>
    <xdr:to>
      <xdr:col>3</xdr:col>
      <xdr:colOff>28575</xdr:colOff>
      <xdr:row>53</xdr:row>
      <xdr:rowOff>152400</xdr:rowOff>
    </xdr:to>
    <xdr:pic>
      <xdr:nvPicPr>
        <xdr:cNvPr id="3" name="Image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92144" y="8143875"/>
          <a:ext cx="1622431" cy="2105025"/>
        </a:xfrm>
        <a:prstGeom prst="rect">
          <a:avLst/>
        </a:prstGeom>
      </xdr:spPr>
    </xdr:pic>
    <xdr:clientData/>
  </xdr:twoCellAnchor>
  <xdr:twoCellAnchor editAs="oneCell">
    <xdr:from>
      <xdr:col>3</xdr:col>
      <xdr:colOff>371476</xdr:colOff>
      <xdr:row>42</xdr:row>
      <xdr:rowOff>142876</xdr:rowOff>
    </xdr:from>
    <xdr:to>
      <xdr:col>5</xdr:col>
      <xdr:colOff>476476</xdr:colOff>
      <xdr:row>53</xdr:row>
      <xdr:rowOff>123826</xdr:rowOff>
    </xdr:to>
    <xdr:pic>
      <xdr:nvPicPr>
        <xdr:cNvPr id="4" name="Image 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657476" y="8143876"/>
          <a:ext cx="1629000" cy="207645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nyuia\Dropbox\PAGL2D\Appui%20aux%20collectivit&#233;s\Budget%20des%20collectivit&#233;s\Budget%20et%20Compte%20administratif%20Haho\Budget%20Haho\Budget%20Haho%202016\Budget%20primitif%202016%20Hah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étail fonct 2012-2014"/>
      <sheetName val="Détail fonct 2011"/>
      <sheetName val="Détail fonct 2012"/>
      <sheetName val="Détail fonct 2013"/>
      <sheetName val="Détail fonct 2012-2014 (2)"/>
      <sheetName val="Evol 2011-2014"/>
      <sheetName val="Vue d'ens"/>
      <sheetName val="Détail fonct 2016_2"/>
      <sheetName val="Détail fonct 2016"/>
      <sheetName val="Modèle BUDGET 2015"/>
      <sheetName val="BUDGET MM 2016"/>
      <sheetName val="Invest"/>
      <sheetName val="Prog1"/>
      <sheetName val="Prog2"/>
      <sheetName val="Prog3"/>
      <sheetName val="FDT"/>
      <sheetName val="FDT (2)"/>
      <sheetName val="Balance (1)"/>
      <sheetName val="Balance (2)"/>
      <sheetName val="Salaires 2015 FCAT"/>
      <sheetName val="Salaires 2015 FAT"/>
      <sheetName val="Salaires 2015 FS"/>
      <sheetName val="Sit au 30 sept 2014"/>
      <sheetName val="graph recet"/>
      <sheetName val="graph dép"/>
      <sheetName val="Etat civil2"/>
      <sheetName val="Marchés 2016"/>
      <sheetName val="Marchés 2016 recap"/>
      <sheetName val="Bouchons 2016"/>
      <sheetName val="Bouchon"/>
      <sheetName val="Parc auto"/>
      <sheetName val="Marchés travaux"/>
      <sheetName val="OTR"/>
      <sheetName val="Décade Rec janv-sept"/>
      <sheetName val="Décade Dép janv-sept"/>
      <sheetName val="Bouch récap"/>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ow r="14">
          <cell r="L14">
            <v>9111366.3300000001</v>
          </cell>
        </row>
        <row r="29">
          <cell r="L29">
            <v>2042866.9799999997</v>
          </cell>
        </row>
      </sheetData>
      <sheetData sheetId="20">
        <row r="16">
          <cell r="M16">
            <v>4965191.76</v>
          </cell>
        </row>
        <row r="50">
          <cell r="M50">
            <v>4967228.5199999996</v>
          </cell>
        </row>
      </sheetData>
      <sheetData sheetId="21">
        <row r="12">
          <cell r="L12">
            <v>874238.39999999991</v>
          </cell>
        </row>
        <row r="26">
          <cell r="K26">
            <v>1260000</v>
          </cell>
        </row>
        <row r="37">
          <cell r="F37">
            <v>21960891.989999998</v>
          </cell>
          <cell r="J37">
            <v>768631.2196500001</v>
          </cell>
        </row>
      </sheetData>
      <sheetData sheetId="22"/>
      <sheetData sheetId="23"/>
      <sheetData sheetId="24"/>
      <sheetData sheetId="25">
        <row r="37">
          <cell r="J37">
            <v>4214000</v>
          </cell>
        </row>
        <row r="38">
          <cell r="J38">
            <v>0</v>
          </cell>
        </row>
        <row r="39">
          <cell r="J39">
            <v>900000</v>
          </cell>
        </row>
        <row r="40">
          <cell r="J40">
            <v>800000</v>
          </cell>
        </row>
        <row r="41">
          <cell r="J41">
            <v>840000</v>
          </cell>
        </row>
        <row r="42">
          <cell r="J42">
            <v>1800000</v>
          </cell>
        </row>
        <row r="43">
          <cell r="J43">
            <v>1225000</v>
          </cell>
        </row>
      </sheetData>
      <sheetData sheetId="26"/>
      <sheetData sheetId="27"/>
      <sheetData sheetId="28"/>
      <sheetData sheetId="29"/>
      <sheetData sheetId="30"/>
      <sheetData sheetId="31"/>
      <sheetData sheetId="32"/>
      <sheetData sheetId="33"/>
      <sheetData sheetId="34">
        <row r="40">
          <cell r="J40">
            <v>0</v>
          </cell>
          <cell r="AZ40">
            <v>0</v>
          </cell>
        </row>
      </sheetData>
      <sheetData sheetId="35"/>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OnLoad="1" refreshedBy="Jean-Eric Pelouas" refreshedDate="42423.541086689816" createdVersion="5" refreshedVersion="5" minRefreshableVersion="3" recordCount="5">
  <cacheSource type="worksheet">
    <worksheetSource name="Tableau2"/>
  </cacheSource>
  <cacheFields count="11">
    <cacheField name="N°" numFmtId="0">
      <sharedItems containsSemiMixedTypes="0" containsString="0" containsNumber="1" containsInteger="1" minValue="1" maxValue="5"/>
    </cacheField>
    <cacheField name="Date" numFmtId="14">
      <sharedItems containsSemiMixedTypes="0" containsNonDate="0" containsDate="1" containsString="0" minDate="2016-01-02T00:00:00" maxDate="2016-02-20T00:00:00" count="5">
        <d v="2016-01-02T00:00:00"/>
        <d v="2016-01-03T00:00:00"/>
        <d v="2016-01-05T00:00:00"/>
        <d v="2016-02-14T00:00:00"/>
        <d v="2016-02-19T00:00:00"/>
      </sharedItems>
      <fieldGroup base="1">
        <rangePr groupBy="months" startDate="2016-01-02T00:00:00" endDate="2016-02-20T00:00:00"/>
        <groupItems count="14">
          <s v="&lt;02/01/2016"/>
          <s v="janv"/>
          <s v="févr"/>
          <s v="mars"/>
          <s v="avr"/>
          <s v="mai"/>
          <s v="juin"/>
          <s v="juil"/>
          <s v="août"/>
          <s v="sept"/>
          <s v="oct"/>
          <s v="nov"/>
          <s v="déc"/>
          <s v="&gt;20/02/2016"/>
        </groupItems>
      </fieldGroup>
    </cacheField>
    <cacheField name="Compte" numFmtId="0">
      <sharedItems containsSemiMixedTypes="0" containsString="0" containsNumber="1" containsInteger="1" minValue="105" maxValue="7505" count="22">
        <n v="7140"/>
        <n v="7055"/>
        <n v="7030"/>
        <n v="7031"/>
        <n v="7034" u="1"/>
        <n v="703" u="1"/>
        <n v="7503" u="1"/>
        <n v="709" u="1"/>
        <n v="767" u="1"/>
        <n v="715" u="1"/>
        <n v="760" u="1"/>
        <n v="7150" u="1"/>
        <n v="7505" u="1"/>
        <n v="714" u="1"/>
        <n v="7504" u="1"/>
        <n v="705" u="1"/>
        <n v="105" u="1"/>
        <n v="7032" u="1"/>
        <n v="769" u="1"/>
        <n v="730" u="1"/>
        <n v="7151" u="1"/>
        <n v="704" u="1"/>
      </sharedItems>
    </cacheField>
    <cacheField name="Chapitre" numFmtId="0">
      <sharedItems count="7">
        <s v="71"/>
        <s v="70"/>
        <s v="" u="1"/>
        <s v="10" u="1"/>
        <s v="73" u="1"/>
        <s v="75" u="1"/>
        <s v="76" u="1"/>
      </sharedItems>
    </cacheField>
    <cacheField name="Libellés" numFmtId="0">
      <sharedItems/>
    </cacheField>
    <cacheField name="Nature des recettes" numFmtId="0">
      <sharedItems/>
    </cacheField>
    <cacheField name="Nom du débiteur" numFmtId="0">
      <sharedItems/>
    </cacheField>
    <cacheField name="Montant" numFmtId="164">
      <sharedItems containsSemiMixedTypes="0" containsString="0" containsNumber="1" containsInteger="1" minValue="18000" maxValue="145000"/>
    </cacheField>
    <cacheField name="Mode de paiement" numFmtId="0">
      <sharedItems/>
    </cacheField>
    <cacheField name="Résidence du client" numFmtId="0">
      <sharedItems containsNonDate="0" containsString="0" containsBlank="1"/>
    </cacheField>
    <cacheField name="N° Quit"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5">
  <r>
    <n v="1"/>
    <x v="0"/>
    <x v="0"/>
    <x v="0"/>
    <s v="Droit de places sur les marchés"/>
    <s v="A"/>
    <s v="AB"/>
    <n v="145000"/>
    <s v="Espèce"/>
    <m/>
    <m/>
  </r>
  <r>
    <n v="2"/>
    <x v="1"/>
    <x v="1"/>
    <x v="1"/>
    <s v="Matériel transport"/>
    <s v="B"/>
    <s v="AC"/>
    <n v="18000"/>
    <s v="Espèce"/>
    <m/>
    <m/>
  </r>
  <r>
    <n v="3"/>
    <x v="2"/>
    <x v="2"/>
    <x v="1"/>
    <s v="Vente de timbres pour les actes adm. Et d'état civil"/>
    <s v="C"/>
    <s v="AD"/>
    <n v="65000"/>
    <s v="Espèce"/>
    <m/>
    <m/>
  </r>
  <r>
    <n v="4"/>
    <x v="3"/>
    <x v="3"/>
    <x v="1"/>
    <s v="Droits mariage"/>
    <s v="D"/>
    <s v="AE"/>
    <n v="95000"/>
    <s v="Espèce"/>
    <m/>
    <m/>
  </r>
  <r>
    <n v="5"/>
    <x v="4"/>
    <x v="0"/>
    <x v="0"/>
    <s v="Droit de places sur les marchés"/>
    <s v="E"/>
    <s v="AF"/>
    <n v="82000"/>
    <s v="Espèce"/>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5" applyNumberFormats="0" applyBorderFormats="0" applyFontFormats="0" applyPatternFormats="0" applyAlignmentFormats="0" applyWidthHeightFormats="1" dataCaption="Valeurs" updatedVersion="5" minRefreshableVersion="3" useAutoFormatting="1" itemPrintTitles="1" createdVersion="5" indent="0" outline="1" outlineData="1" multipleFieldFilters="0" chartFormat="10" rowHeaderCaption="Imputations" colHeaderCaption="Mois">
  <location ref="A3:D11" firstHeaderRow="1" firstDataRow="2" firstDataCol="1"/>
  <pivotFields count="11">
    <pivotField showAll="0">
      <extLst>
        <ext xmlns:x14="http://schemas.microsoft.com/office/spreadsheetml/2009/9/main" uri="{2946ED86-A175-432a-8AC1-64E0C546D7DE}">
          <x14:pivotField fillDownLabels="1"/>
        </ext>
      </extLst>
    </pivotField>
    <pivotField axis="axisCol" showAll="0">
      <items count="15">
        <item x="0"/>
        <item x="1"/>
        <item x="2"/>
        <item x="3"/>
        <item x="4"/>
        <item x="5"/>
        <item x="6"/>
        <item x="7"/>
        <item x="8"/>
        <item x="9"/>
        <item x="10"/>
        <item x="11"/>
        <item x="12"/>
        <item x="13"/>
        <item t="default"/>
      </items>
      <extLst>
        <ext xmlns:x14="http://schemas.microsoft.com/office/spreadsheetml/2009/9/main" uri="{2946ED86-A175-432a-8AC1-64E0C546D7DE}">
          <x14:pivotField fillDownLabels="1"/>
        </ext>
      </extLst>
    </pivotField>
    <pivotField axis="axisRow" showAll="0">
      <items count="23">
        <item m="1" x="16"/>
        <item m="1" x="5"/>
        <item m="1" x="15"/>
        <item x="1"/>
        <item m="1" x="7"/>
        <item m="1" x="13"/>
        <item m="1" x="9"/>
        <item m="1" x="19"/>
        <item m="1" x="10"/>
        <item m="1" x="8"/>
        <item m="1" x="18"/>
        <item m="1" x="11"/>
        <item m="1" x="20"/>
        <item m="1" x="6"/>
        <item m="1" x="14"/>
        <item m="1" x="12"/>
        <item x="2"/>
        <item m="1" x="21"/>
        <item x="3"/>
        <item m="1" x="4"/>
        <item m="1" x="17"/>
        <item x="0"/>
        <item t="default"/>
      </items>
      <extLst>
        <ext xmlns:x14="http://schemas.microsoft.com/office/spreadsheetml/2009/9/main" uri="{2946ED86-A175-432a-8AC1-64E0C546D7DE}">
          <x14:pivotField fillDownLabels="1"/>
        </ext>
      </extLst>
    </pivotField>
    <pivotField axis="axisRow" showAll="0">
      <items count="8">
        <item m="1" x="2"/>
        <item x="1"/>
        <item x="0"/>
        <item m="1" x="4"/>
        <item m="1" x="5"/>
        <item m="1" x="6"/>
        <item m="1" x="3"/>
        <item t="default"/>
      </items>
      <extLst>
        <ext xmlns:x14="http://schemas.microsoft.com/office/spreadsheetml/2009/9/main" uri="{2946ED86-A175-432a-8AC1-64E0C546D7DE}">
          <x14:pivotField fillDownLabels="1"/>
        </ext>
      </extLst>
    </pivotField>
    <pivotField showAll="0">
      <extLst>
        <ext xmlns:x14="http://schemas.microsoft.com/office/spreadsheetml/2009/9/main" uri="{2946ED86-A175-432a-8AC1-64E0C546D7DE}">
          <x14:pivotField fillDownLabels="1"/>
        </ext>
      </extLst>
    </pivotField>
    <pivotField showAll="0">
      <extLst>
        <ext xmlns:x14="http://schemas.microsoft.com/office/spreadsheetml/2009/9/main" uri="{2946ED86-A175-432a-8AC1-64E0C546D7DE}">
          <x14:pivotField fillDownLabels="1"/>
        </ext>
      </extLst>
    </pivotField>
    <pivotField showAll="0" defaultSubtotal="0">
      <extLst>
        <ext xmlns:x14="http://schemas.microsoft.com/office/spreadsheetml/2009/9/main" uri="{2946ED86-A175-432a-8AC1-64E0C546D7DE}">
          <x14:pivotField fillDownLabels="1"/>
        </ext>
      </extLst>
    </pivotField>
    <pivotField dataField="1" showAll="0">
      <extLst>
        <ext xmlns:x14="http://schemas.microsoft.com/office/spreadsheetml/2009/9/main" uri="{2946ED86-A175-432a-8AC1-64E0C546D7DE}">
          <x14:pivotField fillDownLabels="1"/>
        </ext>
      </extLst>
    </pivotField>
    <pivotField showAll="0">
      <extLst>
        <ext xmlns:x14="http://schemas.microsoft.com/office/spreadsheetml/2009/9/main" uri="{2946ED86-A175-432a-8AC1-64E0C546D7DE}">
          <x14:pivotField fillDownLabels="1"/>
        </ext>
      </extLst>
    </pivotField>
    <pivotField showAll="0">
      <extLst>
        <ext xmlns:x14="http://schemas.microsoft.com/office/spreadsheetml/2009/9/main" uri="{2946ED86-A175-432a-8AC1-64E0C546D7DE}">
          <x14:pivotField fillDownLabels="1"/>
        </ext>
      </extLst>
    </pivotField>
    <pivotField showAll="0">
      <extLst>
        <ext xmlns:x14="http://schemas.microsoft.com/office/spreadsheetml/2009/9/main" uri="{2946ED86-A175-432a-8AC1-64E0C546D7DE}">
          <x14:pivotField fillDownLabels="1"/>
        </ext>
      </extLst>
    </pivotField>
  </pivotFields>
  <rowFields count="2">
    <field x="3"/>
    <field x="2"/>
  </rowFields>
  <rowItems count="7">
    <i>
      <x v="1"/>
    </i>
    <i r="1">
      <x v="3"/>
    </i>
    <i r="1">
      <x v="16"/>
    </i>
    <i r="1">
      <x v="18"/>
    </i>
    <i>
      <x v="2"/>
    </i>
    <i r="1">
      <x v="21"/>
    </i>
    <i t="grand">
      <x/>
    </i>
  </rowItems>
  <colFields count="1">
    <field x="1"/>
  </colFields>
  <colItems count="3">
    <i>
      <x v="1"/>
    </i>
    <i>
      <x v="2"/>
    </i>
    <i t="grand">
      <x/>
    </i>
  </colItems>
  <dataFields count="1">
    <dataField name="Périodes" fld="7" baseField="3" baseItem="2" numFmtId="41"/>
  </dataFields>
  <formats count="40">
    <format dxfId="71">
      <pivotArea grandCol="1" outline="0" collapsedLevelsAreSubtotals="1" fieldPosition="0"/>
    </format>
    <format dxfId="70">
      <pivotArea grandCol="1" outline="0" collapsedLevelsAreSubtotals="1" fieldPosition="0"/>
    </format>
    <format dxfId="69">
      <pivotArea dataOnly="0" fieldPosition="0">
        <references count="1">
          <reference field="2" count="0"/>
        </references>
      </pivotArea>
    </format>
    <format dxfId="68">
      <pivotArea outline="0" fieldPosition="0">
        <references count="1">
          <reference field="4294967294" count="1">
            <x v="0"/>
          </reference>
        </references>
      </pivotArea>
    </format>
    <format dxfId="67">
      <pivotArea field="1" type="button" dataOnly="0" labelOnly="1" outline="0" axis="axisCol" fieldPosition="0"/>
    </format>
    <format dxfId="66">
      <pivotArea dataOnly="0" labelOnly="1" fieldPosition="0">
        <references count="1">
          <reference field="2" count="15">
            <x v="0"/>
            <x v="1"/>
            <x v="3"/>
            <x v="4"/>
            <x v="5"/>
            <x v="6"/>
            <x v="7"/>
            <x v="8"/>
            <x v="9"/>
            <x v="10"/>
            <x v="11"/>
            <x v="12"/>
            <x v="13"/>
            <x v="14"/>
            <x v="15"/>
          </reference>
        </references>
      </pivotArea>
    </format>
    <format dxfId="65">
      <pivotArea field="1" type="button" dataOnly="0" labelOnly="1" outline="0" axis="axisCol" fieldPosition="0"/>
    </format>
    <format dxfId="64">
      <pivotArea dataOnly="0" labelOnly="1" fieldPosition="0">
        <references count="1">
          <reference field="2" count="15">
            <x v="0"/>
            <x v="1"/>
            <x v="3"/>
            <x v="4"/>
            <x v="5"/>
            <x v="6"/>
            <x v="7"/>
            <x v="8"/>
            <x v="9"/>
            <x v="10"/>
            <x v="11"/>
            <x v="12"/>
            <x v="13"/>
            <x v="14"/>
            <x v="15"/>
          </reference>
        </references>
      </pivotArea>
    </format>
    <format dxfId="63">
      <pivotArea field="1" grandRow="1" collapsedLevelsAreSubtotals="1" axis="axisCol" fieldPosition="0">
        <references count="1">
          <reference field="1" count="0"/>
        </references>
      </pivotArea>
    </format>
    <format dxfId="62">
      <pivotArea collapsedLevelsAreSubtotals="1" fieldPosition="0">
        <references count="1">
          <reference field="2" count="0"/>
        </references>
      </pivotArea>
    </format>
    <format dxfId="61">
      <pivotArea dataOnly="0" labelOnly="1" fieldPosition="0">
        <references count="1">
          <reference field="2" count="0"/>
        </references>
      </pivotArea>
    </format>
    <format dxfId="60">
      <pivotArea collapsedLevelsAreSubtotals="1" fieldPosition="0">
        <references count="1">
          <reference field="2" count="0"/>
        </references>
      </pivotArea>
    </format>
    <format dxfId="59">
      <pivotArea dataOnly="0" labelOnly="1" fieldPosition="0">
        <references count="1">
          <reference field="2" count="0"/>
        </references>
      </pivotArea>
    </format>
    <format dxfId="58">
      <pivotArea field="2" type="button" dataOnly="0" labelOnly="1" outline="0" axis="axisRow" fieldPosition="1"/>
    </format>
    <format dxfId="57">
      <pivotArea dataOnly="0" labelOnly="1" grandCol="1" outline="0" fieldPosition="0"/>
    </format>
    <format dxfId="56">
      <pivotArea field="2" type="button" dataOnly="0" labelOnly="1" outline="0" axis="axisRow" fieldPosition="1"/>
    </format>
    <format dxfId="55">
      <pivotArea dataOnly="0" labelOnly="1" grandCol="1" outline="0" fieldPosition="0"/>
    </format>
    <format dxfId="54">
      <pivotArea type="origin" dataOnly="0" labelOnly="1" outline="0" fieldPosition="0"/>
    </format>
    <format dxfId="53">
      <pivotArea type="origin" dataOnly="0" labelOnly="1" outline="0" fieldPosition="0"/>
    </format>
    <format dxfId="52">
      <pivotArea field="2" type="button" dataOnly="0" labelOnly="1" outline="0" axis="axisRow" fieldPosition="1"/>
    </format>
    <format dxfId="51">
      <pivotArea field="2" type="button" dataOnly="0" labelOnly="1" outline="0" axis="axisRow" fieldPosition="1"/>
    </format>
    <format dxfId="50">
      <pivotArea field="1" type="button" dataOnly="0" labelOnly="1" outline="0" axis="axisCol" fieldPosition="0"/>
    </format>
    <format dxfId="49">
      <pivotArea type="all" dataOnly="0" outline="0" fieldPosition="0"/>
    </format>
    <format dxfId="48">
      <pivotArea outline="0" collapsedLevelsAreSubtotals="1" fieldPosition="0"/>
    </format>
    <format dxfId="47">
      <pivotArea dataOnly="0" labelOnly="1" fieldPosition="0">
        <references count="1">
          <reference field="3" count="6">
            <x v="1"/>
            <x v="2"/>
            <x v="3"/>
            <x v="4"/>
            <x v="5"/>
            <x v="6"/>
          </reference>
        </references>
      </pivotArea>
    </format>
    <format dxfId="46">
      <pivotArea dataOnly="0" labelOnly="1" grandRow="1" outline="0" fieldPosition="0"/>
    </format>
    <format dxfId="45">
      <pivotArea dataOnly="0" labelOnly="1" fieldPosition="0">
        <references count="2">
          <reference field="2" count="15">
            <x v="0"/>
            <x v="1"/>
            <x v="3"/>
            <x v="4"/>
            <x v="5"/>
            <x v="6"/>
            <x v="7"/>
            <x v="8"/>
            <x v="9"/>
            <x v="10"/>
            <x v="11"/>
            <x v="12"/>
            <x v="13"/>
            <x v="14"/>
            <x v="15"/>
          </reference>
          <reference field="3" count="1" selected="0">
            <x v="6"/>
          </reference>
        </references>
      </pivotArea>
    </format>
    <format dxfId="44">
      <pivotArea dataOnly="0" labelOnly="1" grandCol="1" outline="0" fieldPosition="0"/>
    </format>
    <format dxfId="43">
      <pivotArea field="3" grandCol="1" collapsedLevelsAreSubtotals="1" axis="axisRow" fieldPosition="0">
        <references count="1">
          <reference field="3" count="1">
            <x v="1"/>
          </reference>
        </references>
      </pivotArea>
    </format>
    <format dxfId="42">
      <pivotArea field="3" grandCol="1" collapsedLevelsAreSubtotals="1" axis="axisRow" fieldPosition="0">
        <references count="2">
          <reference field="2" count="3">
            <x v="1"/>
            <x v="3"/>
            <x v="4"/>
          </reference>
          <reference field="3" count="1" selected="0">
            <x v="1"/>
          </reference>
        </references>
      </pivotArea>
    </format>
    <format dxfId="41">
      <pivotArea field="3" grandCol="1" collapsedLevelsAreSubtotals="1" axis="axisRow" fieldPosition="0">
        <references count="1">
          <reference field="3" count="1">
            <x v="2"/>
          </reference>
        </references>
      </pivotArea>
    </format>
    <format dxfId="40">
      <pivotArea field="3" grandCol="1" collapsedLevelsAreSubtotals="1" axis="axisRow" fieldPosition="0">
        <references count="2">
          <reference field="2" count="4">
            <x v="5"/>
            <x v="6"/>
            <x v="11"/>
            <x v="12"/>
          </reference>
          <reference field="3" count="1" selected="0">
            <x v="2"/>
          </reference>
        </references>
      </pivotArea>
    </format>
    <format dxfId="39">
      <pivotArea field="3" grandCol="1" collapsedLevelsAreSubtotals="1" axis="axisRow" fieldPosition="0">
        <references count="1">
          <reference field="3" count="1">
            <x v="3"/>
          </reference>
        </references>
      </pivotArea>
    </format>
    <format dxfId="38">
      <pivotArea field="3" grandCol="1" collapsedLevelsAreSubtotals="1" axis="axisRow" fieldPosition="0">
        <references count="2">
          <reference field="2" count="1">
            <x v="7"/>
          </reference>
          <reference field="3" count="1" selected="0">
            <x v="3"/>
          </reference>
        </references>
      </pivotArea>
    </format>
    <format dxfId="37">
      <pivotArea field="3" grandCol="1" collapsedLevelsAreSubtotals="1" axis="axisRow" fieldPosition="0">
        <references count="1">
          <reference field="3" count="1">
            <x v="4"/>
          </reference>
        </references>
      </pivotArea>
    </format>
    <format dxfId="36">
      <pivotArea field="3" grandCol="1" collapsedLevelsAreSubtotals="1" axis="axisRow" fieldPosition="0">
        <references count="2">
          <reference field="2" count="3">
            <x v="13"/>
            <x v="14"/>
            <x v="15"/>
          </reference>
          <reference field="3" count="1" selected="0">
            <x v="4"/>
          </reference>
        </references>
      </pivotArea>
    </format>
    <format dxfId="35">
      <pivotArea field="3" grandCol="1" collapsedLevelsAreSubtotals="1" axis="axisRow" fieldPosition="0">
        <references count="1">
          <reference field="3" count="1">
            <x v="5"/>
          </reference>
        </references>
      </pivotArea>
    </format>
    <format dxfId="34">
      <pivotArea field="3" grandCol="1" collapsedLevelsAreSubtotals="1" axis="axisRow" fieldPosition="0">
        <references count="2">
          <reference field="2" count="3">
            <x v="8"/>
            <x v="9"/>
            <x v="10"/>
          </reference>
          <reference field="3" count="1" selected="0">
            <x v="5"/>
          </reference>
        </references>
      </pivotArea>
    </format>
    <format dxfId="33">
      <pivotArea field="3" grandCol="1" collapsedLevelsAreSubtotals="1" axis="axisRow" fieldPosition="0">
        <references count="1">
          <reference field="3" count="1">
            <x v="6"/>
          </reference>
        </references>
      </pivotArea>
    </format>
    <format dxfId="32">
      <pivotArea field="3" grandCol="1" collapsedLevelsAreSubtotals="1" axis="axisRow" fieldPosition="0">
        <references count="2">
          <reference field="2" count="1">
            <x v="0"/>
          </reference>
          <reference field="3" count="1" selected="0">
            <x v="6"/>
          </reference>
        </references>
      </pivotArea>
    </format>
  </formats>
  <chartFormats count="15">
    <chartFormat chart="3" format="27" series="1">
      <pivotArea type="data" outline="0" fieldPosition="0">
        <references count="2">
          <reference field="4294967294" count="1" selected="0">
            <x v="0"/>
          </reference>
          <reference field="2" count="1" selected="0">
            <x v="8"/>
          </reference>
        </references>
      </pivotArea>
    </chartFormat>
    <chartFormat chart="3" format="28" series="1">
      <pivotArea type="data" outline="0" fieldPosition="0">
        <references count="2">
          <reference field="4294967294" count="1" selected="0">
            <x v="0"/>
          </reference>
          <reference field="2" count="1" selected="0">
            <x v="1"/>
          </reference>
        </references>
      </pivotArea>
    </chartFormat>
    <chartFormat chart="3" format="29" series="1">
      <pivotArea type="data" outline="0" fieldPosition="0">
        <references count="2">
          <reference field="4294967294" count="1" selected="0">
            <x v="0"/>
          </reference>
          <reference field="2" count="1" selected="0">
            <x v="4"/>
          </reference>
        </references>
      </pivotArea>
    </chartFormat>
    <chartFormat chart="3" format="30" series="1">
      <pivotArea type="data" outline="0" fieldPosition="0">
        <references count="2">
          <reference field="4294967294" count="1" selected="0">
            <x v="0"/>
          </reference>
          <reference field="2" count="1" selected="0">
            <x v="5"/>
          </reference>
        </references>
      </pivotArea>
    </chartFormat>
    <chartFormat chart="3" format="31" series="1">
      <pivotArea type="data" outline="0" fieldPosition="0">
        <references count="2">
          <reference field="4294967294" count="1" selected="0">
            <x v="0"/>
          </reference>
          <reference field="2" count="1" selected="0">
            <x v="6"/>
          </reference>
        </references>
      </pivotArea>
    </chartFormat>
    <chartFormat chart="3" format="32" series="1">
      <pivotArea type="data" outline="0" fieldPosition="0">
        <references count="2">
          <reference field="4294967294" count="1" selected="0">
            <x v="0"/>
          </reference>
          <reference field="2" count="1" selected="0">
            <x v="7"/>
          </reference>
        </references>
      </pivotArea>
    </chartFormat>
    <chartFormat chart="3" format="33" series="1">
      <pivotArea type="data" outline="0" fieldPosition="0">
        <references count="2">
          <reference field="4294967294" count="1" selected="0">
            <x v="0"/>
          </reference>
          <reference field="2" count="1" selected="0">
            <x v="9"/>
          </reference>
        </references>
      </pivotArea>
    </chartFormat>
    <chartFormat chart="3" format="34" series="1">
      <pivotArea type="data" outline="0" fieldPosition="0">
        <references count="2">
          <reference field="4294967294" count="1" selected="0">
            <x v="0"/>
          </reference>
          <reference field="2" count="1" selected="0">
            <x v="10"/>
          </reference>
        </references>
      </pivotArea>
    </chartFormat>
    <chartFormat chart="3" format="35" series="1">
      <pivotArea type="data" outline="0" fieldPosition="0">
        <references count="2">
          <reference field="4294967294" count="1" selected="0">
            <x v="0"/>
          </reference>
          <reference field="2" count="1" selected="0">
            <x v="3"/>
          </reference>
        </references>
      </pivotArea>
    </chartFormat>
    <chartFormat chart="3" format="36" series="1">
      <pivotArea type="data" outline="0" fieldPosition="0">
        <references count="2">
          <reference field="4294967294" count="1" selected="0">
            <x v="0"/>
          </reference>
          <reference field="2" count="1" selected="0">
            <x v="11"/>
          </reference>
        </references>
      </pivotArea>
    </chartFormat>
    <chartFormat chart="3" format="37" series="1">
      <pivotArea type="data" outline="0" fieldPosition="0">
        <references count="2">
          <reference field="4294967294" count="1" selected="0">
            <x v="0"/>
          </reference>
          <reference field="2" count="1" selected="0">
            <x v="12"/>
          </reference>
        </references>
      </pivotArea>
    </chartFormat>
    <chartFormat chart="3" format="38" series="1">
      <pivotArea type="data" outline="0" fieldPosition="0">
        <references count="2">
          <reference field="4294967294" count="1" selected="0">
            <x v="0"/>
          </reference>
          <reference field="2" count="1" selected="0">
            <x v="13"/>
          </reference>
        </references>
      </pivotArea>
    </chartFormat>
    <chartFormat chart="3" format="39" series="1">
      <pivotArea type="data" outline="0" fieldPosition="0">
        <references count="2">
          <reference field="4294967294" count="1" selected="0">
            <x v="0"/>
          </reference>
          <reference field="2" count="1" selected="0">
            <x v="14"/>
          </reference>
        </references>
      </pivotArea>
    </chartFormat>
    <chartFormat chart="3" format="40" series="1">
      <pivotArea type="data" outline="0" fieldPosition="0">
        <references count="2">
          <reference field="4294967294" count="1" selected="0">
            <x v="0"/>
          </reference>
          <reference field="2" count="1" selected="0">
            <x v="15"/>
          </reference>
        </references>
      </pivotArea>
    </chartFormat>
    <chartFormat chart="3" format="41" series="1">
      <pivotArea type="data" outline="0" fieldPosition="0">
        <references count="2">
          <reference field="4294967294" count="1" selected="0">
            <x v="0"/>
          </reference>
          <reference field="2" count="1" selected="0">
            <x v="0"/>
          </reference>
        </references>
      </pivotArea>
    </chartFormat>
  </chartFormats>
  <pivotTableStyleInfo name="PivotStyleLight9" showRowHeaders="1" showColHeaders="1" showRowStripes="1" showColStripes="1" showLastColumn="1"/>
  <extLst>
    <ext xmlns:x14="http://schemas.microsoft.com/office/spreadsheetml/2009/9/main" uri="{962EF5D1-5CA2-4c93-8EF4-DBF5C05439D2}">
      <x14:pivotTableDefinition xmlns:xm="http://schemas.microsoft.com/office/excel/2006/main" fillDownLabelsDefault="1" hideValuesRow="1"/>
    </ext>
  </extLst>
</pivotTableDefinition>
</file>

<file path=xl/pivotTables/pivotTable2.xml><?xml version="1.0" encoding="utf-8"?>
<pivotTableDefinition xmlns="http://schemas.openxmlformats.org/spreadsheetml/2006/main" name="Tableau croisé dynamique2" cacheId="5" applyNumberFormats="0" applyBorderFormats="0" applyFontFormats="0" applyPatternFormats="0" applyAlignmentFormats="0" applyWidthHeightFormats="1" dataCaption="Valeurs" updatedVersion="5" minRefreshableVersion="3" useAutoFormatting="1" fieldPrintTitles="1" itemPrintTitles="1" createdVersion="5" indent="0" outline="1" outlineData="1" multipleFieldFilters="0" rowHeaderCaption="Périodes" colHeaderCaption="">
  <location ref="A3:F7" firstHeaderRow="1" firstDataRow="2" firstDataCol="1" rowPageCount="1" colPageCount="1"/>
  <pivotFields count="11">
    <pivotField showAll="0"/>
    <pivotField axis="axisRow" showAll="0">
      <items count="15">
        <item x="0"/>
        <item x="1"/>
        <item x="2"/>
        <item x="3"/>
        <item x="4"/>
        <item x="5"/>
        <item x="6"/>
        <item x="7"/>
        <item x="8"/>
        <item x="9"/>
        <item x="10"/>
        <item x="11"/>
        <item x="12"/>
        <item x="13"/>
        <item t="default"/>
      </items>
    </pivotField>
    <pivotField axis="axisCol" showAll="0">
      <items count="23">
        <item m="1" x="5"/>
        <item m="1" x="15"/>
        <item x="1"/>
        <item m="1" x="7"/>
        <item m="1" x="13"/>
        <item m="1" x="9"/>
        <item m="1" x="11"/>
        <item m="1" x="20"/>
        <item m="1" x="19"/>
        <item m="1" x="6"/>
        <item m="1" x="14"/>
        <item m="1" x="12"/>
        <item m="1" x="10"/>
        <item m="1" x="8"/>
        <item m="1" x="18"/>
        <item m="1" x="16"/>
        <item x="2"/>
        <item m="1" x="21"/>
        <item x="3"/>
        <item m="1" x="4"/>
        <item m="1" x="17"/>
        <item x="0"/>
        <item t="default"/>
      </items>
    </pivotField>
    <pivotField axis="axisPage" showAll="0">
      <items count="8">
        <item m="1" x="2"/>
        <item m="1" x="3"/>
        <item x="1"/>
        <item x="0"/>
        <item m="1" x="4"/>
        <item m="1" x="5"/>
        <item m="1" x="6"/>
        <item t="default"/>
      </items>
    </pivotField>
    <pivotField showAll="0"/>
    <pivotField showAll="0"/>
    <pivotField showAll="0" defaultSubtotal="0"/>
    <pivotField dataField="1" showAll="0"/>
    <pivotField showAll="0"/>
    <pivotField showAll="0"/>
    <pivotField showAll="0"/>
  </pivotFields>
  <rowFields count="1">
    <field x="1"/>
  </rowFields>
  <rowItems count="3">
    <i>
      <x v="1"/>
    </i>
    <i>
      <x v="2"/>
    </i>
    <i t="grand">
      <x/>
    </i>
  </rowItems>
  <colFields count="1">
    <field x="2"/>
  </colFields>
  <colItems count="5">
    <i>
      <x v="2"/>
    </i>
    <i>
      <x v="16"/>
    </i>
    <i>
      <x v="18"/>
    </i>
    <i>
      <x v="21"/>
    </i>
    <i t="grand">
      <x/>
    </i>
  </colItems>
  <pageFields count="1">
    <pageField fld="3" hier="-1"/>
  </pageFields>
  <dataFields count="1">
    <dataField name="Imputations" fld="7" baseField="1" baseItem="3" numFmtId="41"/>
  </dataFields>
  <formats count="16">
    <format dxfId="31">
      <pivotArea outline="0" collapsedLevelsAreSubtotals="1" fieldPosition="0"/>
    </format>
    <format dxfId="30">
      <pivotArea dataOnly="0" labelOnly="1" fieldPosition="0">
        <references count="1">
          <reference field="2" count="0"/>
        </references>
      </pivotArea>
    </format>
    <format dxfId="29">
      <pivotArea dataOnly="0" labelOnly="1" grandCol="1" outline="0" fieldPosition="0"/>
    </format>
    <format dxfId="28">
      <pivotArea field="3" type="button" dataOnly="0" labelOnly="1" outline="0" axis="axisPage" fieldPosition="0"/>
    </format>
    <format dxfId="27">
      <pivotArea field="3" type="button" dataOnly="0" labelOnly="1" outline="0" axis="axisPage" fieldPosition="0"/>
    </format>
    <format dxfId="26">
      <pivotArea dataOnly="0" labelOnly="1" outline="0" fieldPosition="0">
        <references count="1">
          <reference field="3" count="0"/>
        </references>
      </pivotArea>
    </format>
    <format dxfId="25">
      <pivotArea dataOnly="0" labelOnly="1" outline="0" fieldPosition="0">
        <references count="1">
          <reference field="3" count="0"/>
        </references>
      </pivotArea>
    </format>
    <format dxfId="24">
      <pivotArea outline="0" fieldPosition="0">
        <references count="1">
          <reference field="4294967294" count="1">
            <x v="0"/>
          </reference>
        </references>
      </pivotArea>
    </format>
    <format dxfId="23">
      <pivotArea type="all" dataOnly="0" outline="0" fieldPosition="0"/>
    </format>
    <format dxfId="22">
      <pivotArea type="origin" dataOnly="0" labelOnly="1" outline="0" fieldPosition="0"/>
    </format>
    <format dxfId="21">
      <pivotArea type="origin" dataOnly="0" labelOnly="1" outline="0" fieldPosition="0"/>
    </format>
    <format dxfId="20">
      <pivotArea type="all" dataOnly="0" outline="0" fieldPosition="0"/>
    </format>
    <format dxfId="19">
      <pivotArea outline="0" collapsedLevelsAreSubtotals="1" fieldPosition="0"/>
    </format>
    <format dxfId="18">
      <pivotArea dataOnly="0" labelOnly="1" grandRow="1" outline="0" fieldPosition="0"/>
    </format>
    <format dxfId="17">
      <pivotArea dataOnly="0" labelOnly="1" fieldPosition="0">
        <references count="1">
          <reference field="2" count="0"/>
        </references>
      </pivotArea>
    </format>
    <format dxfId="16">
      <pivotArea dataOnly="0" labelOnly="1" grandCol="1" outline="0" fieldPosition="0"/>
    </format>
  </formats>
  <pivotTableStyleInfo name="PivotStyleLight9"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3.xml><?xml version="1.0" encoding="utf-8"?>
<pivotTableDefinition xmlns="http://schemas.openxmlformats.org/spreadsheetml/2006/main" name="Tableau croisé dynamique3" cacheId="5" applyNumberFormats="0" applyBorderFormats="0" applyFontFormats="0" applyPatternFormats="0" applyAlignmentFormats="0" applyWidthHeightFormats="1" dataCaption="Valeurs" updatedVersion="5" minRefreshableVersion="3" useAutoFormatting="1" itemPrintTitles="1" createdVersion="5" indent="0" compact="0" compactData="0" multipleFieldFilters="0" chartFormat="9">
  <location ref="A3:F7" firstHeaderRow="1" firstDataRow="2" firstDataCol="1" rowPageCount="1" colPageCount="1"/>
  <pivotFields count="11">
    <pivotField compact="0" outline="0" showAll="0"/>
    <pivotField axis="axisRow" compact="0" outline="0" showAll="0">
      <items count="15">
        <item x="0"/>
        <item x="1"/>
        <item x="2"/>
        <item x="3"/>
        <item x="4"/>
        <item x="5"/>
        <item x="6"/>
        <item x="7"/>
        <item x="8"/>
        <item x="9"/>
        <item x="10"/>
        <item x="11"/>
        <item x="12"/>
        <item x="13"/>
        <item t="default"/>
      </items>
    </pivotField>
    <pivotField axis="axisCol" compact="0" outline="0" showAll="0">
      <items count="23">
        <item m="1" x="16"/>
        <item m="1" x="5"/>
        <item m="1" x="15"/>
        <item m="1" x="7"/>
        <item m="1" x="13"/>
        <item m="1" x="9"/>
        <item m="1" x="19"/>
        <item m="1" x="10"/>
        <item m="1" x="8"/>
        <item m="1" x="18"/>
        <item x="1"/>
        <item m="1" x="11"/>
        <item m="1" x="20"/>
        <item m="1" x="6"/>
        <item m="1" x="14"/>
        <item m="1" x="12"/>
        <item x="2"/>
        <item m="1" x="21"/>
        <item x="3"/>
        <item m="1" x="4"/>
        <item m="1" x="17"/>
        <item x="0"/>
        <item t="default"/>
      </items>
    </pivotField>
    <pivotField axis="axisPage" compact="0" outline="0" showAll="0">
      <items count="8">
        <item m="1" x="2"/>
        <item m="1" x="3"/>
        <item x="1"/>
        <item x="0"/>
        <item m="1" x="4"/>
        <item m="1" x="5"/>
        <item m="1" x="6"/>
        <item t="default"/>
      </items>
    </pivotField>
    <pivotField compact="0" outline="0" showAll="0"/>
    <pivotField compact="0" outline="0" showAll="0"/>
    <pivotField compact="0" outline="0" showAll="0" defaultSubtotal="0"/>
    <pivotField dataField="1" compact="0" outline="0" showAll="0"/>
    <pivotField compact="0" outline="0" showAll="0"/>
    <pivotField compact="0" outline="0" showAll="0"/>
    <pivotField compact="0" outline="0" showAll="0"/>
  </pivotFields>
  <rowFields count="1">
    <field x="1"/>
  </rowFields>
  <rowItems count="3">
    <i>
      <x v="1"/>
    </i>
    <i>
      <x v="2"/>
    </i>
    <i t="grand">
      <x/>
    </i>
  </rowItems>
  <colFields count="1">
    <field x="2"/>
  </colFields>
  <colItems count="5">
    <i>
      <x v="10"/>
    </i>
    <i>
      <x v="16"/>
    </i>
    <i>
      <x v="18"/>
    </i>
    <i>
      <x v="21"/>
    </i>
    <i t="grand">
      <x/>
    </i>
  </colItems>
  <pageFields count="1">
    <pageField fld="3" hier="-1"/>
  </pageFields>
  <dataFields count="1">
    <dataField name="Somme de Montant" fld="7" baseField="1" baseItem="5" numFmtId="41"/>
  </dataFields>
  <formats count="6">
    <format dxfId="15">
      <pivotArea field="1" type="button" dataOnly="0" labelOnly="1" outline="0" axis="axisRow" fieldPosition="0"/>
    </format>
    <format dxfId="14">
      <pivotArea dataOnly="0" labelOnly="1" fieldPosition="0">
        <references count="1">
          <reference field="2" count="0"/>
        </references>
      </pivotArea>
    </format>
    <format dxfId="13">
      <pivotArea dataOnly="0" labelOnly="1" grandCol="1" outline="0" fieldPosition="0"/>
    </format>
    <format dxfId="12">
      <pivotArea field="1" type="button" dataOnly="0" labelOnly="1" outline="0" axis="axisRow" fieldPosition="0"/>
    </format>
    <format dxfId="11">
      <pivotArea dataOnly="0" labelOnly="1" fieldPosition="0">
        <references count="1">
          <reference field="2" count="0"/>
        </references>
      </pivotArea>
    </format>
    <format dxfId="10">
      <pivotArea dataOnly="0" labelOnly="1" grandCol="1" outline="0" fieldPosition="0"/>
    </format>
  </formats>
  <chartFormats count="15">
    <chartFormat chart="0" format="13" series="1">
      <pivotArea type="data" outline="0" fieldPosition="0">
        <references count="2">
          <reference field="4294967294" count="1" selected="0">
            <x v="0"/>
          </reference>
          <reference field="2" count="1" selected="0">
            <x v="15"/>
          </reference>
        </references>
      </pivotArea>
    </chartFormat>
    <chartFormat chart="0" format="14" series="1">
      <pivotArea type="data" outline="0" fieldPosition="0">
        <references count="2">
          <reference field="4294967294" count="1" selected="0">
            <x v="0"/>
          </reference>
          <reference field="2" count="1" selected="0">
            <x v="4"/>
          </reference>
        </references>
      </pivotArea>
    </chartFormat>
    <chartFormat chart="0" format="15" series="1">
      <pivotArea type="data" outline="0" fieldPosition="0">
        <references count="2">
          <reference field="4294967294" count="1" selected="0">
            <x v="0"/>
          </reference>
          <reference field="2" count="1" selected="0">
            <x v="5"/>
          </reference>
        </references>
      </pivotArea>
    </chartFormat>
    <chartFormat chart="0" format="16" series="1">
      <pivotArea type="data" outline="0" fieldPosition="0">
        <references count="2">
          <reference field="4294967294" count="1" selected="0">
            <x v="0"/>
          </reference>
          <reference field="2" count="1" selected="0">
            <x v="10"/>
          </reference>
        </references>
      </pivotArea>
    </chartFormat>
    <chartFormat chart="0" format="17" series="1">
      <pivotArea type="data" outline="0" fieldPosition="0">
        <references count="2">
          <reference field="4294967294" count="1" selected="0">
            <x v="0"/>
          </reference>
          <reference field="2" count="1" selected="0">
            <x v="11"/>
          </reference>
        </references>
      </pivotArea>
    </chartFormat>
    <chartFormat chart="0" format="18" series="1">
      <pivotArea type="data" outline="0" fieldPosition="0">
        <references count="2">
          <reference field="4294967294" count="1" selected="0">
            <x v="0"/>
          </reference>
          <reference field="2" count="1" selected="0">
            <x v="12"/>
          </reference>
        </references>
      </pivotArea>
    </chartFormat>
    <chartFormat chart="0" format="93" series="1">
      <pivotArea type="data" outline="0" fieldPosition="0">
        <references count="1">
          <reference field="4294967294" count="1" selected="0">
            <x v="0"/>
          </reference>
        </references>
      </pivotArea>
    </chartFormat>
    <chartFormat chart="0" format="94" series="1">
      <pivotArea type="data" outline="0" fieldPosition="0">
        <references count="2">
          <reference field="4294967294" count="1" selected="0">
            <x v="0"/>
          </reference>
          <reference field="2" count="1" selected="0">
            <x v="16"/>
          </reference>
        </references>
      </pivotArea>
    </chartFormat>
    <chartFormat chart="0" format="96" series="1">
      <pivotArea type="data" outline="0" fieldPosition="0">
        <references count="2">
          <reference field="4294967294" count="1" selected="0">
            <x v="0"/>
          </reference>
          <reference field="2" count="1" selected="0">
            <x v="17"/>
          </reference>
        </references>
      </pivotArea>
    </chartFormat>
    <chartFormat chart="0" format="98" series="1">
      <pivotArea type="data" outline="0" fieldPosition="0">
        <references count="2">
          <reference field="4294967294" count="1" selected="0">
            <x v="0"/>
          </reference>
          <reference field="2" count="1" selected="0">
            <x v="1"/>
          </reference>
        </references>
      </pivotArea>
    </chartFormat>
    <chartFormat chart="0" format="99" series="1">
      <pivotArea type="data" outline="0" fieldPosition="0">
        <references count="2">
          <reference field="4294967294" count="1" selected="0">
            <x v="0"/>
          </reference>
          <reference field="2" count="1" selected="0">
            <x v="18"/>
          </reference>
        </references>
      </pivotArea>
    </chartFormat>
    <chartFormat chart="0" format="100" series="1">
      <pivotArea type="data" outline="0" fieldPosition="0">
        <references count="2">
          <reference field="4294967294" count="1" selected="0">
            <x v="0"/>
          </reference>
          <reference field="2" count="1" selected="0">
            <x v="19"/>
          </reference>
        </references>
      </pivotArea>
    </chartFormat>
    <chartFormat chart="0" format="101" series="1">
      <pivotArea type="data" outline="0" fieldPosition="0">
        <references count="2">
          <reference field="4294967294" count="1" selected="0">
            <x v="0"/>
          </reference>
          <reference field="2" count="1" selected="0">
            <x v="9"/>
          </reference>
        </references>
      </pivotArea>
    </chartFormat>
    <chartFormat chart="0" format="102" series="1">
      <pivotArea type="data" outline="0" fieldPosition="0">
        <references count="2">
          <reference field="4294967294" count="1" selected="0">
            <x v="0"/>
          </reference>
          <reference field="2" count="1" selected="0">
            <x v="20"/>
          </reference>
        </references>
      </pivotArea>
    </chartFormat>
    <chartFormat chart="0" format="103" series="1">
      <pivotArea type="data" outline="0" fieldPosition="0">
        <references count="2">
          <reference field="4294967294" count="1" selected="0">
            <x v="0"/>
          </reference>
          <reference field="2" count="1" selected="0">
            <x v="21"/>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ables/table1.xml><?xml version="1.0" encoding="utf-8"?>
<table xmlns="http://schemas.openxmlformats.org/spreadsheetml/2006/main" id="2" name="Tableau2" displayName="Tableau2" ref="A2:K7" totalsRowShown="0" headerRowDxfId="98" dataDxfId="96" totalsRowDxfId="94" headerRowBorderDxfId="97" tableBorderDxfId="95">
  <autoFilter ref="A2:K7"/>
  <tableColumns count="11">
    <tableColumn id="1" name="N°" dataDxfId="93" totalsRowDxfId="92"/>
    <tableColumn id="2" name="Date" dataDxfId="91" totalsRowDxfId="90"/>
    <tableColumn id="5" name="Compte" dataDxfId="89" totalsRowDxfId="88"/>
    <tableColumn id="13" name="Chapitre" dataDxfId="87" totalsRowDxfId="86">
      <calculatedColumnFormula>LEFT(C3,2)</calculatedColumnFormula>
    </tableColumn>
    <tableColumn id="6" name="Libellés" dataDxfId="85" totalsRowDxfId="84">
      <calculatedColumnFormula>IF(C3="","",VLOOKUP(C3,Liste,2,0))</calculatedColumnFormula>
    </tableColumn>
    <tableColumn id="7" name="Nature des recettes" dataDxfId="83" totalsRowDxfId="82"/>
    <tableColumn id="10" name="Nom du débiteur" dataDxfId="81" totalsRowDxfId="80"/>
    <tableColumn id="8" name="Montant" dataDxfId="79" totalsRowDxfId="78" dataCellStyle="Milliers"/>
    <tableColumn id="9" name="Mode de paiement" dataDxfId="77" totalsRowDxfId="76"/>
    <tableColumn id="11" name="Résidence du client" dataDxfId="75" totalsRowDxfId="74"/>
    <tableColumn id="12" name="N° Quit" dataDxfId="73" totalsRowDxfId="72"/>
  </tableColumns>
  <tableStyleInfo name="TableStyleMedium15" showFirstColumn="0" showLastColumn="0" showRowStripes="0" showColumnStripes="0"/>
</table>
</file>

<file path=xl/tables/table2.xml><?xml version="1.0" encoding="utf-8"?>
<table xmlns="http://schemas.openxmlformats.org/spreadsheetml/2006/main" id="3" name="Tableau3" displayName="Tableau3" ref="A1:D14" totalsRowCount="1" headerRowDxfId="9" headerRowBorderDxfId="8">
  <autoFilter ref="A1:D13"/>
  <tableColumns count="4">
    <tableColumn id="1" name="Mois" totalsRowLabel="Total" dataDxfId="7" totalsRowDxfId="6"/>
    <tableColumn id="2" name="Recettes" totalsRowFunction="sum" dataDxfId="5" totalsRowDxfId="4" dataCellStyle="Milliers">
      <calculatedColumnFormula>GETPIVOTDATA("Montant",'Analyse par date'!$A$3,"Date",1)</calculatedColumnFormula>
    </tableColumn>
    <tableColumn id="3" name="Dépenses" totalsRowFunction="sum" dataDxfId="3" totalsRowDxfId="2" dataCellStyle="Milliers"/>
    <tableColumn id="4" name="Ecart" totalsRowFunction="sum" dataDxfId="1" totalsRowDxfId="0" dataCellStyle="Milliers">
      <calculatedColumnFormula>Tableau3[[#This Row],[Recettes]]-Tableau3[[#This Row],[Dépenses]]</calculatedColumnFormula>
    </tableColumn>
  </tableColumns>
  <tableStyleInfo name="TableStyleMedium13" showFirstColumn="0" showLastColumn="0" showRowStripes="0"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4.xml"/><Relationship Id="rId3" Type="http://schemas.openxmlformats.org/officeDocument/2006/relationships/drawing" Target="../drawings/drawing1.xml"/><Relationship Id="rId7" Type="http://schemas.openxmlformats.org/officeDocument/2006/relationships/ctrlProp" Target="../ctrlProps/ctrlProp3.xml"/><Relationship Id="rId2" Type="http://schemas.openxmlformats.org/officeDocument/2006/relationships/printerSettings" Target="../printerSettings/printerSettings2.bin"/><Relationship Id="rId1" Type="http://schemas.openxmlformats.org/officeDocument/2006/relationships/hyperlink" Target="http://forum.excel-pratique.com/excel/avoir-les-n-et-dates-automatiquement-apres-une-saisie-t74188.html" TargetMode="External"/><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 Id="rId9" Type="http://schemas.openxmlformats.org/officeDocument/2006/relationships/table" Target="../tables/table1.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8.xml"/><Relationship Id="rId3" Type="http://schemas.openxmlformats.org/officeDocument/2006/relationships/drawing" Target="../drawings/drawing2.xml"/><Relationship Id="rId7" Type="http://schemas.openxmlformats.org/officeDocument/2006/relationships/ctrlProp" Target="../ctrlProps/ctrlProp7.xml"/><Relationship Id="rId2" Type="http://schemas.openxmlformats.org/officeDocument/2006/relationships/printerSettings" Target="../printerSettings/printerSettings3.bin"/><Relationship Id="rId1" Type="http://schemas.openxmlformats.org/officeDocument/2006/relationships/pivotTable" Target="../pivotTables/pivotTable1.xml"/><Relationship Id="rId6" Type="http://schemas.openxmlformats.org/officeDocument/2006/relationships/ctrlProp" Target="../ctrlProps/ctrlProp6.xml"/><Relationship Id="rId5" Type="http://schemas.openxmlformats.org/officeDocument/2006/relationships/ctrlProp" Target="../ctrlProps/ctrlProp5.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12.xml"/><Relationship Id="rId3" Type="http://schemas.openxmlformats.org/officeDocument/2006/relationships/drawing" Target="../drawings/drawing3.xml"/><Relationship Id="rId7" Type="http://schemas.openxmlformats.org/officeDocument/2006/relationships/ctrlProp" Target="../ctrlProps/ctrlProp11.xml"/><Relationship Id="rId2" Type="http://schemas.openxmlformats.org/officeDocument/2006/relationships/printerSettings" Target="../printerSettings/printerSettings4.bin"/><Relationship Id="rId1" Type="http://schemas.openxmlformats.org/officeDocument/2006/relationships/pivotTable" Target="../pivotTables/pivotTable2.xml"/><Relationship Id="rId6" Type="http://schemas.openxmlformats.org/officeDocument/2006/relationships/ctrlProp" Target="../ctrlProps/ctrlProp10.xml"/><Relationship Id="rId5" Type="http://schemas.openxmlformats.org/officeDocument/2006/relationships/ctrlProp" Target="../ctrlProps/ctrlProp9.xml"/><Relationship Id="rId4"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6.xml"/><Relationship Id="rId3" Type="http://schemas.openxmlformats.org/officeDocument/2006/relationships/drawing" Target="../drawings/drawing4.xml"/><Relationship Id="rId7" Type="http://schemas.openxmlformats.org/officeDocument/2006/relationships/ctrlProp" Target="../ctrlProps/ctrlProp15.xml"/><Relationship Id="rId2" Type="http://schemas.openxmlformats.org/officeDocument/2006/relationships/printerSettings" Target="../printerSettings/printerSettings5.bin"/><Relationship Id="rId1" Type="http://schemas.openxmlformats.org/officeDocument/2006/relationships/pivotTable" Target="../pivotTables/pivotTable3.xml"/><Relationship Id="rId6" Type="http://schemas.openxmlformats.org/officeDocument/2006/relationships/ctrlProp" Target="../ctrlProps/ctrlProp14.xml"/><Relationship Id="rId5" Type="http://schemas.openxmlformats.org/officeDocument/2006/relationships/ctrlProp" Target="../ctrlProps/ctrlProp13.xml"/><Relationship Id="rId4" Type="http://schemas.openxmlformats.org/officeDocument/2006/relationships/vmlDrawing" Target="../drawings/vmlDrawing4.v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5.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rgb="FFFF0000"/>
  </sheetPr>
  <dimension ref="A1:B155"/>
  <sheetViews>
    <sheetView zoomScale="90" zoomScaleNormal="90" workbookViewId="0">
      <pane ySplit="1" topLeftCell="A2" activePane="bottomLeft" state="frozen"/>
      <selection pane="bottomLeft" activeCell="G16" sqref="G16"/>
    </sheetView>
  </sheetViews>
  <sheetFormatPr baseColWidth="10" defaultRowHeight="15" x14ac:dyDescent="0.25"/>
  <cols>
    <col min="1" max="1" width="8.42578125" style="23" customWidth="1"/>
    <col min="2" max="2" width="65.42578125" style="10" customWidth="1"/>
  </cols>
  <sheetData>
    <row r="1" spans="1:2" s="11" customFormat="1" x14ac:dyDescent="0.25">
      <c r="A1" s="28" t="s">
        <v>113</v>
      </c>
      <c r="B1" s="28" t="s">
        <v>0</v>
      </c>
    </row>
    <row r="2" spans="1:2" ht="15.75" x14ac:dyDescent="0.25">
      <c r="A2" s="15">
        <v>70</v>
      </c>
      <c r="B2" s="3" t="str">
        <f>UPPER("Produits de l'exploitation")</f>
        <v>PRODUITS DE L'EXPLOITATION</v>
      </c>
    </row>
    <row r="3" spans="1:2" ht="15.75" x14ac:dyDescent="0.25">
      <c r="A3" s="16">
        <v>700</v>
      </c>
      <c r="B3" s="4" t="s">
        <v>1</v>
      </c>
    </row>
    <row r="4" spans="1:2" x14ac:dyDescent="0.25">
      <c r="A4" s="17">
        <v>7000</v>
      </c>
      <c r="B4" s="5" t="s">
        <v>2</v>
      </c>
    </row>
    <row r="5" spans="1:2" x14ac:dyDescent="0.25">
      <c r="A5" s="17">
        <v>7001</v>
      </c>
      <c r="B5" s="5" t="s">
        <v>3</v>
      </c>
    </row>
    <row r="6" spans="1:2" x14ac:dyDescent="0.25">
      <c r="A6" s="17">
        <v>7002</v>
      </c>
      <c r="B6" s="5" t="s">
        <v>4</v>
      </c>
    </row>
    <row r="7" spans="1:2" x14ac:dyDescent="0.25">
      <c r="A7" s="17">
        <v>7003</v>
      </c>
      <c r="B7" s="5" t="s">
        <v>5</v>
      </c>
    </row>
    <row r="8" spans="1:2" x14ac:dyDescent="0.25">
      <c r="A8" s="17">
        <v>7009</v>
      </c>
      <c r="B8" s="5" t="s">
        <v>6</v>
      </c>
    </row>
    <row r="9" spans="1:2" ht="15.75" x14ac:dyDescent="0.25">
      <c r="A9" s="18">
        <v>701</v>
      </c>
      <c r="B9" s="6" t="s">
        <v>7</v>
      </c>
    </row>
    <row r="10" spans="1:2" x14ac:dyDescent="0.25">
      <c r="A10" s="17">
        <v>7010</v>
      </c>
      <c r="B10" s="5" t="s">
        <v>123</v>
      </c>
    </row>
    <row r="11" spans="1:2" x14ac:dyDescent="0.25">
      <c r="A11" s="17">
        <v>7011</v>
      </c>
      <c r="B11" s="5" t="s">
        <v>8</v>
      </c>
    </row>
    <row r="12" spans="1:2" x14ac:dyDescent="0.25">
      <c r="A12" s="17">
        <v>7012</v>
      </c>
      <c r="B12" s="5" t="s">
        <v>9</v>
      </c>
    </row>
    <row r="13" spans="1:2" ht="15.75" x14ac:dyDescent="0.25">
      <c r="A13" s="18">
        <v>702</v>
      </c>
      <c r="B13" s="6" t="s">
        <v>10</v>
      </c>
    </row>
    <row r="14" spans="1:2" x14ac:dyDescent="0.25">
      <c r="A14" s="17">
        <v>7020</v>
      </c>
      <c r="B14" s="5" t="s">
        <v>11</v>
      </c>
    </row>
    <row r="15" spans="1:2" x14ac:dyDescent="0.25">
      <c r="A15" s="17">
        <v>7021</v>
      </c>
      <c r="B15" s="5" t="s">
        <v>12</v>
      </c>
    </row>
    <row r="16" spans="1:2" ht="15.75" x14ac:dyDescent="0.25">
      <c r="A16" s="18">
        <v>703</v>
      </c>
      <c r="B16" s="6" t="s">
        <v>13</v>
      </c>
    </row>
    <row r="17" spans="1:2" ht="15.75" x14ac:dyDescent="0.25">
      <c r="A17" s="19">
        <v>7030</v>
      </c>
      <c r="B17" s="7" t="s">
        <v>413</v>
      </c>
    </row>
    <row r="18" spans="1:2" ht="15.75" x14ac:dyDescent="0.25">
      <c r="A18" s="19">
        <v>7031</v>
      </c>
      <c r="B18" s="7" t="s">
        <v>14</v>
      </c>
    </row>
    <row r="19" spans="1:2" ht="15.75" x14ac:dyDescent="0.25">
      <c r="A19" s="19">
        <v>7032</v>
      </c>
      <c r="B19" s="7" t="s">
        <v>15</v>
      </c>
    </row>
    <row r="20" spans="1:2" ht="15.75" x14ac:dyDescent="0.25">
      <c r="A20" s="19">
        <v>7033</v>
      </c>
      <c r="B20" s="7" t="s">
        <v>209</v>
      </c>
    </row>
    <row r="21" spans="1:2" ht="15.75" x14ac:dyDescent="0.25">
      <c r="A21" s="19">
        <v>7034</v>
      </c>
      <c r="B21" s="7" t="s">
        <v>210</v>
      </c>
    </row>
    <row r="22" spans="1:2" ht="15.75" x14ac:dyDescent="0.25">
      <c r="A22" s="19">
        <v>7035</v>
      </c>
      <c r="B22" s="7" t="s">
        <v>211</v>
      </c>
    </row>
    <row r="23" spans="1:2" ht="15.75" x14ac:dyDescent="0.25">
      <c r="A23" s="19">
        <v>7039</v>
      </c>
      <c r="B23" s="7" t="s">
        <v>16</v>
      </c>
    </row>
    <row r="24" spans="1:2" ht="15.75" x14ac:dyDescent="0.25">
      <c r="A24" s="18">
        <v>704</v>
      </c>
      <c r="B24" s="6" t="s">
        <v>122</v>
      </c>
    </row>
    <row r="25" spans="1:2" ht="15.75" x14ac:dyDescent="0.25">
      <c r="A25" s="18">
        <v>705</v>
      </c>
      <c r="B25" s="6" t="s">
        <v>17</v>
      </c>
    </row>
    <row r="26" spans="1:2" x14ac:dyDescent="0.25">
      <c r="A26" s="17">
        <v>7050</v>
      </c>
      <c r="B26" s="5" t="s">
        <v>18</v>
      </c>
    </row>
    <row r="27" spans="1:2" x14ac:dyDescent="0.25">
      <c r="A27" s="17">
        <v>7051</v>
      </c>
      <c r="B27" s="5" t="s">
        <v>19</v>
      </c>
    </row>
    <row r="28" spans="1:2" x14ac:dyDescent="0.25">
      <c r="A28" s="17">
        <v>7052</v>
      </c>
      <c r="B28" s="5" t="s">
        <v>20</v>
      </c>
    </row>
    <row r="29" spans="1:2" x14ac:dyDescent="0.25">
      <c r="A29" s="17">
        <v>7053</v>
      </c>
      <c r="B29" s="5" t="s">
        <v>21</v>
      </c>
    </row>
    <row r="30" spans="1:2" x14ac:dyDescent="0.25">
      <c r="A30" s="17">
        <v>7054</v>
      </c>
      <c r="B30" s="5" t="s">
        <v>22</v>
      </c>
    </row>
    <row r="31" spans="1:2" x14ac:dyDescent="0.25">
      <c r="A31" s="17">
        <v>7055</v>
      </c>
      <c r="B31" s="5" t="s">
        <v>23</v>
      </c>
    </row>
    <row r="32" spans="1:2" ht="15.75" x14ac:dyDescent="0.25">
      <c r="A32" s="18">
        <v>706</v>
      </c>
      <c r="B32" s="6" t="s">
        <v>24</v>
      </c>
    </row>
    <row r="33" spans="1:2" x14ac:dyDescent="0.25">
      <c r="A33" s="17">
        <v>7060</v>
      </c>
      <c r="B33" s="5" t="s">
        <v>25</v>
      </c>
    </row>
    <row r="34" spans="1:2" x14ac:dyDescent="0.25">
      <c r="A34" s="17">
        <v>7061</v>
      </c>
      <c r="B34" s="5" t="s">
        <v>26</v>
      </c>
    </row>
    <row r="35" spans="1:2" ht="15.75" x14ac:dyDescent="0.25">
      <c r="A35" s="18">
        <v>709</v>
      </c>
      <c r="B35" s="6" t="s">
        <v>121</v>
      </c>
    </row>
    <row r="36" spans="1:2" ht="15.75" x14ac:dyDescent="0.25">
      <c r="A36" s="15">
        <v>71</v>
      </c>
      <c r="B36" s="3" t="str">
        <f>UPPER("Produits domaniaux")</f>
        <v>PRODUITS DOMANIAUX</v>
      </c>
    </row>
    <row r="37" spans="1:2" ht="15.75" x14ac:dyDescent="0.25">
      <c r="A37" s="18">
        <v>710</v>
      </c>
      <c r="B37" s="6" t="s">
        <v>27</v>
      </c>
    </row>
    <row r="38" spans="1:2" ht="15.75" x14ac:dyDescent="0.25">
      <c r="A38" s="18">
        <v>711</v>
      </c>
      <c r="B38" s="6" t="s">
        <v>28</v>
      </c>
    </row>
    <row r="39" spans="1:2" ht="15.75" x14ac:dyDescent="0.25">
      <c r="A39" s="19">
        <v>7110</v>
      </c>
      <c r="B39" s="7" t="s">
        <v>29</v>
      </c>
    </row>
    <row r="40" spans="1:2" ht="15.75" x14ac:dyDescent="0.25">
      <c r="A40" s="19">
        <v>7111</v>
      </c>
      <c r="B40" s="7" t="s">
        <v>30</v>
      </c>
    </row>
    <row r="41" spans="1:2" ht="15.75" x14ac:dyDescent="0.25">
      <c r="A41" s="19">
        <v>7112</v>
      </c>
      <c r="B41" s="7" t="s">
        <v>31</v>
      </c>
    </row>
    <row r="42" spans="1:2" ht="15.75" x14ac:dyDescent="0.25">
      <c r="A42" s="18">
        <v>712</v>
      </c>
      <c r="B42" s="6" t="s">
        <v>32</v>
      </c>
    </row>
    <row r="43" spans="1:2" ht="15.75" x14ac:dyDescent="0.25">
      <c r="A43" s="19">
        <v>7120</v>
      </c>
      <c r="B43" s="7" t="s">
        <v>33</v>
      </c>
    </row>
    <row r="44" spans="1:2" ht="15.75" x14ac:dyDescent="0.25">
      <c r="A44" s="19">
        <v>7121</v>
      </c>
      <c r="B44" s="7" t="s">
        <v>34</v>
      </c>
    </row>
    <row r="45" spans="1:2" ht="15.75" x14ac:dyDescent="0.25">
      <c r="A45" s="19">
        <v>7122</v>
      </c>
      <c r="B45" s="7" t="s">
        <v>35</v>
      </c>
    </row>
    <row r="46" spans="1:2" ht="15.75" x14ac:dyDescent="0.25">
      <c r="A46" s="19">
        <v>7129</v>
      </c>
      <c r="B46" s="7" t="s">
        <v>31</v>
      </c>
    </row>
    <row r="47" spans="1:2" ht="15.75" x14ac:dyDescent="0.25">
      <c r="A47" s="18">
        <v>713</v>
      </c>
      <c r="B47" s="6" t="s">
        <v>36</v>
      </c>
    </row>
    <row r="48" spans="1:2" ht="15.75" x14ac:dyDescent="0.25">
      <c r="A48" s="18">
        <v>714</v>
      </c>
      <c r="B48" s="6" t="s">
        <v>212</v>
      </c>
    </row>
    <row r="49" spans="1:2" ht="15.75" x14ac:dyDescent="0.25">
      <c r="A49" s="19">
        <v>7140</v>
      </c>
      <c r="B49" s="7" t="s">
        <v>213</v>
      </c>
    </row>
    <row r="50" spans="1:2" ht="15.75" x14ac:dyDescent="0.25">
      <c r="A50" s="19">
        <v>7141</v>
      </c>
      <c r="B50" s="7" t="s">
        <v>214</v>
      </c>
    </row>
    <row r="51" spans="1:2" ht="15.75" x14ac:dyDescent="0.25">
      <c r="A51" s="18">
        <v>715</v>
      </c>
      <c r="B51" s="6" t="s">
        <v>37</v>
      </c>
    </row>
    <row r="52" spans="1:2" ht="15.75" x14ac:dyDescent="0.25">
      <c r="A52" s="19">
        <v>7150</v>
      </c>
      <c r="B52" s="7" t="s">
        <v>38</v>
      </c>
    </row>
    <row r="53" spans="1:2" ht="15.75" x14ac:dyDescent="0.25">
      <c r="A53" s="19">
        <v>7151</v>
      </c>
      <c r="B53" s="7" t="s">
        <v>39</v>
      </c>
    </row>
    <row r="54" spans="1:2" ht="15.75" x14ac:dyDescent="0.25">
      <c r="A54" s="18">
        <v>716</v>
      </c>
      <c r="B54" s="6" t="s">
        <v>40</v>
      </c>
    </row>
    <row r="55" spans="1:2" ht="15.75" x14ac:dyDescent="0.25">
      <c r="A55" s="18">
        <v>717</v>
      </c>
      <c r="B55" s="6" t="s">
        <v>41</v>
      </c>
    </row>
    <row r="56" spans="1:2" ht="15.75" x14ac:dyDescent="0.25">
      <c r="A56" s="18">
        <v>719</v>
      </c>
      <c r="B56" s="6" t="s">
        <v>42</v>
      </c>
    </row>
    <row r="57" spans="1:2" ht="15.75" x14ac:dyDescent="0.25">
      <c r="A57" s="19">
        <v>7190</v>
      </c>
      <c r="B57" s="7" t="s">
        <v>43</v>
      </c>
    </row>
    <row r="58" spans="1:2" ht="15.75" x14ac:dyDescent="0.25">
      <c r="A58" s="19">
        <v>7191</v>
      </c>
      <c r="B58" s="7" t="s">
        <v>44</v>
      </c>
    </row>
    <row r="59" spans="1:2" ht="15.75" x14ac:dyDescent="0.25">
      <c r="A59" s="15">
        <v>72</v>
      </c>
      <c r="B59" s="3" t="str">
        <f>UPPER("Produits financiers")</f>
        <v>PRODUITS FINANCIERS</v>
      </c>
    </row>
    <row r="60" spans="1:2" ht="15.75" x14ac:dyDescent="0.25">
      <c r="A60" s="18">
        <v>721</v>
      </c>
      <c r="B60" s="4" t="s">
        <v>45</v>
      </c>
    </row>
    <row r="61" spans="1:2" ht="15.75" x14ac:dyDescent="0.25">
      <c r="A61" s="18">
        <v>722</v>
      </c>
      <c r="B61" s="4" t="s">
        <v>46</v>
      </c>
    </row>
    <row r="62" spans="1:2" ht="15.75" x14ac:dyDescent="0.25">
      <c r="A62" s="18">
        <v>727</v>
      </c>
      <c r="B62" s="4" t="s">
        <v>47</v>
      </c>
    </row>
    <row r="63" spans="1:2" ht="15.75" x14ac:dyDescent="0.25">
      <c r="A63" s="19">
        <v>7270</v>
      </c>
      <c r="B63" s="8" t="s">
        <v>48</v>
      </c>
    </row>
    <row r="64" spans="1:2" ht="15.75" x14ac:dyDescent="0.25">
      <c r="A64" s="19">
        <v>7271</v>
      </c>
      <c r="B64" s="8" t="s">
        <v>49</v>
      </c>
    </row>
    <row r="65" spans="1:2" ht="15.75" x14ac:dyDescent="0.25">
      <c r="A65" s="18">
        <v>728</v>
      </c>
      <c r="B65" s="4" t="s">
        <v>50</v>
      </c>
    </row>
    <row r="66" spans="1:2" ht="15.75" x14ac:dyDescent="0.25">
      <c r="A66" s="20">
        <v>729</v>
      </c>
      <c r="B66" s="4" t="s">
        <v>51</v>
      </c>
    </row>
    <row r="67" spans="1:2" ht="15.75" x14ac:dyDescent="0.25">
      <c r="A67" s="15">
        <v>73</v>
      </c>
      <c r="B67" s="3" t="str">
        <f>UPPER("Recouvrement participations")</f>
        <v>RECOUVREMENT PARTICIPATIONS</v>
      </c>
    </row>
    <row r="68" spans="1:2" ht="15.75" x14ac:dyDescent="0.25">
      <c r="A68" s="16">
        <v>730</v>
      </c>
      <c r="B68" s="4" t="s">
        <v>52</v>
      </c>
    </row>
    <row r="69" spans="1:2" x14ac:dyDescent="0.25">
      <c r="A69" s="17">
        <v>7300</v>
      </c>
      <c r="B69" s="5" t="s">
        <v>53</v>
      </c>
    </row>
    <row r="70" spans="1:2" x14ac:dyDescent="0.25">
      <c r="A70" s="17">
        <v>7301</v>
      </c>
      <c r="B70" s="5" t="s">
        <v>54</v>
      </c>
    </row>
    <row r="71" spans="1:2" x14ac:dyDescent="0.25">
      <c r="A71" s="17">
        <v>7302</v>
      </c>
      <c r="B71" s="5" t="s">
        <v>55</v>
      </c>
    </row>
    <row r="72" spans="1:2" ht="15.75" x14ac:dyDescent="0.25">
      <c r="A72" s="18">
        <v>731</v>
      </c>
      <c r="B72" s="6" t="s">
        <v>56</v>
      </c>
    </row>
    <row r="73" spans="1:2" ht="15.75" x14ac:dyDescent="0.25">
      <c r="A73" s="18">
        <v>732</v>
      </c>
      <c r="B73" s="6" t="s">
        <v>57</v>
      </c>
    </row>
    <row r="74" spans="1:2" x14ac:dyDescent="0.25">
      <c r="A74" s="17">
        <v>7320</v>
      </c>
      <c r="B74" s="5" t="s">
        <v>58</v>
      </c>
    </row>
    <row r="75" spans="1:2" x14ac:dyDescent="0.25">
      <c r="A75" s="17">
        <v>7321</v>
      </c>
      <c r="B75" s="5" t="s">
        <v>59</v>
      </c>
    </row>
    <row r="76" spans="1:2" x14ac:dyDescent="0.25">
      <c r="A76" s="17">
        <v>7329</v>
      </c>
      <c r="B76" s="5" t="s">
        <v>60</v>
      </c>
    </row>
    <row r="77" spans="1:2" ht="15.75" x14ac:dyDescent="0.25">
      <c r="A77" s="15">
        <v>74</v>
      </c>
      <c r="B77" s="3" t="str">
        <f>UPPER("Produits divers")</f>
        <v>PRODUITS DIVERS</v>
      </c>
    </row>
    <row r="78" spans="1:2" ht="15.75" x14ac:dyDescent="0.25">
      <c r="A78" s="18">
        <v>740</v>
      </c>
      <c r="B78" s="6" t="s">
        <v>61</v>
      </c>
    </row>
    <row r="79" spans="1:2" ht="15.75" x14ac:dyDescent="0.25">
      <c r="A79" s="18">
        <v>741</v>
      </c>
      <c r="B79" s="6" t="s">
        <v>62</v>
      </c>
    </row>
    <row r="80" spans="1:2" ht="15.75" x14ac:dyDescent="0.25">
      <c r="A80" s="18">
        <v>742</v>
      </c>
      <c r="B80" s="6" t="s">
        <v>63</v>
      </c>
    </row>
    <row r="81" spans="1:2" ht="15.75" x14ac:dyDescent="0.25">
      <c r="A81" s="21">
        <v>75</v>
      </c>
      <c r="B81" s="3" t="str">
        <f>UPPER("Impôts et taxes contribution directs")</f>
        <v>IMPÔTS ET TAXES CONTRIBUTION DIRECTS</v>
      </c>
    </row>
    <row r="82" spans="1:2" ht="15.75" x14ac:dyDescent="0.25">
      <c r="A82" s="16">
        <v>750</v>
      </c>
      <c r="B82" s="4" t="s">
        <v>64</v>
      </c>
    </row>
    <row r="83" spans="1:2" x14ac:dyDescent="0.25">
      <c r="A83" s="17">
        <v>7500</v>
      </c>
      <c r="B83" s="5" t="s">
        <v>65</v>
      </c>
    </row>
    <row r="84" spans="1:2" x14ac:dyDescent="0.25">
      <c r="A84" s="17">
        <v>7501</v>
      </c>
      <c r="B84" s="5" t="s">
        <v>66</v>
      </c>
    </row>
    <row r="85" spans="1:2" x14ac:dyDescent="0.25">
      <c r="A85" s="17">
        <v>7502</v>
      </c>
      <c r="B85" s="5" t="s">
        <v>67</v>
      </c>
    </row>
    <row r="86" spans="1:2" x14ac:dyDescent="0.25">
      <c r="A86" s="17">
        <v>7503</v>
      </c>
      <c r="B86" s="5" t="s">
        <v>68</v>
      </c>
    </row>
    <row r="87" spans="1:2" x14ac:dyDescent="0.25">
      <c r="A87" s="17">
        <v>7504</v>
      </c>
      <c r="B87" s="5" t="s">
        <v>69</v>
      </c>
    </row>
    <row r="88" spans="1:2" x14ac:dyDescent="0.25">
      <c r="A88" s="17">
        <v>7505</v>
      </c>
      <c r="B88" s="5" t="s">
        <v>70</v>
      </c>
    </row>
    <row r="89" spans="1:2" ht="15.75" x14ac:dyDescent="0.25">
      <c r="A89" s="18">
        <v>751</v>
      </c>
      <c r="B89" s="6" t="s">
        <v>71</v>
      </c>
    </row>
    <row r="90" spans="1:2" x14ac:dyDescent="0.25">
      <c r="A90" s="17">
        <v>7510</v>
      </c>
      <c r="B90" s="5" t="s">
        <v>72</v>
      </c>
    </row>
    <row r="91" spans="1:2" x14ac:dyDescent="0.25">
      <c r="A91" s="17">
        <v>7511</v>
      </c>
      <c r="B91" s="5" t="s">
        <v>73</v>
      </c>
    </row>
    <row r="92" spans="1:2" x14ac:dyDescent="0.25">
      <c r="A92" s="17">
        <v>7512</v>
      </c>
      <c r="B92" s="5" t="s">
        <v>74</v>
      </c>
    </row>
    <row r="93" spans="1:2" x14ac:dyDescent="0.25">
      <c r="A93" s="22">
        <v>7513</v>
      </c>
      <c r="B93" s="5" t="s">
        <v>75</v>
      </c>
    </row>
    <row r="94" spans="1:2" ht="15.75" x14ac:dyDescent="0.25">
      <c r="A94" s="18">
        <v>752</v>
      </c>
      <c r="B94" s="6" t="s">
        <v>76</v>
      </c>
    </row>
    <row r="95" spans="1:2" x14ac:dyDescent="0.25">
      <c r="A95" s="17">
        <v>7520</v>
      </c>
      <c r="B95" s="9" t="s">
        <v>77</v>
      </c>
    </row>
    <row r="96" spans="1:2" x14ac:dyDescent="0.25">
      <c r="A96" s="17">
        <v>7521</v>
      </c>
      <c r="B96" s="9" t="s">
        <v>78</v>
      </c>
    </row>
    <row r="97" spans="1:2" x14ac:dyDescent="0.25">
      <c r="A97" s="17">
        <v>7522</v>
      </c>
      <c r="B97" s="9" t="s">
        <v>79</v>
      </c>
    </row>
    <row r="98" spans="1:2" x14ac:dyDescent="0.25">
      <c r="A98" s="17">
        <v>7523</v>
      </c>
      <c r="B98" s="9" t="s">
        <v>80</v>
      </c>
    </row>
    <row r="99" spans="1:2" x14ac:dyDescent="0.25">
      <c r="A99" s="17">
        <v>7524</v>
      </c>
      <c r="B99" s="9" t="s">
        <v>81</v>
      </c>
    </row>
    <row r="100" spans="1:2" x14ac:dyDescent="0.25">
      <c r="A100" s="17">
        <v>7525</v>
      </c>
      <c r="B100" s="9" t="s">
        <v>82</v>
      </c>
    </row>
    <row r="101" spans="1:2" ht="15.75" x14ac:dyDescent="0.25">
      <c r="A101" s="15">
        <v>76</v>
      </c>
      <c r="B101" s="3" t="str">
        <f>UPPER("Impôts et taxes indirects")</f>
        <v>IMPÔTS ET TAXES INDIRECTS</v>
      </c>
    </row>
    <row r="102" spans="1:2" ht="15.75" x14ac:dyDescent="0.25">
      <c r="A102" s="18">
        <v>760</v>
      </c>
      <c r="B102" s="6" t="s">
        <v>83</v>
      </c>
    </row>
    <row r="103" spans="1:2" ht="15.75" x14ac:dyDescent="0.25">
      <c r="A103" s="18">
        <v>761</v>
      </c>
      <c r="B103" s="6" t="s">
        <v>84</v>
      </c>
    </row>
    <row r="104" spans="1:2" ht="15.75" x14ac:dyDescent="0.25">
      <c r="A104" s="18">
        <v>762</v>
      </c>
      <c r="B104" s="6" t="s">
        <v>85</v>
      </c>
    </row>
    <row r="105" spans="1:2" ht="15.75" x14ac:dyDescent="0.25">
      <c r="A105" s="18">
        <v>763</v>
      </c>
      <c r="B105" s="6" t="s">
        <v>86</v>
      </c>
    </row>
    <row r="106" spans="1:2" ht="15.75" x14ac:dyDescent="0.25">
      <c r="A106" s="18">
        <v>764</v>
      </c>
      <c r="B106" s="6" t="s">
        <v>87</v>
      </c>
    </row>
    <row r="107" spans="1:2" ht="15.75" x14ac:dyDescent="0.25">
      <c r="A107" s="18">
        <v>765</v>
      </c>
      <c r="B107" s="6" t="s">
        <v>88</v>
      </c>
    </row>
    <row r="108" spans="1:2" ht="15.75" x14ac:dyDescent="0.25">
      <c r="A108" s="18">
        <v>766</v>
      </c>
      <c r="B108" s="6" t="s">
        <v>89</v>
      </c>
    </row>
    <row r="109" spans="1:2" ht="15.75" x14ac:dyDescent="0.25">
      <c r="A109" s="18">
        <v>767</v>
      </c>
      <c r="B109" s="6" t="s">
        <v>90</v>
      </c>
    </row>
    <row r="110" spans="1:2" ht="15.75" x14ac:dyDescent="0.25">
      <c r="A110" s="18">
        <v>769</v>
      </c>
      <c r="B110" s="6" t="s">
        <v>91</v>
      </c>
    </row>
    <row r="111" spans="1:2" ht="15.75" x14ac:dyDescent="0.25">
      <c r="A111" s="19">
        <v>7690</v>
      </c>
      <c r="B111" s="7" t="s">
        <v>92</v>
      </c>
    </row>
    <row r="112" spans="1:2" ht="15.75" x14ac:dyDescent="0.25">
      <c r="A112" s="19">
        <v>7691</v>
      </c>
      <c r="B112" s="7" t="s">
        <v>93</v>
      </c>
    </row>
    <row r="113" spans="1:2" ht="15.75" x14ac:dyDescent="0.25">
      <c r="A113" s="19">
        <v>7692</v>
      </c>
      <c r="B113" s="7" t="s">
        <v>94</v>
      </c>
    </row>
    <row r="114" spans="1:2" ht="15.75" x14ac:dyDescent="0.25">
      <c r="A114" s="19">
        <v>7693</v>
      </c>
      <c r="B114" s="1" t="s">
        <v>95</v>
      </c>
    </row>
    <row r="115" spans="1:2" ht="15.75" x14ac:dyDescent="0.25">
      <c r="A115" s="21">
        <v>78</v>
      </c>
      <c r="B115" s="3" t="str">
        <f>UPPER("Travaux Equip. &amp; réduct. Change")</f>
        <v>TRAVAUX EQUIP. &amp; RÉDUCT. CHANGE</v>
      </c>
    </row>
    <row r="116" spans="1:2" ht="15.75" x14ac:dyDescent="0.25">
      <c r="A116" s="18">
        <v>782</v>
      </c>
      <c r="B116" s="6" t="s">
        <v>96</v>
      </c>
    </row>
    <row r="117" spans="1:2" ht="15.75" x14ac:dyDescent="0.25">
      <c r="A117" s="18">
        <v>783</v>
      </c>
      <c r="B117" s="6" t="s">
        <v>97</v>
      </c>
    </row>
    <row r="118" spans="1:2" ht="15.75" x14ac:dyDescent="0.25">
      <c r="A118" s="18">
        <v>784</v>
      </c>
      <c r="B118" s="4" t="s">
        <v>98</v>
      </c>
    </row>
    <row r="119" spans="1:2" ht="15.75" x14ac:dyDescent="0.25">
      <c r="A119" s="18">
        <v>787</v>
      </c>
      <c r="B119" s="4" t="s">
        <v>99</v>
      </c>
    </row>
    <row r="120" spans="1:2" ht="15.75" x14ac:dyDescent="0.25">
      <c r="A120" s="15">
        <v>79</v>
      </c>
      <c r="B120" s="3" t="str">
        <f>UPPER("Produits exceptionnels")</f>
        <v>PRODUITS EXCEPTIONNELS</v>
      </c>
    </row>
    <row r="121" spans="1:2" ht="15.75" x14ac:dyDescent="0.25">
      <c r="A121" s="18">
        <v>793</v>
      </c>
      <c r="B121" s="6" t="s">
        <v>100</v>
      </c>
    </row>
    <row r="122" spans="1:2" ht="15.75" x14ac:dyDescent="0.25">
      <c r="A122" s="18">
        <v>794</v>
      </c>
      <c r="B122" s="6" t="s">
        <v>101</v>
      </c>
    </row>
    <row r="123" spans="1:2" ht="15.75" x14ac:dyDescent="0.25">
      <c r="A123" s="18">
        <v>798</v>
      </c>
      <c r="B123" s="6" t="s">
        <v>102</v>
      </c>
    </row>
    <row r="124" spans="1:2" ht="15.75" x14ac:dyDescent="0.25">
      <c r="A124" s="18">
        <v>799</v>
      </c>
      <c r="B124" s="6" t="s">
        <v>103</v>
      </c>
    </row>
    <row r="125" spans="1:2" ht="15.75" x14ac:dyDescent="0.25">
      <c r="A125" s="15">
        <v>82</v>
      </c>
      <c r="B125" s="3" t="str">
        <f>UPPER("Résultats antérieurs")</f>
        <v>RÉSULTATS ANTÉRIEURS</v>
      </c>
    </row>
    <row r="126" spans="1:2" ht="15.75" x14ac:dyDescent="0.25">
      <c r="A126" s="16">
        <v>820</v>
      </c>
      <c r="B126" s="4" t="s">
        <v>104</v>
      </c>
    </row>
    <row r="127" spans="1:2" x14ac:dyDescent="0.25">
      <c r="A127" s="17">
        <v>8201</v>
      </c>
      <c r="B127" s="5" t="s">
        <v>105</v>
      </c>
    </row>
    <row r="128" spans="1:2" x14ac:dyDescent="0.25">
      <c r="A128" s="17">
        <v>8202</v>
      </c>
      <c r="B128" s="5" t="s">
        <v>106</v>
      </c>
    </row>
    <row r="129" spans="1:2" ht="15.75" x14ac:dyDescent="0.25">
      <c r="A129" s="18">
        <v>828</v>
      </c>
      <c r="B129" s="6" t="s">
        <v>107</v>
      </c>
    </row>
    <row r="130" spans="1:2" x14ac:dyDescent="0.25">
      <c r="A130" s="17">
        <v>8280</v>
      </c>
      <c r="B130" s="5" t="s">
        <v>108</v>
      </c>
    </row>
    <row r="131" spans="1:2" x14ac:dyDescent="0.25">
      <c r="A131" s="17">
        <v>8281</v>
      </c>
      <c r="B131" s="5" t="s">
        <v>109</v>
      </c>
    </row>
    <row r="132" spans="1:2" ht="15.75" x14ac:dyDescent="0.25">
      <c r="A132" s="18">
        <v>829</v>
      </c>
      <c r="B132" s="6" t="s">
        <v>110</v>
      </c>
    </row>
    <row r="133" spans="1:2" x14ac:dyDescent="0.25">
      <c r="A133" s="17">
        <v>8290</v>
      </c>
      <c r="B133" s="5" t="s">
        <v>111</v>
      </c>
    </row>
    <row r="134" spans="1:2" x14ac:dyDescent="0.25">
      <c r="A134" s="17">
        <v>8295</v>
      </c>
      <c r="B134" s="2" t="s">
        <v>112</v>
      </c>
    </row>
    <row r="135" spans="1:2" x14ac:dyDescent="0.25">
      <c r="A135" s="27">
        <v>105</v>
      </c>
      <c r="B135" s="9" t="s">
        <v>129</v>
      </c>
    </row>
    <row r="136" spans="1:2" x14ac:dyDescent="0.25">
      <c r="A136" s="27">
        <v>115</v>
      </c>
      <c r="B136" s="9" t="s">
        <v>130</v>
      </c>
    </row>
    <row r="137" spans="1:2" x14ac:dyDescent="0.25">
      <c r="A137" s="27"/>
      <c r="B137" s="5"/>
    </row>
    <row r="138" spans="1:2" x14ac:dyDescent="0.25">
      <c r="A138" s="27"/>
      <c r="B138" s="5"/>
    </row>
    <row r="139" spans="1:2" x14ac:dyDescent="0.25">
      <c r="A139" s="27"/>
      <c r="B139" s="5"/>
    </row>
    <row r="140" spans="1:2" x14ac:dyDescent="0.25">
      <c r="A140" s="27"/>
      <c r="B140" s="5"/>
    </row>
    <row r="141" spans="1:2" x14ac:dyDescent="0.25">
      <c r="A141" s="27"/>
      <c r="B141" s="5"/>
    </row>
    <row r="142" spans="1:2" x14ac:dyDescent="0.25">
      <c r="A142" s="27"/>
      <c r="B142" s="5"/>
    </row>
    <row r="143" spans="1:2" x14ac:dyDescent="0.25">
      <c r="A143" s="27"/>
      <c r="B143" s="5"/>
    </row>
    <row r="144" spans="1:2" x14ac:dyDescent="0.25">
      <c r="A144" s="27"/>
      <c r="B144" s="5"/>
    </row>
    <row r="145" spans="1:2" x14ac:dyDescent="0.25">
      <c r="A145" s="27"/>
      <c r="B145" s="5"/>
    </row>
    <row r="146" spans="1:2" x14ac:dyDescent="0.25">
      <c r="A146" s="27"/>
      <c r="B146" s="5"/>
    </row>
    <row r="147" spans="1:2" x14ac:dyDescent="0.25">
      <c r="A147" s="27"/>
      <c r="B147" s="5"/>
    </row>
    <row r="148" spans="1:2" x14ac:dyDescent="0.25">
      <c r="A148" s="27"/>
      <c r="B148" s="5"/>
    </row>
    <row r="149" spans="1:2" x14ac:dyDescent="0.25">
      <c r="A149" s="27"/>
      <c r="B149" s="5"/>
    </row>
    <row r="150" spans="1:2" x14ac:dyDescent="0.25">
      <c r="A150" s="27"/>
      <c r="B150" s="5"/>
    </row>
    <row r="151" spans="1:2" x14ac:dyDescent="0.25">
      <c r="A151" s="27"/>
      <c r="B151" s="5"/>
    </row>
    <row r="152" spans="1:2" x14ac:dyDescent="0.25">
      <c r="A152" s="27"/>
      <c r="B152" s="5"/>
    </row>
    <row r="153" spans="1:2" x14ac:dyDescent="0.25">
      <c r="A153" s="27"/>
      <c r="B153" s="5"/>
    </row>
    <row r="154" spans="1:2" x14ac:dyDescent="0.25">
      <c r="A154" s="27"/>
      <c r="B154" s="5"/>
    </row>
    <row r="155" spans="1:2" x14ac:dyDescent="0.25">
      <c r="A155" s="27"/>
      <c r="B155" s="5"/>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rgb="FFFFC000"/>
    <pageSetUpPr fitToPage="1"/>
  </sheetPr>
  <dimension ref="A1:O7"/>
  <sheetViews>
    <sheetView showGridLines="0" tabSelected="1" defaultGridColor="0" colorId="48" zoomScale="90" zoomScaleNormal="90" workbookViewId="0">
      <pane ySplit="2" topLeftCell="A3" activePane="bottomLeft" state="frozen"/>
      <selection pane="bottomLeft" activeCell="E21" sqref="E21"/>
    </sheetView>
  </sheetViews>
  <sheetFormatPr baseColWidth="10" defaultRowHeight="15" x14ac:dyDescent="0.25"/>
  <cols>
    <col min="1" max="1" width="5.42578125" style="11" customWidth="1"/>
    <col min="2" max="2" width="11.85546875" bestFit="1" customWidth="1"/>
    <col min="3" max="4" width="9" style="26" customWidth="1"/>
    <col min="5" max="5" width="45.42578125" customWidth="1"/>
    <col min="6" max="6" width="34.42578125" customWidth="1"/>
    <col min="7" max="7" width="16.42578125" customWidth="1"/>
    <col min="8" max="8" width="15" bestFit="1" customWidth="1"/>
    <col min="9" max="9" width="12.28515625" customWidth="1"/>
    <col min="11" max="11" width="14.7109375" bestFit="1" customWidth="1"/>
    <col min="12" max="12" width="7.85546875" customWidth="1"/>
    <col min="13" max="13" width="12.28515625" style="14" hidden="1" customWidth="1"/>
    <col min="14" max="15" width="11.42578125" style="14" customWidth="1"/>
    <col min="16" max="16384" width="11.42578125" style="14"/>
  </cols>
  <sheetData>
    <row r="1" spans="1:15" ht="30" customHeight="1" x14ac:dyDescent="0.25">
      <c r="A1" s="12"/>
      <c r="B1" s="12"/>
      <c r="C1" s="12"/>
      <c r="D1" s="12"/>
      <c r="E1" s="24"/>
      <c r="G1" s="414" t="s">
        <v>138</v>
      </c>
      <c r="H1" s="415">
        <f>SUM(Tableau2[Montant])</f>
        <v>405000</v>
      </c>
      <c r="J1" s="14"/>
      <c r="K1" s="14"/>
      <c r="L1" s="14"/>
      <c r="O1" s="423" t="s">
        <v>429</v>
      </c>
    </row>
    <row r="2" spans="1:15" s="84" customFormat="1" ht="25.5" x14ac:dyDescent="0.25">
      <c r="A2" s="121" t="s">
        <v>116</v>
      </c>
      <c r="B2" s="121" t="s">
        <v>117</v>
      </c>
      <c r="C2" s="121" t="s">
        <v>113</v>
      </c>
      <c r="D2" s="121" t="s">
        <v>208</v>
      </c>
      <c r="E2" s="122" t="s">
        <v>114</v>
      </c>
      <c r="F2" s="122" t="s">
        <v>119</v>
      </c>
      <c r="G2" s="122" t="s">
        <v>414</v>
      </c>
      <c r="H2" s="123" t="s">
        <v>115</v>
      </c>
      <c r="I2" s="124" t="s">
        <v>120</v>
      </c>
      <c r="J2" s="124" t="s">
        <v>118</v>
      </c>
      <c r="K2" s="125" t="s">
        <v>137</v>
      </c>
    </row>
    <row r="3" spans="1:15" s="13" customFormat="1" x14ac:dyDescent="0.25">
      <c r="A3" s="129">
        <f>IF(Tableau2[[#This Row],[Date]]&gt;0,ROW()-2,"")</f>
        <v>1</v>
      </c>
      <c r="B3" s="422">
        <v>42371</v>
      </c>
      <c r="C3" s="419">
        <v>7140</v>
      </c>
      <c r="D3" s="130" t="str">
        <f t="shared" ref="D3:D7" si="0">LEFT(C3,2)</f>
        <v>71</v>
      </c>
      <c r="E3" s="131" t="str">
        <f>IF(C3="","",VLOOKUP(C3,Liste,2,0))</f>
        <v>Droit de places sur les marchés</v>
      </c>
      <c r="F3" s="420" t="s">
        <v>415</v>
      </c>
      <c r="G3" s="420" t="s">
        <v>420</v>
      </c>
      <c r="H3" s="421">
        <v>145000</v>
      </c>
      <c r="I3" s="420" t="s">
        <v>124</v>
      </c>
      <c r="J3" s="420"/>
      <c r="K3" s="420"/>
      <c r="M3" s="25" t="s">
        <v>124</v>
      </c>
    </row>
    <row r="4" spans="1:15" x14ac:dyDescent="0.25">
      <c r="A4" s="129">
        <v>2</v>
      </c>
      <c r="B4" s="422">
        <v>42372</v>
      </c>
      <c r="C4" s="419">
        <v>7055</v>
      </c>
      <c r="D4" s="130" t="str">
        <f t="shared" si="0"/>
        <v>70</v>
      </c>
      <c r="E4" s="131" t="str">
        <f>IF(C4="","",VLOOKUP(C4,Liste,2,0))</f>
        <v>Matériel transport</v>
      </c>
      <c r="F4" s="420" t="s">
        <v>416</v>
      </c>
      <c r="G4" s="420" t="s">
        <v>421</v>
      </c>
      <c r="H4" s="421">
        <v>18000</v>
      </c>
      <c r="I4" s="420" t="s">
        <v>124</v>
      </c>
      <c r="J4" s="420"/>
      <c r="K4" s="420"/>
      <c r="L4" s="14"/>
      <c r="M4" t="s">
        <v>125</v>
      </c>
    </row>
    <row r="5" spans="1:15" x14ac:dyDescent="0.25">
      <c r="A5" s="129">
        <v>3</v>
      </c>
      <c r="B5" s="422">
        <v>42374</v>
      </c>
      <c r="C5" s="419">
        <v>7030</v>
      </c>
      <c r="D5" s="130" t="str">
        <f t="shared" si="0"/>
        <v>70</v>
      </c>
      <c r="E5" s="131" t="str">
        <f>IF(C5="","",VLOOKUP(C5,Liste,2,0))</f>
        <v>Vente de timbres pour les actes adm. Et d'état civil</v>
      </c>
      <c r="F5" s="420" t="s">
        <v>417</v>
      </c>
      <c r="G5" s="420" t="s">
        <v>422</v>
      </c>
      <c r="H5" s="421">
        <v>65000</v>
      </c>
      <c r="I5" s="420" t="s">
        <v>124</v>
      </c>
      <c r="J5" s="420"/>
      <c r="K5" s="420"/>
      <c r="L5" s="14"/>
      <c r="M5" t="s">
        <v>126</v>
      </c>
    </row>
    <row r="6" spans="1:15" x14ac:dyDescent="0.25">
      <c r="A6" s="129">
        <v>4</v>
      </c>
      <c r="B6" s="422">
        <v>42414</v>
      </c>
      <c r="C6" s="419">
        <v>7031</v>
      </c>
      <c r="D6" s="130" t="str">
        <f t="shared" si="0"/>
        <v>70</v>
      </c>
      <c r="E6" s="131" t="str">
        <f>IF(C6="","",VLOOKUP(C6,Liste,2,0))</f>
        <v>Droits mariage</v>
      </c>
      <c r="F6" s="420" t="s">
        <v>418</v>
      </c>
      <c r="G6" s="420" t="s">
        <v>423</v>
      </c>
      <c r="H6" s="421">
        <v>95000</v>
      </c>
      <c r="I6" s="420" t="s">
        <v>124</v>
      </c>
      <c r="J6" s="420"/>
      <c r="K6" s="420"/>
      <c r="L6" s="14"/>
    </row>
    <row r="7" spans="1:15" x14ac:dyDescent="0.25">
      <c r="A7" s="129">
        <v>5</v>
      </c>
      <c r="B7" s="422">
        <v>42419</v>
      </c>
      <c r="C7" s="419">
        <v>7140</v>
      </c>
      <c r="D7" s="130" t="str">
        <f t="shared" si="0"/>
        <v>71</v>
      </c>
      <c r="E7" s="131" t="str">
        <f>IF(C7="","",VLOOKUP(C7,Liste,2,0))</f>
        <v>Droit de places sur les marchés</v>
      </c>
      <c r="F7" s="420" t="s">
        <v>419</v>
      </c>
      <c r="G7" s="420" t="s">
        <v>424</v>
      </c>
      <c r="H7" s="421">
        <v>82000</v>
      </c>
      <c r="I7" s="420" t="s">
        <v>124</v>
      </c>
      <c r="J7" s="420"/>
      <c r="K7" s="420"/>
      <c r="L7" s="14"/>
    </row>
  </sheetData>
  <sheetProtection sheet="1" objects="1" scenarios="1"/>
  <protectedRanges>
    <protectedRange algorithmName="SHA-512" hashValue="SQmeO+zkryBwJ8TrCTZLrKTYOEMN31HJQ7iTe1KqgqG2WzG/gYsGESi+J9yxfZCwJQvLpd7P9kEiMdX0a52+vg==" saltValue="QwzJCk/wIvDDdDObNDswgA==" spinCount="100000" sqref="H1:K7 G1 F2:G7 A1:E2 B3:C7" name="Plage1"/>
  </protectedRanges>
  <dataConsolidate/>
  <dataValidations count="5">
    <dataValidation type="list" errorStyle="warning" allowBlank="1" showInputMessage="1" showErrorMessage="1" error="Entrer le N° de compte" sqref="C4:C7">
      <formula1>d.Compte</formula1>
    </dataValidation>
    <dataValidation type="list" errorStyle="warning" allowBlank="1" showInputMessage="1" showErrorMessage="1" error="Entrer le N° de compte" prompt="Entrer le N° de compte ou sélectionner dans la liste en cliquant sur le boution" sqref="C3">
      <formula1>d.Compte</formula1>
    </dataValidation>
    <dataValidation type="list" allowBlank="1" showInputMessage="1" showErrorMessage="1" sqref="I3:I7">
      <formula1>$M$3:$M$5</formula1>
    </dataValidation>
    <dataValidation type="date" allowBlank="1" showInputMessage="1" showErrorMessage="1" sqref="B3:B7">
      <formula1>42370</formula1>
      <formula2>42735</formula2>
    </dataValidation>
    <dataValidation type="whole" errorStyle="information" operator="notEqual" allowBlank="1" showInputMessage="1" showErrorMessage="1" errorTitle="Saisie incorrecte" error="Saisir le montant de l'opération" sqref="H3:H7">
      <formula1>-1</formula1>
    </dataValidation>
  </dataValidations>
  <hyperlinks>
    <hyperlink ref="O1" r:id="rId1"/>
  </hyperlinks>
  <pageMargins left="0.27559055118110237" right="0.19685039370078741" top="0.55118110236220474" bottom="0.55118110236220474" header="0.31496062992125984" footer="0.31496062992125984"/>
  <pageSetup paperSize="9" scale="78" fitToHeight="0" orientation="landscape" r:id="rId2"/>
  <headerFooter>
    <oddHeader>&amp;LPréfecture de Haho - Délégation spéciale&amp;C&amp;"-,Gras"&amp;12BORDEREAU DE TITRE N° ........&amp;RBudget ..................</oddHeader>
    <oddFooter>&amp;LImprimé le &amp;D à  &amp;T&amp;C&amp;F&amp;R&amp;P/&amp;N</oddFooter>
  </headerFooter>
  <drawing r:id="rId3"/>
  <legacyDrawing r:id="rId4"/>
  <mc:AlternateContent xmlns:mc="http://schemas.openxmlformats.org/markup-compatibility/2006">
    <mc:Choice Requires="x14">
      <controls>
        <mc:AlternateContent xmlns:mc="http://schemas.openxmlformats.org/markup-compatibility/2006">
          <mc:Choice Requires="x14">
            <control shapeId="11266" r:id="rId5" name="Button 2">
              <controlPr defaultSize="0" print="0" autoFill="0" autoPict="0" macro="[0]!Macro1">
                <anchor moveWithCells="1" sizeWithCells="1">
                  <from>
                    <xdr:col>2</xdr:col>
                    <xdr:colOff>485775</xdr:colOff>
                    <xdr:row>0</xdr:row>
                    <xdr:rowOff>38100</xdr:rowOff>
                  </from>
                  <to>
                    <xdr:col>4</xdr:col>
                    <xdr:colOff>647700</xdr:colOff>
                    <xdr:row>0</xdr:row>
                    <xdr:rowOff>295275</xdr:rowOff>
                  </to>
                </anchor>
              </controlPr>
            </control>
          </mc:Choice>
        </mc:AlternateContent>
        <mc:AlternateContent xmlns:mc="http://schemas.openxmlformats.org/markup-compatibility/2006">
          <mc:Choice Requires="x14">
            <control shapeId="11267" r:id="rId6" name="Button 3">
              <controlPr defaultSize="0" print="0" autoFill="0" autoPict="0" macro="[0]!Macro2">
                <anchor moveWithCells="1" sizeWithCells="1">
                  <from>
                    <xdr:col>4</xdr:col>
                    <xdr:colOff>895350</xdr:colOff>
                    <xdr:row>0</xdr:row>
                    <xdr:rowOff>38100</xdr:rowOff>
                  </from>
                  <to>
                    <xdr:col>4</xdr:col>
                    <xdr:colOff>2200275</xdr:colOff>
                    <xdr:row>0</xdr:row>
                    <xdr:rowOff>295275</xdr:rowOff>
                  </to>
                </anchor>
              </controlPr>
            </control>
          </mc:Choice>
        </mc:AlternateContent>
        <mc:AlternateContent xmlns:mc="http://schemas.openxmlformats.org/markup-compatibility/2006">
          <mc:Choice Requires="x14">
            <control shapeId="11268" r:id="rId7" name="Button 4">
              <controlPr defaultSize="0" print="0" autoFill="0" autoPict="0" macro="[0]!Actualiser">
                <anchor moveWithCells="1" sizeWithCells="1">
                  <from>
                    <xdr:col>0</xdr:col>
                    <xdr:colOff>314325</xdr:colOff>
                    <xdr:row>0</xdr:row>
                    <xdr:rowOff>66675</xdr:rowOff>
                  </from>
                  <to>
                    <xdr:col>2</xdr:col>
                    <xdr:colOff>123825</xdr:colOff>
                    <xdr:row>0</xdr:row>
                    <xdr:rowOff>295275</xdr:rowOff>
                  </to>
                </anchor>
              </controlPr>
            </control>
          </mc:Choice>
        </mc:AlternateContent>
        <mc:AlternateContent xmlns:mc="http://schemas.openxmlformats.org/markup-compatibility/2006">
          <mc:Choice Requires="x14">
            <control shapeId="11272" r:id="rId8" name="Button 8">
              <controlPr defaultSize="0" print="0" autoFill="0" autoPict="0" macro="[0]!Graphique">
                <anchor moveWithCells="1" sizeWithCells="1">
                  <from>
                    <xdr:col>4</xdr:col>
                    <xdr:colOff>2457450</xdr:colOff>
                    <xdr:row>0</xdr:row>
                    <xdr:rowOff>38100</xdr:rowOff>
                  </from>
                  <to>
                    <xdr:col>5</xdr:col>
                    <xdr:colOff>581025</xdr:colOff>
                    <xdr:row>0</xdr:row>
                    <xdr:rowOff>304800</xdr:rowOff>
                  </to>
                </anchor>
              </controlPr>
            </control>
          </mc:Choice>
        </mc:AlternateContent>
      </controls>
    </mc:Choice>
  </mc:AlternateContent>
  <tableParts count="1">
    <tablePart r:id="rId9"/>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rgb="FF0070C0"/>
    <pageSetUpPr fitToPage="1"/>
  </sheetPr>
  <dimension ref="A3:AM28"/>
  <sheetViews>
    <sheetView zoomScaleNormal="100" workbookViewId="0">
      <pane xSplit="1" ySplit="4" topLeftCell="B5" activePane="bottomRight" state="frozen"/>
      <selection pane="topRight" activeCell="B1" sqref="B1"/>
      <selection pane="bottomLeft" activeCell="A5" sqref="A5"/>
      <selection pane="bottomRight" activeCell="K8" sqref="K8"/>
    </sheetView>
  </sheetViews>
  <sheetFormatPr baseColWidth="10" defaultRowHeight="15" x14ac:dyDescent="0.25"/>
  <cols>
    <col min="1" max="1" width="14" style="14" bestFit="1" customWidth="1"/>
    <col min="2" max="3" width="10.28515625" style="14" customWidth="1"/>
    <col min="4" max="4" width="12.5703125" style="14" customWidth="1"/>
    <col min="5" max="6" width="10.7109375" style="14" customWidth="1"/>
    <col min="7" max="7" width="12.5703125" style="14" bestFit="1" customWidth="1"/>
    <col min="8" max="9" width="11.7109375" style="14" bestFit="1" customWidth="1"/>
    <col min="10" max="10" width="12.7109375" style="14" bestFit="1" customWidth="1"/>
    <col min="11" max="13" width="11.7109375" style="14" bestFit="1" customWidth="1"/>
    <col min="14" max="15" width="12.7109375" style="14" bestFit="1" customWidth="1"/>
    <col min="16" max="16" width="22.28515625" style="14" customWidth="1"/>
    <col min="17" max="38" width="22.28515625" style="14" bestFit="1" customWidth="1"/>
    <col min="39" max="39" width="12.7109375" style="14" bestFit="1" customWidth="1"/>
    <col min="40" max="43" width="22.28515625" style="14" bestFit="1" customWidth="1"/>
    <col min="44" max="44" width="11.7109375" style="14" bestFit="1" customWidth="1"/>
    <col min="45" max="45" width="22.28515625" style="14" bestFit="1" customWidth="1"/>
    <col min="46" max="46" width="9.28515625" style="14" customWidth="1"/>
    <col min="47" max="82" width="22.28515625" style="14" bestFit="1" customWidth="1"/>
    <col min="83" max="83" width="12.7109375" style="14" bestFit="1" customWidth="1"/>
    <col min="84" max="85" width="22.28515625" style="14" bestFit="1" customWidth="1"/>
    <col min="86" max="86" width="10.28515625" style="14" customWidth="1"/>
    <col min="87" max="94" width="22.28515625" style="14" bestFit="1" customWidth="1"/>
    <col min="95" max="95" width="10.28515625" style="14" customWidth="1"/>
    <col min="96" max="103" width="22.28515625" style="14" bestFit="1" customWidth="1"/>
    <col min="104" max="104" width="9.28515625" style="14" customWidth="1"/>
    <col min="105" max="106" width="22.28515625" style="14" bestFit="1" customWidth="1"/>
    <col min="107" max="107" width="10.28515625" style="14" customWidth="1"/>
    <col min="108" max="135" width="22.28515625" style="14" bestFit="1" customWidth="1"/>
    <col min="136" max="136" width="11.7109375" style="14" bestFit="1" customWidth="1"/>
    <col min="137" max="140" width="22.28515625" style="14" bestFit="1" customWidth="1"/>
    <col min="141" max="141" width="11.7109375" style="14" bestFit="1" customWidth="1"/>
    <col min="142" max="147" width="22.28515625" style="14" bestFit="1" customWidth="1"/>
    <col min="148" max="148" width="10.28515625" style="14" customWidth="1"/>
    <col min="149" max="151" width="22.28515625" style="14" bestFit="1" customWidth="1"/>
    <col min="152" max="152" width="9.85546875" style="14" customWidth="1"/>
    <col min="153" max="158" width="22.28515625" style="14" bestFit="1" customWidth="1"/>
    <col min="159" max="159" width="11.7109375" style="14" bestFit="1" customWidth="1"/>
    <col min="160" max="162" width="22.28515625" style="14" bestFit="1" customWidth="1"/>
    <col min="163" max="163" width="10.28515625" style="14" customWidth="1"/>
    <col min="164" max="168" width="22.28515625" style="14" bestFit="1" customWidth="1"/>
    <col min="169" max="169" width="10.28515625" style="14" customWidth="1"/>
    <col min="170" max="170" width="8.140625" style="14" customWidth="1"/>
    <col min="171" max="171" width="11.140625" style="14" bestFit="1" customWidth="1"/>
    <col min="172" max="172" width="12.5703125" style="14" bestFit="1" customWidth="1"/>
    <col min="173" max="237" width="10.7109375" style="14" bestFit="1" customWidth="1"/>
    <col min="238" max="238" width="6.28515625" style="14" bestFit="1" customWidth="1"/>
    <col min="239" max="239" width="12.5703125" style="14" bestFit="1" customWidth="1"/>
    <col min="240" max="16384" width="11.42578125" style="14"/>
  </cols>
  <sheetData>
    <row r="3" spans="1:39" x14ac:dyDescent="0.25">
      <c r="A3" s="150" t="s">
        <v>225</v>
      </c>
      <c r="B3" s="148" t="s">
        <v>136</v>
      </c>
      <c r="E3"/>
      <c r="F3"/>
      <c r="G3"/>
      <c r="H3"/>
      <c r="I3"/>
      <c r="J3"/>
      <c r="K3"/>
      <c r="L3"/>
      <c r="M3"/>
      <c r="N3"/>
      <c r="O3"/>
      <c r="P3"/>
      <c r="Q3"/>
      <c r="R3"/>
      <c r="S3"/>
      <c r="T3"/>
      <c r="U3"/>
      <c r="V3"/>
      <c r="W3"/>
      <c r="X3"/>
      <c r="Y3"/>
      <c r="Z3"/>
      <c r="AA3"/>
      <c r="AB3"/>
      <c r="AC3"/>
      <c r="AD3"/>
      <c r="AE3"/>
      <c r="AF3"/>
      <c r="AG3"/>
      <c r="AH3"/>
      <c r="AI3"/>
      <c r="AJ3"/>
      <c r="AK3"/>
      <c r="AL3"/>
      <c r="AM3"/>
    </row>
    <row r="4" spans="1:39" s="12" customFormat="1" x14ac:dyDescent="0.25">
      <c r="A4" s="149" t="s">
        <v>224</v>
      </c>
      <c r="B4" s="14" t="s">
        <v>425</v>
      </c>
      <c r="C4" s="14" t="s">
        <v>426</v>
      </c>
      <c r="D4" s="12" t="s">
        <v>138</v>
      </c>
      <c r="E4"/>
      <c r="F4"/>
      <c r="G4"/>
      <c r="H4"/>
      <c r="I4"/>
      <c r="J4"/>
      <c r="K4"/>
      <c r="L4"/>
      <c r="M4"/>
      <c r="N4"/>
      <c r="O4"/>
      <c r="P4"/>
      <c r="Q4"/>
      <c r="R4"/>
      <c r="S4"/>
      <c r="T4"/>
      <c r="U4"/>
      <c r="V4"/>
      <c r="W4"/>
      <c r="X4"/>
      <c r="Y4"/>
      <c r="Z4"/>
      <c r="AA4"/>
      <c r="AB4"/>
      <c r="AC4"/>
      <c r="AD4"/>
      <c r="AE4"/>
      <c r="AF4"/>
      <c r="AG4"/>
      <c r="AH4"/>
      <c r="AI4"/>
      <c r="AJ4"/>
      <c r="AK4"/>
      <c r="AL4"/>
      <c r="AM4"/>
    </row>
    <row r="5" spans="1:39" x14ac:dyDescent="0.25">
      <c r="A5" s="151" t="s">
        <v>427</v>
      </c>
      <c r="B5" s="152">
        <v>83000</v>
      </c>
      <c r="C5" s="152">
        <v>95000</v>
      </c>
      <c r="D5" s="418">
        <v>178000</v>
      </c>
      <c r="E5"/>
      <c r="F5"/>
      <c r="G5"/>
      <c r="H5"/>
      <c r="I5"/>
      <c r="J5"/>
      <c r="K5"/>
      <c r="L5"/>
      <c r="M5"/>
      <c r="N5"/>
      <c r="O5"/>
      <c r="P5"/>
      <c r="Q5"/>
      <c r="R5"/>
      <c r="S5"/>
      <c r="T5"/>
      <c r="U5"/>
      <c r="V5"/>
      <c r="W5"/>
      <c r="X5"/>
      <c r="Y5"/>
      <c r="Z5"/>
      <c r="AA5"/>
      <c r="AB5"/>
      <c r="AC5"/>
      <c r="AD5"/>
      <c r="AE5"/>
      <c r="AF5"/>
      <c r="AG5"/>
      <c r="AH5"/>
      <c r="AI5"/>
      <c r="AJ5"/>
      <c r="AK5"/>
      <c r="AL5"/>
      <c r="AM5"/>
    </row>
    <row r="6" spans="1:39" x14ac:dyDescent="0.25">
      <c r="A6" s="417">
        <v>7055</v>
      </c>
      <c r="B6" s="147">
        <v>18000</v>
      </c>
      <c r="C6" s="146"/>
      <c r="D6" s="146">
        <v>18000</v>
      </c>
      <c r="E6"/>
      <c r="F6"/>
      <c r="G6"/>
      <c r="H6"/>
      <c r="I6"/>
      <c r="J6"/>
      <c r="K6"/>
      <c r="L6"/>
      <c r="M6"/>
      <c r="N6"/>
      <c r="O6"/>
      <c r="P6"/>
      <c r="Q6"/>
      <c r="R6"/>
      <c r="S6"/>
      <c r="T6"/>
      <c r="U6"/>
      <c r="V6"/>
      <c r="W6"/>
      <c r="X6"/>
      <c r="Y6"/>
      <c r="Z6"/>
      <c r="AA6"/>
      <c r="AB6"/>
      <c r="AC6"/>
      <c r="AD6"/>
      <c r="AE6"/>
      <c r="AF6"/>
      <c r="AG6"/>
      <c r="AH6"/>
      <c r="AI6"/>
      <c r="AJ6"/>
      <c r="AK6"/>
      <c r="AL6"/>
      <c r="AM6"/>
    </row>
    <row r="7" spans="1:39" x14ac:dyDescent="0.25">
      <c r="A7" s="413">
        <v>7030</v>
      </c>
      <c r="B7" s="147">
        <v>65000</v>
      </c>
      <c r="C7" s="146"/>
      <c r="D7" s="416">
        <v>65000</v>
      </c>
      <c r="E7"/>
      <c r="F7"/>
      <c r="G7"/>
      <c r="H7"/>
      <c r="I7"/>
      <c r="J7"/>
      <c r="K7"/>
      <c r="L7"/>
      <c r="M7"/>
      <c r="N7"/>
      <c r="O7"/>
      <c r="P7"/>
      <c r="Q7"/>
      <c r="R7"/>
      <c r="S7"/>
      <c r="T7"/>
      <c r="U7"/>
      <c r="V7"/>
      <c r="W7"/>
      <c r="X7"/>
      <c r="Y7"/>
      <c r="Z7"/>
      <c r="AA7"/>
      <c r="AB7"/>
      <c r="AC7"/>
      <c r="AD7"/>
      <c r="AE7"/>
      <c r="AF7"/>
      <c r="AG7"/>
      <c r="AH7"/>
      <c r="AI7"/>
      <c r="AJ7"/>
      <c r="AK7"/>
      <c r="AL7"/>
      <c r="AM7"/>
    </row>
    <row r="8" spans="1:39" x14ac:dyDescent="0.25">
      <c r="A8" s="413">
        <v>7031</v>
      </c>
      <c r="B8" s="147"/>
      <c r="C8" s="146">
        <v>95000</v>
      </c>
      <c r="D8" s="416">
        <v>95000</v>
      </c>
      <c r="E8"/>
      <c r="F8"/>
      <c r="G8"/>
      <c r="H8"/>
      <c r="I8"/>
      <c r="J8"/>
      <c r="K8"/>
      <c r="L8"/>
      <c r="M8"/>
      <c r="N8"/>
      <c r="O8"/>
      <c r="P8"/>
      <c r="Q8"/>
      <c r="R8"/>
      <c r="S8"/>
      <c r="T8"/>
      <c r="U8"/>
      <c r="V8"/>
      <c r="W8"/>
      <c r="X8"/>
      <c r="Y8"/>
      <c r="Z8"/>
      <c r="AA8"/>
      <c r="AB8"/>
      <c r="AC8"/>
      <c r="AD8"/>
      <c r="AE8"/>
      <c r="AF8"/>
      <c r="AG8"/>
      <c r="AH8"/>
      <c r="AI8"/>
      <c r="AJ8"/>
      <c r="AK8"/>
      <c r="AL8"/>
      <c r="AM8"/>
    </row>
    <row r="9" spans="1:39" x14ac:dyDescent="0.25">
      <c r="A9" s="151" t="s">
        <v>428</v>
      </c>
      <c r="B9" s="152">
        <v>145000</v>
      </c>
      <c r="C9" s="152">
        <v>82000</v>
      </c>
      <c r="D9" s="418">
        <v>227000</v>
      </c>
      <c r="E9"/>
      <c r="F9"/>
      <c r="G9"/>
      <c r="H9"/>
      <c r="I9"/>
      <c r="J9"/>
      <c r="K9"/>
      <c r="L9"/>
      <c r="M9"/>
      <c r="N9"/>
      <c r="O9"/>
      <c r="P9"/>
      <c r="Q9"/>
      <c r="R9"/>
      <c r="S9"/>
      <c r="T9"/>
      <c r="U9"/>
      <c r="V9"/>
      <c r="W9"/>
      <c r="X9"/>
      <c r="Y9"/>
      <c r="Z9"/>
      <c r="AA9"/>
      <c r="AB9"/>
      <c r="AC9"/>
      <c r="AD9"/>
      <c r="AE9"/>
      <c r="AF9"/>
      <c r="AG9"/>
      <c r="AH9"/>
      <c r="AI9"/>
      <c r="AJ9"/>
      <c r="AK9"/>
      <c r="AL9"/>
      <c r="AM9"/>
    </row>
    <row r="10" spans="1:39" x14ac:dyDescent="0.25">
      <c r="A10" s="413">
        <v>7140</v>
      </c>
      <c r="B10" s="147">
        <v>145000</v>
      </c>
      <c r="C10" s="146">
        <v>82000</v>
      </c>
      <c r="D10" s="416">
        <v>227000</v>
      </c>
      <c r="E10"/>
      <c r="F10"/>
      <c r="G10"/>
      <c r="H10"/>
      <c r="I10"/>
      <c r="J10"/>
      <c r="K10"/>
      <c r="L10"/>
      <c r="M10"/>
      <c r="N10"/>
      <c r="O10"/>
      <c r="P10"/>
      <c r="Q10"/>
      <c r="R10"/>
      <c r="S10"/>
      <c r="T10"/>
      <c r="U10"/>
      <c r="V10"/>
      <c r="W10"/>
      <c r="X10"/>
      <c r="Y10"/>
      <c r="Z10"/>
      <c r="AA10"/>
      <c r="AB10"/>
      <c r="AC10"/>
      <c r="AD10"/>
      <c r="AE10"/>
      <c r="AF10"/>
      <c r="AG10"/>
      <c r="AH10"/>
      <c r="AI10"/>
      <c r="AJ10"/>
      <c r="AK10"/>
      <c r="AL10"/>
      <c r="AM10"/>
    </row>
    <row r="11" spans="1:39" x14ac:dyDescent="0.25">
      <c r="A11" s="151" t="s">
        <v>138</v>
      </c>
      <c r="B11" s="133">
        <v>228000</v>
      </c>
      <c r="C11" s="133">
        <v>177000</v>
      </c>
      <c r="D11" s="152">
        <v>405000</v>
      </c>
      <c r="E11"/>
      <c r="F11"/>
      <c r="G11"/>
      <c r="H11"/>
      <c r="I11"/>
      <c r="J11"/>
      <c r="K11"/>
      <c r="L11"/>
      <c r="M11"/>
      <c r="N11"/>
      <c r="O11"/>
      <c r="P11"/>
      <c r="Q11"/>
      <c r="R11"/>
      <c r="S11"/>
      <c r="T11"/>
      <c r="U11"/>
      <c r="V11"/>
      <c r="W11"/>
      <c r="X11"/>
      <c r="Y11"/>
      <c r="Z11"/>
      <c r="AA11"/>
      <c r="AB11"/>
      <c r="AC11"/>
      <c r="AD11"/>
      <c r="AE11"/>
      <c r="AF11"/>
      <c r="AG11"/>
      <c r="AH11"/>
      <c r="AI11"/>
      <c r="AJ11"/>
      <c r="AK11"/>
      <c r="AL11"/>
      <c r="AM11"/>
    </row>
    <row r="12" spans="1:39" x14ac:dyDescent="0.25">
      <c r="A12"/>
      <c r="B12"/>
      <c r="C12"/>
      <c r="D12"/>
      <c r="E12"/>
      <c r="F12"/>
      <c r="G12"/>
      <c r="H12"/>
      <c r="I12"/>
      <c r="J12"/>
      <c r="K12"/>
      <c r="L12"/>
      <c r="M12"/>
      <c r="N12"/>
      <c r="O12"/>
      <c r="P12"/>
      <c r="Q12"/>
      <c r="R12"/>
      <c r="S12"/>
      <c r="T12"/>
      <c r="U12"/>
      <c r="V12"/>
      <c r="W12"/>
      <c r="X12"/>
      <c r="Y12"/>
      <c r="Z12"/>
      <c r="AA12"/>
      <c r="AB12"/>
      <c r="AC12"/>
      <c r="AD12"/>
      <c r="AE12"/>
      <c r="AF12"/>
      <c r="AG12"/>
      <c r="AH12"/>
      <c r="AI12"/>
      <c r="AJ12"/>
      <c r="AK12"/>
      <c r="AL12"/>
      <c r="AM12"/>
    </row>
    <row r="13" spans="1:39" x14ac:dyDescent="0.25">
      <c r="A13"/>
      <c r="B13"/>
      <c r="C13"/>
      <c r="D13"/>
      <c r="E13"/>
      <c r="F13"/>
      <c r="G13"/>
      <c r="H13"/>
      <c r="I13"/>
      <c r="J13"/>
      <c r="K13"/>
      <c r="L13"/>
      <c r="M13"/>
      <c r="N13"/>
      <c r="O13"/>
      <c r="P13"/>
      <c r="Q13"/>
      <c r="R13"/>
      <c r="S13"/>
      <c r="T13"/>
      <c r="U13"/>
      <c r="V13"/>
      <c r="W13"/>
      <c r="X13"/>
      <c r="Y13"/>
      <c r="Z13"/>
      <c r="AA13"/>
      <c r="AB13"/>
      <c r="AC13"/>
      <c r="AD13"/>
      <c r="AE13"/>
      <c r="AF13"/>
      <c r="AG13"/>
      <c r="AH13"/>
      <c r="AI13"/>
      <c r="AJ13"/>
      <c r="AK13"/>
      <c r="AL13"/>
      <c r="AM13"/>
    </row>
    <row r="14" spans="1:39" x14ac:dyDescent="0.25">
      <c r="A14"/>
      <c r="B14"/>
      <c r="C14"/>
      <c r="D14"/>
      <c r="E14"/>
      <c r="F14"/>
      <c r="G14"/>
      <c r="H14"/>
      <c r="I14"/>
      <c r="J14"/>
      <c r="K14"/>
      <c r="L14"/>
      <c r="M14"/>
      <c r="N14"/>
      <c r="O14"/>
      <c r="P14"/>
      <c r="Q14"/>
      <c r="R14"/>
      <c r="S14"/>
      <c r="T14"/>
      <c r="U14"/>
      <c r="V14"/>
      <c r="W14"/>
      <c r="X14"/>
      <c r="Y14"/>
      <c r="Z14"/>
      <c r="AA14"/>
      <c r="AB14"/>
      <c r="AC14"/>
      <c r="AD14"/>
      <c r="AE14"/>
      <c r="AF14"/>
      <c r="AG14"/>
      <c r="AH14"/>
      <c r="AI14"/>
      <c r="AJ14"/>
      <c r="AK14"/>
      <c r="AL14"/>
      <c r="AM14"/>
    </row>
    <row r="15" spans="1:39" x14ac:dyDescent="0.25">
      <c r="A15"/>
      <c r="B15"/>
      <c r="C15"/>
      <c r="D15"/>
      <c r="E15"/>
      <c r="F15"/>
      <c r="G15"/>
      <c r="H15"/>
      <c r="I15"/>
      <c r="J15"/>
      <c r="K15"/>
      <c r="L15"/>
      <c r="M15"/>
      <c r="N15"/>
      <c r="O15"/>
      <c r="P15"/>
      <c r="Q15"/>
      <c r="R15"/>
      <c r="S15"/>
      <c r="T15"/>
      <c r="U15"/>
      <c r="V15"/>
      <c r="W15"/>
      <c r="X15"/>
      <c r="Y15"/>
      <c r="Z15"/>
      <c r="AA15"/>
      <c r="AB15"/>
      <c r="AC15"/>
      <c r="AD15"/>
      <c r="AE15"/>
      <c r="AF15"/>
      <c r="AG15"/>
      <c r="AH15"/>
      <c r="AI15"/>
      <c r="AJ15"/>
      <c r="AK15"/>
      <c r="AL15"/>
      <c r="AM15"/>
    </row>
    <row r="16" spans="1:39" x14ac:dyDescent="0.25">
      <c r="A16"/>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row>
    <row r="17" spans="1:39" x14ac:dyDescent="0.25">
      <c r="A17"/>
      <c r="B17"/>
      <c r="C17"/>
      <c r="D17"/>
      <c r="E17"/>
      <c r="F17"/>
      <c r="G17"/>
      <c r="H17"/>
      <c r="I17"/>
      <c r="J17"/>
      <c r="K17"/>
      <c r="L17"/>
      <c r="M17"/>
      <c r="N17"/>
      <c r="O17"/>
      <c r="P17"/>
      <c r="Q17"/>
      <c r="R17"/>
      <c r="S17"/>
      <c r="T17"/>
      <c r="U17"/>
      <c r="V17"/>
      <c r="W17"/>
      <c r="X17"/>
      <c r="Y17"/>
      <c r="Z17"/>
      <c r="AA17"/>
      <c r="AB17"/>
      <c r="AC17"/>
      <c r="AD17"/>
      <c r="AE17"/>
      <c r="AF17"/>
      <c r="AG17"/>
      <c r="AH17"/>
      <c r="AI17"/>
      <c r="AJ17"/>
      <c r="AK17"/>
      <c r="AL17"/>
      <c r="AM17"/>
    </row>
    <row r="18" spans="1:39" x14ac:dyDescent="0.25">
      <c r="A18"/>
      <c r="B18"/>
      <c r="C18"/>
      <c r="D18"/>
      <c r="E18"/>
      <c r="F18"/>
      <c r="G18"/>
      <c r="H18"/>
      <c r="I18"/>
      <c r="J18"/>
      <c r="K18"/>
      <c r="L18"/>
      <c r="M18"/>
      <c r="N18"/>
      <c r="O18"/>
      <c r="P18"/>
      <c r="Q18"/>
      <c r="R18"/>
      <c r="S18"/>
      <c r="T18"/>
      <c r="U18"/>
      <c r="V18"/>
      <c r="W18"/>
      <c r="X18"/>
      <c r="Y18"/>
      <c r="Z18"/>
      <c r="AA18"/>
      <c r="AB18"/>
      <c r="AC18"/>
      <c r="AD18"/>
      <c r="AE18"/>
      <c r="AF18"/>
      <c r="AG18"/>
      <c r="AH18"/>
      <c r="AI18"/>
      <c r="AJ18"/>
      <c r="AK18"/>
      <c r="AL18"/>
      <c r="AM18"/>
    </row>
    <row r="19" spans="1:39" x14ac:dyDescent="0.25">
      <c r="A19"/>
      <c r="B19"/>
      <c r="C19"/>
      <c r="D19"/>
      <c r="E19"/>
      <c r="F19"/>
      <c r="G19"/>
      <c r="H19"/>
      <c r="I19"/>
      <c r="J19"/>
      <c r="K19"/>
      <c r="L19"/>
      <c r="M19"/>
      <c r="N19"/>
      <c r="O19"/>
      <c r="P19"/>
      <c r="Q19"/>
      <c r="R19"/>
      <c r="S19"/>
      <c r="T19"/>
      <c r="U19"/>
      <c r="V19"/>
      <c r="W19"/>
      <c r="X19"/>
      <c r="Y19"/>
      <c r="Z19"/>
      <c r="AA19"/>
      <c r="AB19"/>
      <c r="AC19"/>
      <c r="AD19"/>
      <c r="AE19"/>
      <c r="AF19"/>
      <c r="AG19"/>
      <c r="AH19"/>
      <c r="AI19"/>
      <c r="AJ19"/>
      <c r="AK19"/>
      <c r="AL19"/>
      <c r="AM19"/>
    </row>
    <row r="20" spans="1:39" x14ac:dyDescent="0.25">
      <c r="A20"/>
      <c r="B20"/>
      <c r="C20"/>
      <c r="D20"/>
      <c r="E20"/>
      <c r="F20"/>
      <c r="G20"/>
      <c r="H20"/>
      <c r="I20"/>
      <c r="J20"/>
      <c r="K20"/>
      <c r="L20"/>
      <c r="M20"/>
      <c r="N20"/>
      <c r="O20"/>
      <c r="P20"/>
      <c r="Q20"/>
      <c r="R20"/>
      <c r="S20"/>
      <c r="T20"/>
      <c r="U20"/>
      <c r="V20"/>
      <c r="W20"/>
      <c r="X20"/>
      <c r="Y20"/>
      <c r="Z20"/>
      <c r="AA20"/>
      <c r="AB20"/>
      <c r="AC20"/>
      <c r="AD20"/>
      <c r="AE20"/>
      <c r="AF20"/>
      <c r="AG20"/>
      <c r="AH20"/>
      <c r="AI20"/>
      <c r="AJ20"/>
      <c r="AK20"/>
      <c r="AL20"/>
      <c r="AM20"/>
    </row>
    <row r="21" spans="1:39" x14ac:dyDescent="0.25">
      <c r="A21"/>
      <c r="B21"/>
      <c r="C21"/>
      <c r="D21"/>
      <c r="E21"/>
      <c r="F21"/>
      <c r="G21"/>
      <c r="H21"/>
      <c r="I21"/>
      <c r="J21"/>
      <c r="K21"/>
      <c r="L21"/>
      <c r="M21"/>
      <c r="N21"/>
      <c r="O21"/>
      <c r="P21"/>
      <c r="Q21"/>
      <c r="R21"/>
      <c r="S21"/>
      <c r="T21"/>
      <c r="U21"/>
      <c r="V21"/>
      <c r="W21"/>
      <c r="X21"/>
      <c r="Y21"/>
      <c r="Z21"/>
      <c r="AA21"/>
      <c r="AB21"/>
      <c r="AC21"/>
      <c r="AD21"/>
      <c r="AE21"/>
      <c r="AF21"/>
      <c r="AG21"/>
      <c r="AH21"/>
      <c r="AI21"/>
      <c r="AJ21"/>
      <c r="AK21"/>
      <c r="AL21"/>
      <c r="AM21"/>
    </row>
    <row r="22" spans="1:39" x14ac:dyDescent="0.25">
      <c r="A22"/>
      <c r="B22"/>
      <c r="C22"/>
      <c r="D22"/>
      <c r="E22"/>
      <c r="F22"/>
      <c r="G22"/>
      <c r="H22"/>
      <c r="I22"/>
      <c r="J22"/>
      <c r="K22"/>
      <c r="L22"/>
      <c r="M22"/>
      <c r="N22"/>
      <c r="O22"/>
      <c r="P22"/>
      <c r="Q22"/>
      <c r="R22"/>
      <c r="S22"/>
      <c r="T22"/>
      <c r="U22"/>
      <c r="V22"/>
      <c r="W22"/>
      <c r="X22"/>
      <c r="Y22"/>
      <c r="Z22"/>
      <c r="AA22"/>
      <c r="AB22"/>
      <c r="AC22"/>
      <c r="AD22"/>
      <c r="AE22"/>
      <c r="AF22"/>
      <c r="AG22"/>
      <c r="AH22"/>
      <c r="AI22"/>
      <c r="AJ22"/>
      <c r="AK22"/>
      <c r="AL22"/>
      <c r="AM22"/>
    </row>
    <row r="23" spans="1:39" x14ac:dyDescent="0.25">
      <c r="A23"/>
      <c r="B23"/>
      <c r="C23"/>
      <c r="D23"/>
      <c r="E23"/>
      <c r="F23"/>
      <c r="G23"/>
      <c r="H23"/>
      <c r="I23"/>
      <c r="J23"/>
      <c r="K23"/>
      <c r="L23"/>
      <c r="M23"/>
      <c r="N23"/>
      <c r="O23"/>
      <c r="P23"/>
      <c r="Q23"/>
      <c r="R23"/>
      <c r="S23"/>
      <c r="T23"/>
      <c r="U23"/>
      <c r="V23"/>
      <c r="W23"/>
      <c r="X23"/>
      <c r="Y23"/>
      <c r="Z23"/>
      <c r="AA23"/>
      <c r="AB23"/>
      <c r="AC23"/>
      <c r="AD23"/>
      <c r="AE23"/>
      <c r="AF23"/>
      <c r="AG23"/>
      <c r="AH23"/>
      <c r="AI23"/>
      <c r="AJ23"/>
      <c r="AK23"/>
      <c r="AL23"/>
      <c r="AM23"/>
    </row>
    <row r="24" spans="1:39" x14ac:dyDescent="0.25">
      <c r="A24"/>
      <c r="B24"/>
      <c r="C24"/>
      <c r="D24"/>
      <c r="E24"/>
      <c r="F24"/>
      <c r="G24"/>
      <c r="H24"/>
      <c r="I24"/>
      <c r="J24"/>
      <c r="K24"/>
      <c r="L24"/>
      <c r="M24"/>
      <c r="N24"/>
      <c r="O24"/>
      <c r="P24"/>
      <c r="Q24"/>
      <c r="R24"/>
      <c r="S24"/>
      <c r="T24"/>
      <c r="U24"/>
      <c r="V24"/>
      <c r="W24"/>
      <c r="X24"/>
      <c r="Y24"/>
      <c r="Z24"/>
      <c r="AA24"/>
      <c r="AB24"/>
      <c r="AC24"/>
      <c r="AD24"/>
      <c r="AE24"/>
      <c r="AF24"/>
      <c r="AG24"/>
      <c r="AH24"/>
      <c r="AI24"/>
      <c r="AJ24"/>
      <c r="AK24"/>
      <c r="AL24"/>
      <c r="AM24"/>
    </row>
    <row r="25" spans="1:39" x14ac:dyDescent="0.25">
      <c r="A25"/>
      <c r="B25"/>
      <c r="C25"/>
      <c r="D25"/>
      <c r="E25"/>
      <c r="F25"/>
      <c r="G25"/>
      <c r="H25"/>
      <c r="I25"/>
      <c r="J25"/>
      <c r="K25"/>
      <c r="L25"/>
      <c r="M25"/>
      <c r="N25"/>
      <c r="O25"/>
      <c r="P25"/>
      <c r="Q25"/>
      <c r="R25"/>
      <c r="S25"/>
      <c r="T25"/>
      <c r="U25"/>
      <c r="V25"/>
      <c r="W25"/>
      <c r="X25"/>
      <c r="Y25"/>
      <c r="Z25"/>
      <c r="AA25"/>
      <c r="AB25"/>
      <c r="AC25"/>
      <c r="AD25"/>
      <c r="AE25"/>
      <c r="AF25"/>
      <c r="AG25"/>
      <c r="AH25"/>
      <c r="AI25"/>
      <c r="AJ25"/>
      <c r="AK25"/>
      <c r="AL25"/>
      <c r="AM25"/>
    </row>
    <row r="26" spans="1:39" x14ac:dyDescent="0.25">
      <c r="A26"/>
      <c r="B26"/>
      <c r="C26"/>
      <c r="D26"/>
      <c r="E26"/>
      <c r="F26"/>
      <c r="G26"/>
      <c r="H26"/>
      <c r="I26"/>
      <c r="J26"/>
      <c r="K26"/>
      <c r="L26"/>
      <c r="M26"/>
      <c r="N26"/>
      <c r="O26"/>
      <c r="P26"/>
      <c r="Q26"/>
      <c r="R26"/>
      <c r="S26"/>
      <c r="T26"/>
      <c r="U26"/>
      <c r="V26"/>
      <c r="W26"/>
      <c r="X26"/>
      <c r="Y26"/>
      <c r="Z26"/>
      <c r="AA26"/>
      <c r="AB26"/>
      <c r="AC26"/>
      <c r="AD26"/>
      <c r="AE26"/>
      <c r="AF26"/>
      <c r="AG26"/>
      <c r="AH26"/>
      <c r="AI26"/>
      <c r="AJ26"/>
      <c r="AK26"/>
      <c r="AL26"/>
      <c r="AM26"/>
    </row>
    <row r="27" spans="1:39" x14ac:dyDescent="0.25">
      <c r="A27"/>
      <c r="B27"/>
      <c r="C27"/>
      <c r="D27"/>
      <c r="E27"/>
      <c r="F27"/>
      <c r="G27"/>
      <c r="H27"/>
      <c r="I27"/>
      <c r="J27"/>
      <c r="K27"/>
      <c r="L27"/>
      <c r="M27"/>
      <c r="N27"/>
      <c r="O27"/>
      <c r="P27"/>
      <c r="Q27"/>
      <c r="R27"/>
      <c r="S27"/>
      <c r="T27"/>
      <c r="U27"/>
      <c r="V27"/>
      <c r="W27"/>
      <c r="X27"/>
      <c r="Y27"/>
      <c r="Z27"/>
      <c r="AA27"/>
      <c r="AB27"/>
      <c r="AC27"/>
      <c r="AD27"/>
      <c r="AE27"/>
      <c r="AF27"/>
      <c r="AG27"/>
      <c r="AH27"/>
      <c r="AI27"/>
      <c r="AJ27"/>
      <c r="AK27"/>
      <c r="AL27"/>
      <c r="AM27"/>
    </row>
    <row r="28" spans="1:39" x14ac:dyDescent="0.25">
      <c r="A28"/>
      <c r="B28"/>
      <c r="C28"/>
      <c r="D28"/>
      <c r="E28"/>
      <c r="F28"/>
      <c r="G28"/>
      <c r="H28"/>
      <c r="I28"/>
      <c r="J28"/>
      <c r="K28"/>
      <c r="L28"/>
      <c r="M28"/>
      <c r="N28"/>
      <c r="O28"/>
      <c r="P28"/>
      <c r="Q28"/>
      <c r="R28"/>
      <c r="S28"/>
      <c r="T28"/>
      <c r="U28"/>
      <c r="V28"/>
      <c r="W28"/>
      <c r="X28"/>
      <c r="Y28"/>
      <c r="Z28"/>
      <c r="AA28"/>
      <c r="AB28"/>
      <c r="AC28"/>
      <c r="AD28"/>
      <c r="AE28"/>
      <c r="AF28"/>
      <c r="AG28"/>
      <c r="AH28"/>
      <c r="AI28"/>
      <c r="AJ28"/>
      <c r="AK28"/>
      <c r="AL28"/>
      <c r="AM28"/>
    </row>
  </sheetData>
  <pageMargins left="0.23622047244094491" right="0.15748031496062992" top="0.74803149606299213" bottom="0.74803149606299213" header="0.31496062992125984" footer="0.31496062992125984"/>
  <pageSetup paperSize="9" fitToHeight="0" orientation="landscape" horizontalDpi="0" verticalDpi="0" r:id="rId2"/>
  <headerFooter>
    <oddHeader>&amp;LPréfecture de Haho&amp;C&amp;F&amp;RDélégation Spéciale</oddHeader>
    <oddFooter>&amp;LEdité le &amp;D - &amp;T&amp;R&amp;P sur &amp;N</oddFooter>
  </headerFooter>
  <drawing r:id="rId3"/>
  <legacyDrawing r:id="rId4"/>
  <mc:AlternateContent xmlns:mc="http://schemas.openxmlformats.org/markup-compatibility/2006">
    <mc:Choice Requires="x14">
      <controls>
        <mc:AlternateContent xmlns:mc="http://schemas.openxmlformats.org/markup-compatibility/2006">
          <mc:Choice Requires="x14">
            <control shapeId="13313" r:id="rId5" name="Button 1">
              <controlPr defaultSize="0" print="0" autoFill="0" autoPict="0" macro="[0]!Macro3">
                <anchor moveWithCells="1" sizeWithCells="1">
                  <from>
                    <xdr:col>3</xdr:col>
                    <xdr:colOff>190500</xdr:colOff>
                    <xdr:row>0</xdr:row>
                    <xdr:rowOff>28575</xdr:rowOff>
                  </from>
                  <to>
                    <xdr:col>6</xdr:col>
                    <xdr:colOff>457200</xdr:colOff>
                    <xdr:row>1</xdr:row>
                    <xdr:rowOff>114300</xdr:rowOff>
                  </to>
                </anchor>
              </controlPr>
            </control>
          </mc:Choice>
        </mc:AlternateContent>
        <mc:AlternateContent xmlns:mc="http://schemas.openxmlformats.org/markup-compatibility/2006">
          <mc:Choice Requires="x14">
            <control shapeId="13314" r:id="rId6" name="Button 2">
              <controlPr defaultSize="0" print="0" autoFill="0" autoPict="0" macro="[0]!Macro2">
                <anchor moveWithCells="1" sizeWithCells="1">
                  <from>
                    <xdr:col>6</xdr:col>
                    <xdr:colOff>581025</xdr:colOff>
                    <xdr:row>0</xdr:row>
                    <xdr:rowOff>47625</xdr:rowOff>
                  </from>
                  <to>
                    <xdr:col>8</xdr:col>
                    <xdr:colOff>266700</xdr:colOff>
                    <xdr:row>1</xdr:row>
                    <xdr:rowOff>114300</xdr:rowOff>
                  </to>
                </anchor>
              </controlPr>
            </control>
          </mc:Choice>
        </mc:AlternateContent>
        <mc:AlternateContent xmlns:mc="http://schemas.openxmlformats.org/markup-compatibility/2006">
          <mc:Choice Requires="x14">
            <control shapeId="13315" r:id="rId7" name="Button 3">
              <controlPr defaultSize="0" print="0" autoFill="0" autoPict="0" macro="[0]!Graphique">
                <anchor moveWithCells="1" sizeWithCells="1">
                  <from>
                    <xdr:col>8</xdr:col>
                    <xdr:colOff>342900</xdr:colOff>
                    <xdr:row>0</xdr:row>
                    <xdr:rowOff>38100</xdr:rowOff>
                  </from>
                  <to>
                    <xdr:col>9</xdr:col>
                    <xdr:colOff>561975</xdr:colOff>
                    <xdr:row>1</xdr:row>
                    <xdr:rowOff>114300</xdr:rowOff>
                  </to>
                </anchor>
              </controlPr>
            </control>
          </mc:Choice>
        </mc:AlternateContent>
        <mc:AlternateContent xmlns:mc="http://schemas.openxmlformats.org/markup-compatibility/2006">
          <mc:Choice Requires="x14">
            <control shapeId="13316" r:id="rId8" name="Button 4">
              <controlPr defaultSize="0" print="0" autoFill="0" autoPict="0" macro="[0]!Actualiser">
                <anchor moveWithCells="1" sizeWithCells="1">
                  <from>
                    <xdr:col>1</xdr:col>
                    <xdr:colOff>600075</xdr:colOff>
                    <xdr:row>0</xdr:row>
                    <xdr:rowOff>47625</xdr:rowOff>
                  </from>
                  <to>
                    <xdr:col>3</xdr:col>
                    <xdr:colOff>57150</xdr:colOff>
                    <xdr:row>1</xdr:row>
                    <xdr:rowOff>85725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rgb="FF0070C0"/>
    <pageSetUpPr fitToPage="1"/>
  </sheetPr>
  <dimension ref="A1:Q41"/>
  <sheetViews>
    <sheetView zoomScaleNormal="100" workbookViewId="0">
      <pane xSplit="1" ySplit="4" topLeftCell="B5" activePane="bottomRight" state="frozen"/>
      <selection pane="topRight" activeCell="B1" sqref="B1"/>
      <selection pane="bottomLeft" activeCell="A5" sqref="A5"/>
      <selection pane="bottomRight" activeCell="D21" sqref="D21"/>
    </sheetView>
  </sheetViews>
  <sheetFormatPr baseColWidth="10" defaultRowHeight="15" x14ac:dyDescent="0.25"/>
  <cols>
    <col min="1" max="1" width="12.5703125" style="14" customWidth="1"/>
    <col min="2" max="4" width="9.28515625" style="14" customWidth="1"/>
    <col min="5" max="5" width="10.28515625" style="14" customWidth="1"/>
    <col min="6" max="7" width="12.5703125" style="14" customWidth="1"/>
    <col min="8" max="8" width="8.28515625" style="14" customWidth="1"/>
    <col min="9" max="9" width="12.5703125" style="14" bestFit="1" customWidth="1"/>
    <col min="10" max="10" width="11.7109375" style="14" bestFit="1" customWidth="1"/>
    <col min="11" max="12" width="10.28515625" style="14" bestFit="1" customWidth="1"/>
    <col min="13" max="13" width="9.28515625" style="14" bestFit="1" customWidth="1"/>
    <col min="14" max="14" width="10.28515625" style="14" bestFit="1" customWidth="1"/>
    <col min="15" max="15" width="11.7109375" style="14" bestFit="1" customWidth="1"/>
    <col min="16" max="17" width="12.7109375" style="14" bestFit="1" customWidth="1"/>
    <col min="18" max="18" width="12.7109375" style="14" customWidth="1"/>
    <col min="19" max="19" width="12.7109375" style="14" bestFit="1" customWidth="1"/>
    <col min="20" max="29" width="5" style="14" customWidth="1"/>
    <col min="30" max="164" width="6" style="14" customWidth="1"/>
    <col min="165" max="249" width="7" style="14" customWidth="1"/>
    <col min="250" max="254" width="8" style="14" customWidth="1"/>
    <col min="255" max="255" width="9" style="14" customWidth="1"/>
    <col min="256" max="256" width="6.28515625" style="14" customWidth="1"/>
    <col min="257" max="257" width="12.5703125" style="14" bestFit="1" customWidth="1"/>
    <col min="258" max="16384" width="11.42578125" style="14"/>
  </cols>
  <sheetData>
    <row r="1" spans="1:17" x14ac:dyDescent="0.25">
      <c r="A1" s="127" t="s">
        <v>208</v>
      </c>
      <c r="B1" s="128" t="s">
        <v>215</v>
      </c>
    </row>
    <row r="3" spans="1:17" x14ac:dyDescent="0.25">
      <c r="A3" s="150" t="s">
        <v>224</v>
      </c>
      <c r="B3" s="153" t="s">
        <v>217</v>
      </c>
      <c r="G3"/>
      <c r="H3"/>
      <c r="I3"/>
      <c r="J3"/>
      <c r="K3"/>
      <c r="L3"/>
      <c r="M3"/>
      <c r="N3"/>
      <c r="O3"/>
      <c r="P3"/>
      <c r="Q3"/>
    </row>
    <row r="4" spans="1:17" x14ac:dyDescent="0.25">
      <c r="A4" s="153" t="s">
        <v>225</v>
      </c>
      <c r="B4" s="13">
        <v>7055</v>
      </c>
      <c r="C4" s="13">
        <v>7030</v>
      </c>
      <c r="D4" s="13">
        <v>7031</v>
      </c>
      <c r="E4" s="13">
        <v>7140</v>
      </c>
      <c r="F4" s="13" t="s">
        <v>138</v>
      </c>
      <c r="G4"/>
      <c r="H4"/>
      <c r="I4"/>
      <c r="J4"/>
      <c r="K4"/>
      <c r="L4"/>
      <c r="M4"/>
      <c r="N4"/>
      <c r="O4"/>
      <c r="P4"/>
      <c r="Q4"/>
    </row>
    <row r="5" spans="1:17" x14ac:dyDescent="0.25">
      <c r="A5" s="151" t="s">
        <v>425</v>
      </c>
      <c r="B5" s="152">
        <v>18000</v>
      </c>
      <c r="C5" s="152">
        <v>65000</v>
      </c>
      <c r="D5" s="152"/>
      <c r="E5" s="152">
        <v>145000</v>
      </c>
      <c r="F5" s="152">
        <v>228000</v>
      </c>
      <c r="G5"/>
      <c r="H5"/>
      <c r="I5"/>
      <c r="J5"/>
      <c r="K5"/>
      <c r="L5"/>
      <c r="M5"/>
      <c r="N5"/>
      <c r="O5"/>
      <c r="P5"/>
      <c r="Q5"/>
    </row>
    <row r="6" spans="1:17" x14ac:dyDescent="0.25">
      <c r="A6" s="151" t="s">
        <v>426</v>
      </c>
      <c r="B6" s="152"/>
      <c r="C6" s="152"/>
      <c r="D6" s="152">
        <v>95000</v>
      </c>
      <c r="E6" s="152">
        <v>82000</v>
      </c>
      <c r="F6" s="152">
        <v>177000</v>
      </c>
      <c r="G6"/>
      <c r="H6"/>
      <c r="I6"/>
      <c r="J6"/>
      <c r="K6"/>
      <c r="L6"/>
      <c r="M6"/>
      <c r="N6"/>
      <c r="O6"/>
      <c r="P6"/>
      <c r="Q6"/>
    </row>
    <row r="7" spans="1:17" x14ac:dyDescent="0.25">
      <c r="A7" s="151" t="s">
        <v>138</v>
      </c>
      <c r="B7" s="152">
        <v>18000</v>
      </c>
      <c r="C7" s="152">
        <v>65000</v>
      </c>
      <c r="D7" s="152">
        <v>95000</v>
      </c>
      <c r="E7" s="152">
        <v>227000</v>
      </c>
      <c r="F7" s="152">
        <v>405000</v>
      </c>
      <c r="G7"/>
      <c r="H7"/>
      <c r="I7"/>
      <c r="J7"/>
      <c r="K7"/>
      <c r="L7"/>
      <c r="M7"/>
      <c r="N7"/>
      <c r="O7"/>
      <c r="P7"/>
      <c r="Q7"/>
    </row>
    <row r="8" spans="1:17" x14ac:dyDescent="0.25">
      <c r="A8"/>
      <c r="B8"/>
      <c r="C8"/>
      <c r="D8"/>
      <c r="E8"/>
      <c r="F8"/>
      <c r="G8"/>
      <c r="H8"/>
      <c r="I8"/>
      <c r="J8"/>
      <c r="K8"/>
      <c r="L8"/>
      <c r="M8"/>
      <c r="N8"/>
      <c r="O8"/>
      <c r="P8"/>
      <c r="Q8"/>
    </row>
    <row r="9" spans="1:17" x14ac:dyDescent="0.25">
      <c r="A9"/>
      <c r="B9"/>
      <c r="C9"/>
      <c r="D9"/>
      <c r="E9"/>
      <c r="F9"/>
      <c r="G9"/>
      <c r="H9"/>
      <c r="I9"/>
      <c r="J9"/>
      <c r="K9"/>
      <c r="L9"/>
      <c r="M9"/>
      <c r="N9"/>
      <c r="O9"/>
      <c r="P9"/>
      <c r="Q9"/>
    </row>
    <row r="10" spans="1:17" x14ac:dyDescent="0.25">
      <c r="A10"/>
      <c r="B10"/>
      <c r="C10"/>
      <c r="D10"/>
      <c r="E10"/>
      <c r="F10"/>
      <c r="G10"/>
      <c r="H10"/>
      <c r="I10"/>
      <c r="J10"/>
      <c r="K10"/>
      <c r="L10"/>
      <c r="M10"/>
      <c r="N10"/>
      <c r="O10"/>
      <c r="P10"/>
      <c r="Q10"/>
    </row>
    <row r="11" spans="1:17" x14ac:dyDescent="0.25">
      <c r="A11"/>
      <c r="B11"/>
      <c r="C11"/>
      <c r="D11"/>
      <c r="E11"/>
      <c r="F11"/>
      <c r="G11"/>
      <c r="H11"/>
      <c r="I11"/>
      <c r="J11"/>
      <c r="K11"/>
      <c r="L11"/>
      <c r="M11"/>
      <c r="N11"/>
      <c r="O11"/>
      <c r="P11"/>
      <c r="Q11"/>
    </row>
    <row r="12" spans="1:17" x14ac:dyDescent="0.25">
      <c r="A12"/>
      <c r="B12"/>
      <c r="C12"/>
      <c r="D12"/>
      <c r="E12"/>
      <c r="F12"/>
      <c r="G12"/>
      <c r="H12"/>
      <c r="I12"/>
      <c r="J12"/>
      <c r="K12"/>
      <c r="L12"/>
      <c r="M12"/>
      <c r="N12"/>
      <c r="O12"/>
      <c r="P12"/>
      <c r="Q12"/>
    </row>
    <row r="13" spans="1:17" x14ac:dyDescent="0.25">
      <c r="A13"/>
      <c r="B13"/>
      <c r="C13"/>
      <c r="D13"/>
      <c r="E13"/>
      <c r="F13"/>
      <c r="G13"/>
      <c r="H13"/>
      <c r="I13"/>
      <c r="J13"/>
      <c r="K13"/>
      <c r="L13"/>
      <c r="M13"/>
      <c r="N13"/>
      <c r="O13"/>
      <c r="P13"/>
      <c r="Q13"/>
    </row>
    <row r="14" spans="1:17" x14ac:dyDescent="0.25">
      <c r="A14"/>
      <c r="B14"/>
      <c r="C14"/>
      <c r="D14"/>
      <c r="E14"/>
      <c r="F14"/>
      <c r="G14"/>
      <c r="H14"/>
      <c r="I14"/>
      <c r="J14"/>
      <c r="K14"/>
      <c r="L14"/>
      <c r="M14"/>
      <c r="N14"/>
      <c r="O14"/>
      <c r="P14"/>
      <c r="Q14"/>
    </row>
    <row r="15" spans="1:17" x14ac:dyDescent="0.25">
      <c r="A15"/>
      <c r="B15"/>
      <c r="C15"/>
      <c r="D15"/>
      <c r="E15"/>
      <c r="F15"/>
      <c r="G15"/>
      <c r="H15"/>
      <c r="I15"/>
      <c r="J15"/>
      <c r="K15"/>
      <c r="L15"/>
      <c r="M15"/>
      <c r="N15"/>
      <c r="O15"/>
      <c r="P15"/>
      <c r="Q15"/>
    </row>
    <row r="16" spans="1:17" x14ac:dyDescent="0.25">
      <c r="A16"/>
      <c r="B16"/>
      <c r="C16"/>
      <c r="D16"/>
      <c r="E16"/>
      <c r="F16"/>
      <c r="G16"/>
      <c r="H16"/>
      <c r="I16"/>
      <c r="J16"/>
      <c r="K16"/>
      <c r="L16"/>
      <c r="M16"/>
      <c r="N16"/>
      <c r="O16"/>
      <c r="P16"/>
      <c r="Q16"/>
    </row>
    <row r="17" spans="1:17" x14ac:dyDescent="0.25">
      <c r="A17"/>
      <c r="B17"/>
      <c r="C17"/>
      <c r="D17"/>
      <c r="E17"/>
      <c r="F17"/>
      <c r="G17"/>
      <c r="H17"/>
      <c r="I17"/>
      <c r="J17"/>
      <c r="K17"/>
      <c r="L17"/>
      <c r="M17"/>
      <c r="N17"/>
      <c r="O17"/>
      <c r="P17"/>
      <c r="Q17"/>
    </row>
    <row r="18" spans="1:17" x14ac:dyDescent="0.25">
      <c r="A18"/>
      <c r="B18"/>
      <c r="C18"/>
      <c r="D18"/>
      <c r="E18"/>
      <c r="F18"/>
      <c r="G18"/>
      <c r="H18"/>
      <c r="I18"/>
      <c r="J18"/>
      <c r="K18"/>
      <c r="L18"/>
      <c r="M18"/>
      <c r="N18"/>
      <c r="O18"/>
      <c r="P18"/>
      <c r="Q18"/>
    </row>
    <row r="19" spans="1:17" x14ac:dyDescent="0.25">
      <c r="A19"/>
      <c r="B19"/>
      <c r="C19"/>
      <c r="D19"/>
      <c r="E19"/>
      <c r="F19"/>
      <c r="G19"/>
      <c r="H19"/>
      <c r="I19"/>
      <c r="J19"/>
      <c r="K19"/>
      <c r="L19"/>
      <c r="M19"/>
      <c r="N19"/>
      <c r="O19"/>
      <c r="P19"/>
      <c r="Q19"/>
    </row>
    <row r="20" spans="1:17" x14ac:dyDescent="0.25">
      <c r="A20"/>
      <c r="B20"/>
      <c r="C20"/>
      <c r="D20"/>
      <c r="E20"/>
      <c r="F20"/>
      <c r="G20"/>
      <c r="H20"/>
      <c r="I20"/>
      <c r="J20"/>
      <c r="K20"/>
      <c r="L20"/>
      <c r="M20"/>
      <c r="N20"/>
      <c r="O20"/>
      <c r="P20"/>
      <c r="Q20"/>
    </row>
    <row r="21" spans="1:17" x14ac:dyDescent="0.25">
      <c r="A21"/>
      <c r="B21"/>
      <c r="C21"/>
      <c r="D21"/>
      <c r="E21"/>
      <c r="F21"/>
      <c r="G21"/>
      <c r="H21"/>
      <c r="I21"/>
      <c r="J21"/>
      <c r="K21"/>
      <c r="L21"/>
      <c r="M21"/>
      <c r="N21"/>
      <c r="O21"/>
      <c r="P21"/>
      <c r="Q21"/>
    </row>
    <row r="22" spans="1:17" x14ac:dyDescent="0.25">
      <c r="A22"/>
      <c r="B22"/>
      <c r="C22"/>
      <c r="D22"/>
      <c r="E22"/>
      <c r="F22"/>
      <c r="G22"/>
      <c r="H22"/>
      <c r="I22"/>
      <c r="J22"/>
      <c r="K22"/>
      <c r="L22"/>
      <c r="M22"/>
      <c r="N22"/>
      <c r="O22"/>
      <c r="P22"/>
      <c r="Q22"/>
    </row>
    <row r="23" spans="1:17" x14ac:dyDescent="0.25">
      <c r="A23"/>
      <c r="B23"/>
      <c r="C23"/>
      <c r="D23"/>
      <c r="E23"/>
      <c r="F23"/>
      <c r="G23"/>
      <c r="H23"/>
      <c r="I23"/>
      <c r="J23"/>
      <c r="K23"/>
      <c r="L23"/>
      <c r="M23"/>
      <c r="N23"/>
      <c r="O23"/>
      <c r="P23"/>
      <c r="Q23"/>
    </row>
    <row r="24" spans="1:17" x14ac:dyDescent="0.25">
      <c r="A24"/>
      <c r="B24"/>
      <c r="C24"/>
      <c r="D24"/>
      <c r="E24"/>
      <c r="F24"/>
      <c r="G24"/>
      <c r="H24"/>
      <c r="I24"/>
      <c r="J24"/>
      <c r="K24"/>
      <c r="L24"/>
      <c r="M24"/>
      <c r="N24"/>
      <c r="O24"/>
      <c r="P24"/>
      <c r="Q24"/>
    </row>
    <row r="25" spans="1:17" x14ac:dyDescent="0.25">
      <c r="A25"/>
      <c r="B25"/>
      <c r="C25"/>
      <c r="D25"/>
      <c r="E25"/>
      <c r="F25"/>
      <c r="G25"/>
      <c r="H25"/>
      <c r="I25"/>
      <c r="J25"/>
      <c r="K25"/>
      <c r="L25"/>
      <c r="M25"/>
      <c r="N25"/>
      <c r="O25"/>
      <c r="P25"/>
      <c r="Q25"/>
    </row>
    <row r="26" spans="1:17" x14ac:dyDescent="0.25">
      <c r="A26"/>
      <c r="B26"/>
      <c r="C26"/>
      <c r="D26"/>
      <c r="E26"/>
      <c r="F26"/>
      <c r="G26"/>
      <c r="H26"/>
      <c r="I26"/>
      <c r="J26"/>
      <c r="K26"/>
      <c r="L26"/>
      <c r="M26"/>
      <c r="N26"/>
      <c r="O26"/>
      <c r="P26"/>
      <c r="Q26"/>
    </row>
    <row r="27" spans="1:17" x14ac:dyDescent="0.25">
      <c r="A27"/>
      <c r="B27"/>
      <c r="C27"/>
      <c r="D27"/>
      <c r="E27"/>
      <c r="F27"/>
      <c r="G27"/>
      <c r="H27"/>
      <c r="I27"/>
      <c r="J27"/>
      <c r="K27"/>
      <c r="L27"/>
      <c r="M27"/>
      <c r="N27"/>
      <c r="O27"/>
      <c r="P27"/>
      <c r="Q27"/>
    </row>
    <row r="28" spans="1:17" x14ac:dyDescent="0.25">
      <c r="A28"/>
      <c r="B28"/>
      <c r="C28"/>
      <c r="D28"/>
      <c r="E28"/>
      <c r="F28"/>
      <c r="G28"/>
      <c r="H28"/>
      <c r="I28"/>
      <c r="J28"/>
      <c r="K28"/>
      <c r="L28"/>
      <c r="M28"/>
      <c r="N28"/>
      <c r="O28"/>
      <c r="P28"/>
      <c r="Q28"/>
    </row>
    <row r="29" spans="1:17" x14ac:dyDescent="0.25">
      <c r="A29"/>
      <c r="B29"/>
      <c r="C29"/>
      <c r="D29"/>
      <c r="E29"/>
      <c r="F29"/>
      <c r="G29"/>
      <c r="H29"/>
      <c r="I29"/>
      <c r="J29"/>
      <c r="K29"/>
      <c r="L29"/>
      <c r="M29"/>
      <c r="N29"/>
      <c r="O29"/>
      <c r="P29"/>
      <c r="Q29"/>
    </row>
    <row r="30" spans="1:17" x14ac:dyDescent="0.25">
      <c r="A30"/>
      <c r="B30"/>
      <c r="C30"/>
      <c r="D30"/>
      <c r="E30"/>
      <c r="F30"/>
      <c r="G30"/>
      <c r="H30"/>
      <c r="I30"/>
      <c r="J30"/>
      <c r="K30"/>
      <c r="L30"/>
      <c r="M30"/>
      <c r="N30"/>
      <c r="O30"/>
      <c r="P30"/>
      <c r="Q30"/>
    </row>
    <row r="31" spans="1:17" x14ac:dyDescent="0.25">
      <c r="A31"/>
      <c r="B31"/>
      <c r="C31"/>
      <c r="D31"/>
      <c r="E31"/>
      <c r="F31"/>
      <c r="G31"/>
      <c r="H31"/>
      <c r="I31"/>
      <c r="J31"/>
      <c r="K31"/>
      <c r="L31"/>
      <c r="M31"/>
      <c r="N31"/>
      <c r="O31"/>
      <c r="P31"/>
      <c r="Q31"/>
    </row>
    <row r="32" spans="1:17" x14ac:dyDescent="0.25">
      <c r="A32"/>
      <c r="B32"/>
      <c r="C32"/>
      <c r="D32"/>
      <c r="E32"/>
      <c r="F32"/>
      <c r="G32"/>
      <c r="H32"/>
      <c r="I32"/>
      <c r="J32"/>
      <c r="K32"/>
      <c r="L32"/>
      <c r="M32"/>
      <c r="N32"/>
      <c r="O32"/>
      <c r="P32"/>
      <c r="Q32"/>
    </row>
    <row r="33" spans="1:17" x14ac:dyDescent="0.25">
      <c r="A33"/>
      <c r="B33"/>
      <c r="C33"/>
      <c r="D33"/>
      <c r="E33"/>
      <c r="F33"/>
      <c r="G33"/>
      <c r="H33"/>
      <c r="I33"/>
      <c r="J33"/>
      <c r="K33"/>
      <c r="L33"/>
      <c r="M33"/>
      <c r="N33"/>
      <c r="O33"/>
      <c r="P33"/>
      <c r="Q33"/>
    </row>
    <row r="34" spans="1:17" x14ac:dyDescent="0.25">
      <c r="A34"/>
      <c r="B34"/>
      <c r="C34"/>
      <c r="D34"/>
      <c r="E34"/>
      <c r="F34"/>
      <c r="G34"/>
      <c r="H34"/>
      <c r="I34"/>
      <c r="J34"/>
      <c r="K34"/>
      <c r="L34"/>
      <c r="M34"/>
      <c r="N34"/>
      <c r="O34"/>
      <c r="P34"/>
      <c r="Q34"/>
    </row>
    <row r="35" spans="1:17" x14ac:dyDescent="0.25">
      <c r="A35"/>
      <c r="B35"/>
      <c r="C35"/>
      <c r="D35"/>
      <c r="E35"/>
      <c r="F35"/>
      <c r="G35"/>
      <c r="H35"/>
      <c r="I35"/>
      <c r="J35"/>
      <c r="K35"/>
      <c r="L35"/>
      <c r="M35"/>
      <c r="N35"/>
      <c r="O35"/>
      <c r="P35"/>
      <c r="Q35"/>
    </row>
    <row r="36" spans="1:17" x14ac:dyDescent="0.25">
      <c r="A36"/>
      <c r="B36"/>
      <c r="C36"/>
      <c r="D36"/>
      <c r="E36"/>
      <c r="F36"/>
      <c r="G36"/>
      <c r="H36"/>
      <c r="I36"/>
      <c r="J36"/>
      <c r="K36"/>
      <c r="L36"/>
      <c r="M36"/>
      <c r="N36"/>
      <c r="O36"/>
      <c r="P36"/>
      <c r="Q36"/>
    </row>
    <row r="37" spans="1:17" x14ac:dyDescent="0.25">
      <c r="A37"/>
      <c r="B37"/>
      <c r="C37"/>
      <c r="D37"/>
      <c r="E37"/>
      <c r="F37"/>
      <c r="G37"/>
      <c r="H37"/>
      <c r="I37"/>
      <c r="J37"/>
      <c r="K37"/>
      <c r="L37"/>
      <c r="M37"/>
      <c r="N37"/>
      <c r="O37"/>
      <c r="P37"/>
      <c r="Q37"/>
    </row>
    <row r="38" spans="1:17" x14ac:dyDescent="0.25">
      <c r="A38"/>
      <c r="B38"/>
      <c r="C38"/>
      <c r="D38"/>
      <c r="E38"/>
      <c r="F38"/>
      <c r="G38"/>
      <c r="H38"/>
      <c r="I38"/>
      <c r="J38"/>
      <c r="K38"/>
      <c r="L38"/>
      <c r="M38"/>
      <c r="N38"/>
      <c r="O38"/>
      <c r="P38"/>
      <c r="Q38"/>
    </row>
    <row r="39" spans="1:17" x14ac:dyDescent="0.25">
      <c r="A39"/>
      <c r="B39"/>
      <c r="C39"/>
      <c r="D39"/>
      <c r="E39"/>
      <c r="F39"/>
      <c r="G39"/>
      <c r="H39"/>
      <c r="I39"/>
      <c r="J39"/>
      <c r="K39"/>
      <c r="L39"/>
      <c r="M39"/>
      <c r="N39"/>
      <c r="O39"/>
      <c r="P39"/>
      <c r="Q39"/>
    </row>
    <row r="40" spans="1:17" x14ac:dyDescent="0.25">
      <c r="A40"/>
      <c r="B40"/>
      <c r="C40"/>
      <c r="D40"/>
      <c r="E40"/>
      <c r="F40"/>
      <c r="G40"/>
      <c r="H40"/>
      <c r="I40"/>
      <c r="J40"/>
      <c r="K40"/>
      <c r="L40"/>
      <c r="M40"/>
      <c r="N40"/>
      <c r="O40"/>
      <c r="P40"/>
      <c r="Q40"/>
    </row>
    <row r="41" spans="1:17" x14ac:dyDescent="0.25">
      <c r="A41"/>
      <c r="B41"/>
      <c r="C41"/>
      <c r="D41"/>
      <c r="E41"/>
      <c r="F41"/>
      <c r="G41"/>
      <c r="H41"/>
      <c r="I41"/>
      <c r="J41"/>
      <c r="K41"/>
      <c r="L41"/>
      <c r="M41"/>
      <c r="N41"/>
      <c r="O41"/>
      <c r="P41"/>
      <c r="Q41"/>
    </row>
  </sheetData>
  <pageMargins left="0.39370078740157483" right="0.23622047244094491" top="0.74803149606299213" bottom="0.74803149606299213" header="0.31496062992125984" footer="0.31496062992125984"/>
  <pageSetup paperSize="9" fitToWidth="0" orientation="landscape" verticalDpi="0" r:id="rId2"/>
  <headerFooter>
    <oddHeader>&amp;LPréfecture de Haho&amp;C&amp;F&amp;RDélégation Spéciale</oddHeader>
    <oddFooter>&amp;LEdité le &amp;D - &amp;T&amp;R&amp;P/&amp;N</oddFooter>
  </headerFooter>
  <drawing r:id="rId3"/>
  <legacyDrawing r:id="rId4"/>
  <mc:AlternateContent xmlns:mc="http://schemas.openxmlformats.org/markup-compatibility/2006">
    <mc:Choice Requires="x14">
      <controls>
        <mc:AlternateContent xmlns:mc="http://schemas.openxmlformats.org/markup-compatibility/2006">
          <mc:Choice Requires="x14">
            <control shapeId="16385" r:id="rId5" name="Button 1">
              <controlPr defaultSize="0" print="0" autoFill="0" autoPict="0" macro="[0]!Macro4">
                <anchor moveWithCells="1" sizeWithCells="1">
                  <from>
                    <xdr:col>3</xdr:col>
                    <xdr:colOff>266700</xdr:colOff>
                    <xdr:row>0</xdr:row>
                    <xdr:rowOff>28575</xdr:rowOff>
                  </from>
                  <to>
                    <xdr:col>7</xdr:col>
                    <xdr:colOff>438150</xdr:colOff>
                    <xdr:row>1</xdr:row>
                    <xdr:rowOff>114300</xdr:rowOff>
                  </to>
                </anchor>
              </controlPr>
            </control>
          </mc:Choice>
        </mc:AlternateContent>
        <mc:AlternateContent xmlns:mc="http://schemas.openxmlformats.org/markup-compatibility/2006">
          <mc:Choice Requires="x14">
            <control shapeId="16386" r:id="rId6" name="Button 2">
              <controlPr defaultSize="0" print="0" autoFill="0" autoPict="0" macro="[0]!Macro1">
                <anchor moveWithCells="1" sizeWithCells="1">
                  <from>
                    <xdr:col>7</xdr:col>
                    <xdr:colOff>523875</xdr:colOff>
                    <xdr:row>0</xdr:row>
                    <xdr:rowOff>38100</xdr:rowOff>
                  </from>
                  <to>
                    <xdr:col>9</xdr:col>
                    <xdr:colOff>495300</xdr:colOff>
                    <xdr:row>1</xdr:row>
                    <xdr:rowOff>104775</xdr:rowOff>
                  </to>
                </anchor>
              </controlPr>
            </control>
          </mc:Choice>
        </mc:AlternateContent>
        <mc:AlternateContent xmlns:mc="http://schemas.openxmlformats.org/markup-compatibility/2006">
          <mc:Choice Requires="x14">
            <control shapeId="16387" r:id="rId7" name="Button 3">
              <controlPr defaultSize="0" print="0" autoFill="0" autoPict="0" macro="[0]!Graphique">
                <anchor moveWithCells="1" sizeWithCells="1">
                  <from>
                    <xdr:col>9</xdr:col>
                    <xdr:colOff>581025</xdr:colOff>
                    <xdr:row>0</xdr:row>
                    <xdr:rowOff>38100</xdr:rowOff>
                  </from>
                  <to>
                    <xdr:col>11</xdr:col>
                    <xdr:colOff>142875</xdr:colOff>
                    <xdr:row>1</xdr:row>
                    <xdr:rowOff>114300</xdr:rowOff>
                  </to>
                </anchor>
              </controlPr>
            </control>
          </mc:Choice>
        </mc:AlternateContent>
        <mc:AlternateContent xmlns:mc="http://schemas.openxmlformats.org/markup-compatibility/2006">
          <mc:Choice Requires="x14">
            <control shapeId="16388" r:id="rId8" name="Button 4">
              <controlPr defaultSize="0" print="0" autoFill="0" autoPict="0" macro="[0]!Actualiser">
                <anchor moveWithCells="1" sizeWithCells="1">
                  <from>
                    <xdr:col>2</xdr:col>
                    <xdr:colOff>228600</xdr:colOff>
                    <xdr:row>0</xdr:row>
                    <xdr:rowOff>47625</xdr:rowOff>
                  </from>
                  <to>
                    <xdr:col>3</xdr:col>
                    <xdr:colOff>200025</xdr:colOff>
                    <xdr:row>1</xdr:row>
                    <xdr:rowOff>95250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tabColor rgb="FF7030A0"/>
  </sheetPr>
  <dimension ref="A1:BV7"/>
  <sheetViews>
    <sheetView workbookViewId="0">
      <pane ySplit="1" topLeftCell="A2" activePane="bottomLeft" state="frozen"/>
      <selection pane="bottomLeft" activeCell="D5" sqref="D5"/>
    </sheetView>
  </sheetViews>
  <sheetFormatPr baseColWidth="10" defaultRowHeight="15" x14ac:dyDescent="0.25"/>
  <cols>
    <col min="1" max="1" width="18.7109375" bestFit="1" customWidth="1"/>
    <col min="2" max="5" width="10.28515625" bestFit="1" customWidth="1"/>
    <col min="6" max="6" width="12.5703125" bestFit="1" customWidth="1"/>
    <col min="7" max="7" width="9.28515625" bestFit="1" customWidth="1"/>
    <col min="8" max="8" width="8.28515625" bestFit="1" customWidth="1"/>
    <col min="9" max="9" width="12.5703125" bestFit="1" customWidth="1"/>
    <col min="10" max="10" width="24.140625" customWidth="1"/>
    <col min="11" max="11" width="27.28515625" customWidth="1"/>
    <col min="12" max="12" width="24.140625" customWidth="1"/>
    <col min="13" max="13" width="27.28515625" customWidth="1"/>
    <col min="14" max="14" width="24.140625" customWidth="1"/>
    <col min="15" max="15" width="27.28515625" customWidth="1"/>
    <col min="16" max="16" width="24.140625" customWidth="1"/>
    <col min="17" max="17" width="27.28515625" customWidth="1"/>
    <col min="18" max="18" width="24.140625" bestFit="1" customWidth="1"/>
    <col min="19" max="19" width="27.28515625" bestFit="1" customWidth="1"/>
    <col min="20" max="20" width="24.140625" bestFit="1" customWidth="1"/>
    <col min="21" max="21" width="27.28515625" bestFit="1" customWidth="1"/>
    <col min="22" max="22" width="24.140625" bestFit="1" customWidth="1"/>
    <col min="23" max="23" width="27.28515625" bestFit="1" customWidth="1"/>
    <col min="24" max="24" width="24.140625" bestFit="1" customWidth="1"/>
    <col min="25" max="25" width="27.28515625" bestFit="1" customWidth="1"/>
    <col min="26" max="26" width="24.140625" bestFit="1" customWidth="1"/>
    <col min="27" max="27" width="27.28515625" bestFit="1" customWidth="1"/>
    <col min="28" max="28" width="24.140625" bestFit="1" customWidth="1"/>
    <col min="29" max="29" width="27.28515625" bestFit="1" customWidth="1"/>
    <col min="30" max="30" width="24.140625" bestFit="1" customWidth="1"/>
    <col min="31" max="31" width="27.28515625" bestFit="1" customWidth="1"/>
    <col min="32" max="32" width="24.140625" bestFit="1" customWidth="1"/>
    <col min="33" max="33" width="27.28515625" bestFit="1" customWidth="1"/>
    <col min="34" max="34" width="24.140625" bestFit="1" customWidth="1"/>
    <col min="35" max="35" width="27.28515625" bestFit="1" customWidth="1"/>
    <col min="36" max="36" width="24.140625" bestFit="1" customWidth="1"/>
    <col min="37" max="37" width="27.28515625" bestFit="1" customWidth="1"/>
    <col min="38" max="38" width="24.140625" bestFit="1" customWidth="1"/>
    <col min="39" max="39" width="27.28515625" bestFit="1" customWidth="1"/>
    <col min="40" max="40" width="24.140625" bestFit="1" customWidth="1"/>
    <col min="41" max="41" width="27.28515625" bestFit="1" customWidth="1"/>
    <col min="42" max="42" width="24.140625" bestFit="1" customWidth="1"/>
    <col min="43" max="43" width="27.28515625" bestFit="1" customWidth="1"/>
    <col min="44" max="44" width="24.140625" bestFit="1" customWidth="1"/>
    <col min="45" max="45" width="27.28515625" bestFit="1" customWidth="1"/>
    <col min="46" max="46" width="24.140625" bestFit="1" customWidth="1"/>
    <col min="47" max="47" width="27.28515625" bestFit="1" customWidth="1"/>
    <col min="48" max="48" width="24.140625" bestFit="1" customWidth="1"/>
    <col min="49" max="49" width="27.28515625" bestFit="1" customWidth="1"/>
    <col min="50" max="50" width="24.140625" bestFit="1" customWidth="1"/>
    <col min="51" max="51" width="27.28515625" bestFit="1" customWidth="1"/>
    <col min="52" max="52" width="24.140625" bestFit="1" customWidth="1"/>
    <col min="53" max="53" width="27.28515625" bestFit="1" customWidth="1"/>
    <col min="54" max="54" width="24.140625" bestFit="1" customWidth="1"/>
    <col min="55" max="55" width="27.28515625" bestFit="1" customWidth="1"/>
    <col min="56" max="56" width="24.140625" bestFit="1" customWidth="1"/>
    <col min="57" max="57" width="27.28515625" bestFit="1" customWidth="1"/>
    <col min="58" max="58" width="24.140625" bestFit="1" customWidth="1"/>
    <col min="59" max="59" width="27.28515625" bestFit="1" customWidth="1"/>
    <col min="60" max="60" width="24.140625" bestFit="1" customWidth="1"/>
    <col min="61" max="61" width="27.28515625" bestFit="1" customWidth="1"/>
    <col min="62" max="62" width="24.140625" bestFit="1" customWidth="1"/>
    <col min="63" max="63" width="27.28515625" bestFit="1" customWidth="1"/>
    <col min="64" max="64" width="24.140625" bestFit="1" customWidth="1"/>
    <col min="65" max="65" width="27.28515625" bestFit="1" customWidth="1"/>
    <col min="66" max="66" width="24.140625" bestFit="1" customWidth="1"/>
    <col min="67" max="67" width="27.28515625" bestFit="1" customWidth="1"/>
    <col min="68" max="68" width="24.140625" bestFit="1" customWidth="1"/>
    <col min="69" max="69" width="27.28515625" bestFit="1" customWidth="1"/>
    <col min="70" max="70" width="24.140625" bestFit="1" customWidth="1"/>
    <col min="71" max="71" width="27.28515625" bestFit="1" customWidth="1"/>
    <col min="72" max="72" width="24.140625" bestFit="1" customWidth="1"/>
    <col min="73" max="73" width="27.28515625" bestFit="1" customWidth="1"/>
    <col min="74" max="74" width="12.7109375" bestFit="1" customWidth="1"/>
  </cols>
  <sheetData>
    <row r="1" spans="1:74" ht="28.5" customHeight="1" x14ac:dyDescent="0.25">
      <c r="A1" s="126" t="s">
        <v>208</v>
      </c>
      <c r="B1" t="s">
        <v>215</v>
      </c>
    </row>
    <row r="3" spans="1:74" x14ac:dyDescent="0.25">
      <c r="A3" s="126" t="s">
        <v>216</v>
      </c>
      <c r="B3" s="126" t="s">
        <v>113</v>
      </c>
    </row>
    <row r="4" spans="1:74" s="26" customFormat="1" x14ac:dyDescent="0.25">
      <c r="A4" s="134" t="s">
        <v>117</v>
      </c>
      <c r="B4" s="26">
        <v>7055</v>
      </c>
      <c r="C4" s="26">
        <v>7030</v>
      </c>
      <c r="D4" s="26">
        <v>7031</v>
      </c>
      <c r="E4" s="26">
        <v>7140</v>
      </c>
      <c r="F4" s="26" t="s">
        <v>138</v>
      </c>
      <c r="G4"/>
      <c r="H4"/>
      <c r="I4"/>
      <c r="J4"/>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row>
    <row r="5" spans="1:74" x14ac:dyDescent="0.25">
      <c r="A5" t="s">
        <v>425</v>
      </c>
      <c r="B5" s="132">
        <v>18000</v>
      </c>
      <c r="C5" s="132">
        <v>65000</v>
      </c>
      <c r="D5" s="132"/>
      <c r="E5" s="132">
        <v>145000</v>
      </c>
      <c r="F5" s="132">
        <v>228000</v>
      </c>
    </row>
    <row r="6" spans="1:74" x14ac:dyDescent="0.25">
      <c r="A6" t="s">
        <v>426</v>
      </c>
      <c r="B6" s="132"/>
      <c r="C6" s="132"/>
      <c r="D6" s="132">
        <v>95000</v>
      </c>
      <c r="E6" s="132">
        <v>82000</v>
      </c>
      <c r="F6" s="132">
        <v>177000</v>
      </c>
    </row>
    <row r="7" spans="1:74" x14ac:dyDescent="0.25">
      <c r="A7" t="s">
        <v>138</v>
      </c>
      <c r="B7" s="132">
        <v>18000</v>
      </c>
      <c r="C7" s="132">
        <v>65000</v>
      </c>
      <c r="D7" s="132">
        <v>95000</v>
      </c>
      <c r="E7" s="132">
        <v>227000</v>
      </c>
      <c r="F7" s="132">
        <v>405000</v>
      </c>
    </row>
  </sheetData>
  <pageMargins left="0.7" right="0.7" top="0.75" bottom="0.75" header="0.3" footer="0.3"/>
  <pageSetup paperSize="9" orientation="landscape" horizontalDpi="0" verticalDpi="0" r:id="rId2"/>
  <drawing r:id="rId3"/>
  <legacyDrawing r:id="rId4"/>
  <mc:AlternateContent xmlns:mc="http://schemas.openxmlformats.org/markup-compatibility/2006">
    <mc:Choice Requires="x14">
      <controls>
        <mc:AlternateContent xmlns:mc="http://schemas.openxmlformats.org/markup-compatibility/2006">
          <mc:Choice Requires="x14">
            <control shapeId="17409" r:id="rId5" name="Button 1">
              <controlPr defaultSize="0" print="0" autoFill="0" autoPict="0" macro="[0]!Macro3">
                <anchor moveWithCells="1" sizeWithCells="1">
                  <from>
                    <xdr:col>2</xdr:col>
                    <xdr:colOff>114300</xdr:colOff>
                    <xdr:row>0</xdr:row>
                    <xdr:rowOff>47625</xdr:rowOff>
                  </from>
                  <to>
                    <xdr:col>5</xdr:col>
                    <xdr:colOff>295275</xdr:colOff>
                    <xdr:row>0</xdr:row>
                    <xdr:rowOff>304800</xdr:rowOff>
                  </to>
                </anchor>
              </controlPr>
            </control>
          </mc:Choice>
        </mc:AlternateContent>
        <mc:AlternateContent xmlns:mc="http://schemas.openxmlformats.org/markup-compatibility/2006">
          <mc:Choice Requires="x14">
            <control shapeId="17410" r:id="rId6" name="Button 2">
              <controlPr defaultSize="0" print="0" autoFill="0" autoPict="0" macro="[0]!Macro1">
                <anchor moveWithCells="1" sizeWithCells="1">
                  <from>
                    <xdr:col>5</xdr:col>
                    <xdr:colOff>361950</xdr:colOff>
                    <xdr:row>0</xdr:row>
                    <xdr:rowOff>57150</xdr:rowOff>
                  </from>
                  <to>
                    <xdr:col>8</xdr:col>
                    <xdr:colOff>133350</xdr:colOff>
                    <xdr:row>0</xdr:row>
                    <xdr:rowOff>285750</xdr:rowOff>
                  </to>
                </anchor>
              </controlPr>
            </control>
          </mc:Choice>
        </mc:AlternateContent>
        <mc:AlternateContent xmlns:mc="http://schemas.openxmlformats.org/markup-compatibility/2006">
          <mc:Choice Requires="x14">
            <control shapeId="17411" r:id="rId7" name="Button 3">
              <controlPr defaultSize="0" print="0" autoFill="0" autoPict="0" macro="[0]!Macro2">
                <anchor moveWithCells="1" sizeWithCells="1">
                  <from>
                    <xdr:col>8</xdr:col>
                    <xdr:colOff>209550</xdr:colOff>
                    <xdr:row>0</xdr:row>
                    <xdr:rowOff>57150</xdr:rowOff>
                  </from>
                  <to>
                    <xdr:col>9</xdr:col>
                    <xdr:colOff>676275</xdr:colOff>
                    <xdr:row>0</xdr:row>
                    <xdr:rowOff>266700</xdr:rowOff>
                  </to>
                </anchor>
              </controlPr>
            </control>
          </mc:Choice>
        </mc:AlternateContent>
        <mc:AlternateContent xmlns:mc="http://schemas.openxmlformats.org/markup-compatibility/2006">
          <mc:Choice Requires="x14">
            <control shapeId="17412" r:id="rId8" name="Button 4">
              <controlPr defaultSize="0" print="0" autoFill="0" autoPict="0" macro="[0]!Actualiser">
                <anchor moveWithCells="1" sizeWithCells="1">
                  <from>
                    <xdr:col>9</xdr:col>
                    <xdr:colOff>809625</xdr:colOff>
                    <xdr:row>0</xdr:row>
                    <xdr:rowOff>38100</xdr:rowOff>
                  </from>
                  <to>
                    <xdr:col>10</xdr:col>
                    <xdr:colOff>9525</xdr:colOff>
                    <xdr:row>0</xdr:row>
                    <xdr:rowOff>276225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tabColor rgb="FF002060"/>
  </sheetPr>
  <dimension ref="A1"/>
  <sheetViews>
    <sheetView workbookViewId="0">
      <selection activeCell="F88" sqref="F88"/>
    </sheetView>
  </sheetViews>
  <sheetFormatPr baseColWidth="10" defaultRowHeight="15" x14ac:dyDescent="0.25"/>
  <sheetData/>
  <pageMargins left="0.7" right="0.7" top="0.75" bottom="0.75" header="0.3" footer="0.3"/>
  <pageSetup paperSize="9" orientation="portrait" horizontalDpi="0" verticalDpi="0" r:id="rId1"/>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tabColor rgb="FF00B050"/>
    <pageSetUpPr fitToPage="1"/>
  </sheetPr>
  <dimension ref="A2:M279"/>
  <sheetViews>
    <sheetView zoomScaleNormal="100" workbookViewId="0">
      <pane ySplit="5" topLeftCell="A24" activePane="bottomLeft" state="frozen"/>
      <selection pane="bottomLeft" activeCell="F30" sqref="F30"/>
    </sheetView>
  </sheetViews>
  <sheetFormatPr baseColWidth="10" defaultRowHeight="15.75" x14ac:dyDescent="0.2"/>
  <cols>
    <col min="1" max="1" width="7.140625" style="156" customWidth="1"/>
    <col min="2" max="2" width="59.5703125" style="30" customWidth="1"/>
    <col min="3" max="3" width="15.5703125" style="30" customWidth="1"/>
    <col min="4" max="4" width="15.7109375" style="385" customWidth="1"/>
    <col min="5" max="5" width="15.140625" style="30" customWidth="1"/>
    <col min="6" max="6" width="15.7109375" style="30" customWidth="1"/>
    <col min="7" max="7" width="7.42578125" style="30" customWidth="1"/>
    <col min="8" max="8" width="13.85546875" style="30" hidden="1" customWidth="1"/>
    <col min="9" max="10" width="11.42578125" style="30" hidden="1" customWidth="1"/>
    <col min="11" max="11" width="13.85546875" style="30" hidden="1" customWidth="1"/>
    <col min="12" max="13" width="13.85546875" style="30" bestFit="1" customWidth="1"/>
    <col min="14" max="16384" width="11.42578125" style="30"/>
  </cols>
  <sheetData>
    <row r="2" spans="1:12" ht="18.75" x14ac:dyDescent="0.2">
      <c r="A2" s="429" t="s">
        <v>226</v>
      </c>
      <c r="B2" s="429"/>
      <c r="C2" s="429"/>
      <c r="D2" s="429"/>
      <c r="E2" s="429"/>
      <c r="F2" s="429"/>
      <c r="H2" s="68">
        <f>E91-E274</f>
        <v>-0.20714999735355377</v>
      </c>
    </row>
    <row r="3" spans="1:12" x14ac:dyDescent="0.2">
      <c r="D3" s="157"/>
      <c r="E3" s="157">
        <f>D279</f>
        <v>0</v>
      </c>
      <c r="F3" s="158">
        <f>E3/E91</f>
        <v>0</v>
      </c>
    </row>
    <row r="4" spans="1:12" ht="15" customHeight="1" x14ac:dyDescent="0.2">
      <c r="A4" s="424" t="s">
        <v>152</v>
      </c>
      <c r="B4" s="426" t="s">
        <v>0</v>
      </c>
      <c r="C4" s="159" t="s">
        <v>150</v>
      </c>
      <c r="D4" s="160" t="s">
        <v>227</v>
      </c>
      <c r="E4" s="427" t="s">
        <v>228</v>
      </c>
      <c r="F4" s="428" t="s">
        <v>229</v>
      </c>
    </row>
    <row r="5" spans="1:12" ht="21.75" customHeight="1" x14ac:dyDescent="0.2">
      <c r="A5" s="425"/>
      <c r="B5" s="426"/>
      <c r="C5" s="161">
        <v>2015</v>
      </c>
      <c r="D5" s="162" t="s">
        <v>230</v>
      </c>
      <c r="E5" s="427"/>
      <c r="F5" s="428"/>
    </row>
    <row r="6" spans="1:12" x14ac:dyDescent="0.25">
      <c r="A6" s="163">
        <v>70</v>
      </c>
      <c r="B6" s="164" t="s">
        <v>187</v>
      </c>
      <c r="C6" s="165">
        <f>SUM(C8:C26)</f>
        <v>16182000</v>
      </c>
      <c r="D6" s="166">
        <f>SUM(D8:D26)</f>
        <v>7571450</v>
      </c>
      <c r="E6" s="165">
        <f>E8+E12+E22+E24+E26</f>
        <v>16363000</v>
      </c>
      <c r="F6" s="165">
        <f>F8+F12+F22+F24+F26</f>
        <v>16363000</v>
      </c>
    </row>
    <row r="7" spans="1:12" s="55" customFormat="1" x14ac:dyDescent="0.25">
      <c r="A7" s="167">
        <v>701</v>
      </c>
      <c r="B7" s="168" t="s">
        <v>186</v>
      </c>
      <c r="C7" s="169"/>
      <c r="D7" s="170"/>
      <c r="E7" s="169"/>
      <c r="F7" s="169"/>
    </row>
    <row r="8" spans="1:12" x14ac:dyDescent="0.2">
      <c r="A8" s="171">
        <v>7010</v>
      </c>
      <c r="B8" s="172" t="s">
        <v>231</v>
      </c>
      <c r="C8" s="173">
        <v>52000</v>
      </c>
      <c r="D8" s="174">
        <v>0</v>
      </c>
      <c r="E8" s="173">
        <f>2000*12</f>
        <v>24000</v>
      </c>
      <c r="F8" s="175">
        <f>E8</f>
        <v>24000</v>
      </c>
      <c r="L8" s="176"/>
    </row>
    <row r="9" spans="1:12" ht="25.5" x14ac:dyDescent="0.2">
      <c r="A9" s="171"/>
      <c r="B9" s="177" t="s">
        <v>232</v>
      </c>
      <c r="C9" s="173"/>
      <c r="D9" s="178"/>
      <c r="E9" s="173"/>
      <c r="F9" s="179"/>
    </row>
    <row r="10" spans="1:12" x14ac:dyDescent="0.25">
      <c r="A10" s="180">
        <v>702</v>
      </c>
      <c r="B10" s="181" t="s">
        <v>10</v>
      </c>
      <c r="C10" s="182"/>
      <c r="D10" s="183"/>
      <c r="E10" s="184"/>
      <c r="F10" s="185"/>
    </row>
    <row r="11" spans="1:12" x14ac:dyDescent="0.25">
      <c r="A11" s="186"/>
      <c r="B11" s="187" t="s">
        <v>233</v>
      </c>
      <c r="C11" s="188"/>
      <c r="D11" s="174"/>
      <c r="E11" s="188"/>
      <c r="F11" s="175"/>
    </row>
    <row r="12" spans="1:12" ht="15" customHeight="1" x14ac:dyDescent="0.2">
      <c r="A12" s="189">
        <v>703</v>
      </c>
      <c r="B12" s="190" t="s">
        <v>184</v>
      </c>
      <c r="C12" s="191">
        <f t="shared" ref="C12:D12" si="0">SUM(C13:C19)</f>
        <v>4340000</v>
      </c>
      <c r="D12" s="191">
        <f t="shared" si="0"/>
        <v>3342100</v>
      </c>
      <c r="E12" s="191">
        <f>SUM(E13:E19)</f>
        <v>9779000</v>
      </c>
      <c r="F12" s="191">
        <f>SUM(F13:F19)</f>
        <v>9779000</v>
      </c>
      <c r="H12" s="68"/>
    </row>
    <row r="13" spans="1:12" x14ac:dyDescent="0.2">
      <c r="A13" s="192">
        <v>7030</v>
      </c>
      <c r="B13" s="193" t="s">
        <v>234</v>
      </c>
      <c r="C13" s="194">
        <v>3640000</v>
      </c>
      <c r="D13" s="174">
        <v>3342100</v>
      </c>
      <c r="E13" s="194">
        <f>'[1]Etat civil2'!J37</f>
        <v>4214000</v>
      </c>
      <c r="F13" s="175">
        <f>E13</f>
        <v>4214000</v>
      </c>
    </row>
    <row r="14" spans="1:12" x14ac:dyDescent="0.2">
      <c r="A14" s="195">
        <v>7031</v>
      </c>
      <c r="B14" s="196" t="s">
        <v>235</v>
      </c>
      <c r="C14" s="197">
        <v>0</v>
      </c>
      <c r="D14" s="198">
        <v>0</v>
      </c>
      <c r="E14" s="197">
        <f>'[1]Etat civil2'!J38</f>
        <v>0</v>
      </c>
      <c r="F14" s="199">
        <f t="shared" ref="F14:F25" si="1">E14</f>
        <v>0</v>
      </c>
    </row>
    <row r="15" spans="1:12" x14ac:dyDescent="0.2">
      <c r="A15" s="195">
        <v>7032</v>
      </c>
      <c r="B15" s="200" t="s">
        <v>236</v>
      </c>
      <c r="C15" s="197">
        <v>100000</v>
      </c>
      <c r="D15" s="198">
        <v>0</v>
      </c>
      <c r="E15" s="197">
        <f>'[1]Etat civil2'!J39</f>
        <v>900000</v>
      </c>
      <c r="F15" s="199">
        <f t="shared" si="1"/>
        <v>900000</v>
      </c>
    </row>
    <row r="16" spans="1:12" x14ac:dyDescent="0.2">
      <c r="A16" s="195">
        <v>7033</v>
      </c>
      <c r="B16" s="200" t="s">
        <v>237</v>
      </c>
      <c r="C16" s="197">
        <v>500000</v>
      </c>
      <c r="D16" s="198">
        <v>0</v>
      </c>
      <c r="E16" s="197">
        <f>'[1]Etat civil2'!J40</f>
        <v>800000</v>
      </c>
      <c r="F16" s="199">
        <f t="shared" si="1"/>
        <v>800000</v>
      </c>
      <c r="L16" s="68"/>
    </row>
    <row r="17" spans="1:12" x14ac:dyDescent="0.2">
      <c r="A17" s="195">
        <v>7034</v>
      </c>
      <c r="B17" s="200" t="s">
        <v>238</v>
      </c>
      <c r="C17" s="197"/>
      <c r="D17" s="198"/>
      <c r="E17" s="197">
        <f>'[1]Etat civil2'!J41</f>
        <v>840000</v>
      </c>
      <c r="F17" s="199">
        <f t="shared" si="1"/>
        <v>840000</v>
      </c>
      <c r="L17" s="68"/>
    </row>
    <row r="18" spans="1:12" x14ac:dyDescent="0.2">
      <c r="A18" s="195">
        <v>7035</v>
      </c>
      <c r="B18" s="200" t="s">
        <v>239</v>
      </c>
      <c r="C18" s="197"/>
      <c r="D18" s="198"/>
      <c r="E18" s="197">
        <f>'[1]Etat civil2'!J42</f>
        <v>1800000</v>
      </c>
      <c r="F18" s="199">
        <f t="shared" si="1"/>
        <v>1800000</v>
      </c>
      <c r="L18" s="68"/>
    </row>
    <row r="19" spans="1:12" ht="29.25" customHeight="1" x14ac:dyDescent="0.2">
      <c r="A19" s="195">
        <v>7039</v>
      </c>
      <c r="B19" s="201" t="s">
        <v>240</v>
      </c>
      <c r="C19" s="202">
        <v>100000</v>
      </c>
      <c r="D19" s="203">
        <v>0</v>
      </c>
      <c r="E19" s="202">
        <f>'[1]Etat civil2'!J43</f>
        <v>1225000</v>
      </c>
      <c r="F19" s="204">
        <f t="shared" si="1"/>
        <v>1225000</v>
      </c>
      <c r="G19" s="68"/>
      <c r="H19" s="68"/>
      <c r="I19" s="68"/>
      <c r="J19" s="68"/>
      <c r="K19" s="68"/>
      <c r="L19" s="68"/>
    </row>
    <row r="20" spans="1:12" x14ac:dyDescent="0.2">
      <c r="A20" s="189">
        <v>704</v>
      </c>
      <c r="B20" s="205" t="s">
        <v>183</v>
      </c>
      <c r="C20" s="206">
        <v>0</v>
      </c>
      <c r="D20" s="207">
        <v>0</v>
      </c>
      <c r="E20" s="206">
        <v>0</v>
      </c>
      <c r="F20" s="175">
        <f t="shared" si="1"/>
        <v>0</v>
      </c>
    </row>
    <row r="21" spans="1:12" x14ac:dyDescent="0.2">
      <c r="A21" s="189">
        <v>705</v>
      </c>
      <c r="B21" s="190" t="s">
        <v>17</v>
      </c>
      <c r="D21" s="208"/>
      <c r="E21" s="191"/>
      <c r="F21" s="175">
        <f t="shared" si="1"/>
        <v>0</v>
      </c>
    </row>
    <row r="22" spans="1:12" x14ac:dyDescent="0.2">
      <c r="A22" s="44">
        <v>7055</v>
      </c>
      <c r="B22" s="209" t="s">
        <v>197</v>
      </c>
      <c r="C22" s="191">
        <v>7200000</v>
      </c>
      <c r="D22" s="210">
        <v>862250</v>
      </c>
      <c r="E22" s="211">
        <f>400000*12</f>
        <v>4800000</v>
      </c>
      <c r="F22" s="175">
        <f t="shared" si="1"/>
        <v>4800000</v>
      </c>
    </row>
    <row r="23" spans="1:12" x14ac:dyDescent="0.2">
      <c r="A23" s="189">
        <v>706</v>
      </c>
      <c r="B23" s="190" t="s">
        <v>24</v>
      </c>
      <c r="C23" s="191"/>
      <c r="D23" s="208">
        <v>0</v>
      </c>
      <c r="E23" s="191"/>
      <c r="F23" s="175">
        <f t="shared" si="1"/>
        <v>0</v>
      </c>
    </row>
    <row r="24" spans="1:12" x14ac:dyDescent="0.2">
      <c r="A24" s="44">
        <v>7061</v>
      </c>
      <c r="B24" s="209" t="s">
        <v>182</v>
      </c>
      <c r="C24" s="211">
        <v>50000</v>
      </c>
      <c r="D24" s="210">
        <v>0</v>
      </c>
      <c r="E24" s="211">
        <f>10*52*3000</f>
        <v>1560000</v>
      </c>
      <c r="F24" s="175">
        <f t="shared" si="1"/>
        <v>1560000</v>
      </c>
    </row>
    <row r="25" spans="1:12" ht="31.5" customHeight="1" x14ac:dyDescent="0.2">
      <c r="A25" s="44"/>
      <c r="B25" s="212" t="s">
        <v>241</v>
      </c>
      <c r="C25" s="211"/>
      <c r="D25" s="210"/>
      <c r="E25" s="211"/>
      <c r="F25" s="175">
        <f t="shared" si="1"/>
        <v>0</v>
      </c>
    </row>
    <row r="26" spans="1:12" x14ac:dyDescent="0.2">
      <c r="A26" s="189">
        <v>709</v>
      </c>
      <c r="B26" s="190" t="s">
        <v>181</v>
      </c>
      <c r="C26" s="191">
        <v>200000</v>
      </c>
      <c r="D26" s="208">
        <v>25000</v>
      </c>
      <c r="E26" s="191">
        <v>200000</v>
      </c>
      <c r="F26" s="169">
        <f>E26</f>
        <v>200000</v>
      </c>
    </row>
    <row r="27" spans="1:12" x14ac:dyDescent="0.25">
      <c r="A27" s="213">
        <v>71</v>
      </c>
      <c r="B27" s="214" t="s">
        <v>180</v>
      </c>
      <c r="C27" s="215">
        <f>SUM(C28:C53)</f>
        <v>32412000</v>
      </c>
      <c r="D27" s="216">
        <f>SUM(D28:D53)</f>
        <v>15946730</v>
      </c>
      <c r="E27" s="215">
        <f>E32+E40+E50+E53</f>
        <v>50560000</v>
      </c>
      <c r="F27" s="215">
        <f>F32+F40+F50+F53+F30</f>
        <v>51560000</v>
      </c>
    </row>
    <row r="28" spans="1:12" s="55" customFormat="1" ht="15.75" hidden="1" customHeight="1" x14ac:dyDescent="0.2">
      <c r="A28" s="217">
        <v>711</v>
      </c>
      <c r="B28" s="67" t="s">
        <v>179</v>
      </c>
      <c r="C28" s="218"/>
      <c r="D28" s="219"/>
      <c r="E28" s="218"/>
      <c r="F28" s="218"/>
    </row>
    <row r="29" spans="1:12" s="55" customFormat="1" ht="32.25" hidden="1" customHeight="1" x14ac:dyDescent="0.2">
      <c r="A29" s="217"/>
      <c r="B29" s="64" t="s">
        <v>178</v>
      </c>
      <c r="C29" s="220"/>
      <c r="D29" s="221"/>
      <c r="E29" s="220"/>
      <c r="F29" s="220"/>
    </row>
    <row r="30" spans="1:12" s="55" customFormat="1" x14ac:dyDescent="0.2">
      <c r="A30" s="189">
        <v>712</v>
      </c>
      <c r="B30" s="190" t="s">
        <v>177</v>
      </c>
      <c r="C30" s="222">
        <v>300000</v>
      </c>
      <c r="D30" s="223">
        <v>0</v>
      </c>
      <c r="E30" s="222">
        <f>200*5000</f>
        <v>1000000</v>
      </c>
      <c r="F30" s="191">
        <f>E30</f>
        <v>1000000</v>
      </c>
      <c r="L30" s="224"/>
    </row>
    <row r="31" spans="1:12" s="55" customFormat="1" ht="45" x14ac:dyDescent="0.2">
      <c r="A31" s="189"/>
      <c r="B31" s="212" t="s">
        <v>242</v>
      </c>
      <c r="C31" s="222"/>
      <c r="D31" s="223"/>
      <c r="E31" s="222"/>
      <c r="F31" s="191"/>
    </row>
    <row r="32" spans="1:12" x14ac:dyDescent="0.2">
      <c r="A32" s="225">
        <v>714</v>
      </c>
      <c r="B32" s="226" t="s">
        <v>243</v>
      </c>
      <c r="C32" s="227">
        <v>15184000</v>
      </c>
      <c r="D32" s="228">
        <v>8906530</v>
      </c>
      <c r="E32" s="227">
        <f>K32</f>
        <v>21320000</v>
      </c>
      <c r="F32" s="227">
        <f>E32</f>
        <v>21320000</v>
      </c>
      <c r="K32" s="229">
        <f>SUM(K33:K39)</f>
        <v>21320000</v>
      </c>
    </row>
    <row r="33" spans="1:12" x14ac:dyDescent="0.2">
      <c r="A33" s="230"/>
      <c r="B33" s="231" t="s">
        <v>244</v>
      </c>
      <c r="C33" s="194"/>
      <c r="D33" s="232"/>
      <c r="E33" s="233"/>
      <c r="F33" s="234"/>
      <c r="H33" s="235" t="s">
        <v>143</v>
      </c>
      <c r="I33" s="236">
        <v>60000</v>
      </c>
      <c r="J33" s="237">
        <v>52</v>
      </c>
      <c r="K33" s="236">
        <f>I33*J33</f>
        <v>3120000</v>
      </c>
    </row>
    <row r="34" spans="1:12" x14ac:dyDescent="0.2">
      <c r="A34" s="238"/>
      <c r="B34" s="239" t="s">
        <v>245</v>
      </c>
      <c r="C34" s="197"/>
      <c r="D34" s="240"/>
      <c r="E34" s="241"/>
      <c r="F34" s="242"/>
      <c r="H34" s="235" t="s">
        <v>142</v>
      </c>
      <c r="I34" s="236">
        <v>65000</v>
      </c>
      <c r="J34" s="237">
        <v>52</v>
      </c>
      <c r="K34" s="236">
        <f t="shared" ref="K34:K39" si="2">I34*J34</f>
        <v>3380000</v>
      </c>
      <c r="L34" s="68"/>
    </row>
    <row r="35" spans="1:12" x14ac:dyDescent="0.2">
      <c r="A35" s="238"/>
      <c r="B35" s="239" t="s">
        <v>246</v>
      </c>
      <c r="C35" s="197"/>
      <c r="D35" s="240"/>
      <c r="E35" s="241"/>
      <c r="F35" s="242"/>
      <c r="H35" s="235" t="s">
        <v>144</v>
      </c>
      <c r="I35" s="236">
        <v>45000</v>
      </c>
      <c r="J35" s="237">
        <v>52</v>
      </c>
      <c r="K35" s="236">
        <f t="shared" si="2"/>
        <v>2340000</v>
      </c>
    </row>
    <row r="36" spans="1:12" x14ac:dyDescent="0.2">
      <c r="A36" s="238"/>
      <c r="B36" s="239" t="s">
        <v>247</v>
      </c>
      <c r="C36" s="197"/>
      <c r="D36" s="240"/>
      <c r="E36" s="241"/>
      <c r="F36" s="242"/>
      <c r="H36" s="235" t="s">
        <v>248</v>
      </c>
      <c r="I36" s="236">
        <v>40000</v>
      </c>
      <c r="J36" s="237">
        <v>52</v>
      </c>
      <c r="K36" s="236">
        <f t="shared" si="2"/>
        <v>2080000</v>
      </c>
    </row>
    <row r="37" spans="1:12" x14ac:dyDescent="0.2">
      <c r="A37" s="238"/>
      <c r="B37" s="239" t="s">
        <v>249</v>
      </c>
      <c r="C37" s="197"/>
      <c r="D37" s="240"/>
      <c r="E37" s="241"/>
      <c r="F37" s="242"/>
      <c r="H37" s="235" t="s">
        <v>250</v>
      </c>
      <c r="I37" s="236">
        <v>35000</v>
      </c>
      <c r="J37" s="237">
        <v>52</v>
      </c>
      <c r="K37" s="236">
        <f t="shared" si="2"/>
        <v>1820000</v>
      </c>
    </row>
    <row r="38" spans="1:12" x14ac:dyDescent="0.2">
      <c r="A38" s="238"/>
      <c r="B38" s="239" t="s">
        <v>251</v>
      </c>
      <c r="C38" s="197"/>
      <c r="D38" s="240"/>
      <c r="E38" s="241"/>
      <c r="F38" s="242"/>
      <c r="H38" s="235" t="s">
        <v>252</v>
      </c>
      <c r="I38" s="236">
        <v>30000</v>
      </c>
      <c r="J38" s="237">
        <v>52</v>
      </c>
      <c r="K38" s="236">
        <f t="shared" si="2"/>
        <v>1560000</v>
      </c>
    </row>
    <row r="39" spans="1:12" x14ac:dyDescent="0.2">
      <c r="A39" s="243"/>
      <c r="B39" s="244" t="s">
        <v>253</v>
      </c>
      <c r="C39" s="245"/>
      <c r="D39" s="246"/>
      <c r="E39" s="247"/>
      <c r="F39" s="248"/>
      <c r="H39" s="235" t="s">
        <v>31</v>
      </c>
      <c r="I39" s="236">
        <v>135000</v>
      </c>
      <c r="J39" s="237">
        <v>52</v>
      </c>
      <c r="K39" s="236">
        <f t="shared" si="2"/>
        <v>7020000</v>
      </c>
    </row>
    <row r="40" spans="1:12" x14ac:dyDescent="0.2">
      <c r="A40" s="249">
        <v>7141</v>
      </c>
      <c r="B40" s="250" t="s">
        <v>175</v>
      </c>
      <c r="C40" s="251">
        <v>16328000</v>
      </c>
      <c r="D40" s="252">
        <v>6632200</v>
      </c>
      <c r="E40" s="251">
        <f>K50</f>
        <v>27040000</v>
      </c>
      <c r="F40" s="251">
        <f>E40</f>
        <v>27040000</v>
      </c>
    </row>
    <row r="41" spans="1:12" x14ac:dyDescent="0.25">
      <c r="A41" s="230"/>
      <c r="B41" s="231" t="s">
        <v>254</v>
      </c>
      <c r="C41" s="253"/>
      <c r="D41" s="254"/>
      <c r="E41" s="233"/>
      <c r="F41" s="255"/>
      <c r="H41" s="235" t="s">
        <v>144</v>
      </c>
      <c r="I41" s="256">
        <v>60000</v>
      </c>
      <c r="J41" s="257">
        <v>52</v>
      </c>
      <c r="K41" s="256">
        <f>I41*J41</f>
        <v>3120000</v>
      </c>
    </row>
    <row r="42" spans="1:12" x14ac:dyDescent="0.25">
      <c r="A42" s="238"/>
      <c r="B42" s="239" t="s">
        <v>255</v>
      </c>
      <c r="C42" s="258"/>
      <c r="D42" s="259"/>
      <c r="E42" s="241"/>
      <c r="F42" s="260"/>
      <c r="H42" s="235" t="s">
        <v>142</v>
      </c>
      <c r="I42" s="236">
        <v>75000</v>
      </c>
      <c r="J42" s="257">
        <v>52</v>
      </c>
      <c r="K42" s="256">
        <f t="shared" ref="K42:K49" si="3">I42*J42</f>
        <v>3900000</v>
      </c>
    </row>
    <row r="43" spans="1:12" x14ac:dyDescent="0.25">
      <c r="A43" s="238"/>
      <c r="B43" s="239" t="s">
        <v>256</v>
      </c>
      <c r="C43" s="258"/>
      <c r="D43" s="259"/>
      <c r="E43" s="241"/>
      <c r="F43" s="260"/>
      <c r="H43" s="235" t="s">
        <v>143</v>
      </c>
      <c r="I43" s="236">
        <v>50000</v>
      </c>
      <c r="J43" s="257">
        <v>52</v>
      </c>
      <c r="K43" s="256">
        <f t="shared" si="3"/>
        <v>2600000</v>
      </c>
    </row>
    <row r="44" spans="1:12" x14ac:dyDescent="0.25">
      <c r="A44" s="238"/>
      <c r="B44" s="239" t="s">
        <v>257</v>
      </c>
      <c r="C44" s="258"/>
      <c r="D44" s="259"/>
      <c r="E44" s="241"/>
      <c r="F44" s="260"/>
      <c r="H44" s="235" t="s">
        <v>139</v>
      </c>
      <c r="I44" s="236">
        <v>45000</v>
      </c>
      <c r="J44" s="257">
        <v>52</v>
      </c>
      <c r="K44" s="256">
        <f t="shared" si="3"/>
        <v>2340000</v>
      </c>
    </row>
    <row r="45" spans="1:12" x14ac:dyDescent="0.25">
      <c r="A45" s="238"/>
      <c r="B45" s="239" t="s">
        <v>258</v>
      </c>
      <c r="C45" s="258"/>
      <c r="D45" s="259"/>
      <c r="E45" s="241"/>
      <c r="F45" s="260"/>
      <c r="H45" s="235" t="s">
        <v>141</v>
      </c>
      <c r="I45" s="236">
        <v>40000</v>
      </c>
      <c r="J45" s="257">
        <v>52</v>
      </c>
      <c r="K45" s="256">
        <f t="shared" si="3"/>
        <v>2080000</v>
      </c>
    </row>
    <row r="46" spans="1:12" x14ac:dyDescent="0.25">
      <c r="A46" s="238"/>
      <c r="B46" s="239" t="s">
        <v>259</v>
      </c>
      <c r="C46" s="258"/>
      <c r="D46" s="259"/>
      <c r="E46" s="241"/>
      <c r="F46" s="260"/>
      <c r="H46" s="235" t="s">
        <v>140</v>
      </c>
      <c r="I46" s="236">
        <v>35000</v>
      </c>
      <c r="J46" s="257">
        <v>52</v>
      </c>
      <c r="K46" s="256">
        <f t="shared" si="3"/>
        <v>1820000</v>
      </c>
    </row>
    <row r="47" spans="1:12" x14ac:dyDescent="0.25">
      <c r="A47" s="238"/>
      <c r="B47" s="239" t="s">
        <v>260</v>
      </c>
      <c r="C47" s="258"/>
      <c r="D47" s="259"/>
      <c r="E47" s="241"/>
      <c r="F47" s="260"/>
      <c r="H47" s="235" t="s">
        <v>248</v>
      </c>
      <c r="I47" s="236">
        <v>35000</v>
      </c>
      <c r="J47" s="257">
        <v>52</v>
      </c>
      <c r="K47" s="256">
        <f t="shared" si="3"/>
        <v>1820000</v>
      </c>
    </row>
    <row r="48" spans="1:12" x14ac:dyDescent="0.25">
      <c r="A48" s="238"/>
      <c r="B48" s="239" t="s">
        <v>261</v>
      </c>
      <c r="C48" s="258"/>
      <c r="D48" s="259"/>
      <c r="E48" s="241"/>
      <c r="F48" s="260"/>
      <c r="H48" s="235" t="s">
        <v>262</v>
      </c>
      <c r="I48" s="256">
        <v>30000</v>
      </c>
      <c r="J48" s="257">
        <v>52</v>
      </c>
      <c r="K48" s="256">
        <f t="shared" si="3"/>
        <v>1560000</v>
      </c>
    </row>
    <row r="49" spans="1:11" x14ac:dyDescent="0.25">
      <c r="A49" s="243"/>
      <c r="B49" s="244" t="s">
        <v>263</v>
      </c>
      <c r="C49" s="261"/>
      <c r="D49" s="262"/>
      <c r="E49" s="247"/>
      <c r="F49" s="263"/>
      <c r="H49" s="235" t="s">
        <v>31</v>
      </c>
      <c r="I49" s="256">
        <v>150000</v>
      </c>
      <c r="J49" s="257">
        <v>52</v>
      </c>
      <c r="K49" s="256">
        <f t="shared" si="3"/>
        <v>7800000</v>
      </c>
    </row>
    <row r="50" spans="1:11" x14ac:dyDescent="0.25">
      <c r="A50" s="264">
        <v>715</v>
      </c>
      <c r="B50" s="205" t="s">
        <v>174</v>
      </c>
      <c r="C50" s="265">
        <v>500000</v>
      </c>
      <c r="D50" s="266"/>
      <c r="E50" s="266">
        <f>E51+E52</f>
        <v>700000</v>
      </c>
      <c r="F50" s="266">
        <f>F51+F52</f>
        <v>700000</v>
      </c>
      <c r="H50" s="267"/>
      <c r="I50" s="145"/>
      <c r="J50"/>
      <c r="K50" s="268">
        <f>SUM(K41:K49)</f>
        <v>27040000</v>
      </c>
    </row>
    <row r="51" spans="1:11" ht="30" x14ac:dyDescent="0.2">
      <c r="A51" s="44">
        <v>7150</v>
      </c>
      <c r="B51" s="212" t="s">
        <v>264</v>
      </c>
      <c r="C51" s="269"/>
      <c r="D51" s="270">
        <v>276000</v>
      </c>
      <c r="E51" s="184">
        <v>500000</v>
      </c>
      <c r="F51" s="184">
        <f>E51</f>
        <v>500000</v>
      </c>
    </row>
    <row r="52" spans="1:11" x14ac:dyDescent="0.2">
      <c r="A52" s="44">
        <v>7151</v>
      </c>
      <c r="B52" s="209" t="s">
        <v>196</v>
      </c>
      <c r="C52" s="191"/>
      <c r="D52" s="210">
        <v>132000</v>
      </c>
      <c r="E52" s="211">
        <v>200000</v>
      </c>
      <c r="F52" s="184">
        <f>E52</f>
        <v>200000</v>
      </c>
    </row>
    <row r="53" spans="1:11" x14ac:dyDescent="0.2">
      <c r="A53" s="189">
        <v>719</v>
      </c>
      <c r="B53" s="190" t="s">
        <v>173</v>
      </c>
      <c r="C53" s="191">
        <v>100000</v>
      </c>
      <c r="D53" s="208">
        <v>0</v>
      </c>
      <c r="E53" s="266">
        <f>E54+E55</f>
        <v>1500000</v>
      </c>
      <c r="F53" s="266">
        <f>F54+F55</f>
        <v>1500000</v>
      </c>
    </row>
    <row r="54" spans="1:11" x14ac:dyDescent="0.2">
      <c r="A54" s="44">
        <v>7190</v>
      </c>
      <c r="B54" s="209" t="s">
        <v>265</v>
      </c>
      <c r="C54" s="191"/>
      <c r="D54" s="208"/>
      <c r="E54" s="211">
        <v>1000000</v>
      </c>
      <c r="F54" s="211">
        <f>E54</f>
        <v>1000000</v>
      </c>
    </row>
    <row r="55" spans="1:11" x14ac:dyDescent="0.2">
      <c r="A55" s="44">
        <v>7191</v>
      </c>
      <c r="B55" s="209" t="s">
        <v>44</v>
      </c>
      <c r="C55" s="191"/>
      <c r="D55" s="208"/>
      <c r="E55" s="211">
        <v>500000</v>
      </c>
      <c r="F55" s="211">
        <f>E55</f>
        <v>500000</v>
      </c>
    </row>
    <row r="56" spans="1:11" x14ac:dyDescent="0.25">
      <c r="A56" s="213">
        <v>73</v>
      </c>
      <c r="B56" s="214" t="s">
        <v>172</v>
      </c>
      <c r="C56" s="215">
        <f>SUM(C57:C59)</f>
        <v>70000</v>
      </c>
      <c r="D56" s="216">
        <f>SUM(D57:D59)</f>
        <v>396510</v>
      </c>
      <c r="E56" s="215">
        <f>SUM(E57)</f>
        <v>1582000</v>
      </c>
      <c r="F56" s="215">
        <f>SUM(F57)</f>
        <v>1582000</v>
      </c>
    </row>
    <row r="57" spans="1:11" x14ac:dyDescent="0.2">
      <c r="A57" s="271">
        <v>730</v>
      </c>
      <c r="B57" s="272" t="s">
        <v>171</v>
      </c>
      <c r="C57" s="211">
        <v>70000</v>
      </c>
      <c r="D57" s="210">
        <v>396510</v>
      </c>
      <c r="E57" s="211">
        <v>1582000</v>
      </c>
      <c r="F57" s="211">
        <f>E57</f>
        <v>1582000</v>
      </c>
    </row>
    <row r="58" spans="1:11" ht="30" x14ac:dyDescent="0.2">
      <c r="A58" s="271"/>
      <c r="B58" s="273" t="s">
        <v>266</v>
      </c>
      <c r="C58" s="211"/>
      <c r="D58" s="210"/>
      <c r="E58" s="274"/>
      <c r="F58" s="211"/>
    </row>
    <row r="59" spans="1:11" hidden="1" x14ac:dyDescent="0.2">
      <c r="A59" s="271">
        <v>732</v>
      </c>
      <c r="B59" s="273" t="s">
        <v>170</v>
      </c>
      <c r="C59" s="211">
        <v>0</v>
      </c>
      <c r="D59" s="210">
        <v>0</v>
      </c>
      <c r="E59" s="211">
        <v>0</v>
      </c>
      <c r="F59" s="211"/>
    </row>
    <row r="60" spans="1:11" x14ac:dyDescent="0.25">
      <c r="A60" s="213">
        <v>74</v>
      </c>
      <c r="B60" s="275" t="s">
        <v>169</v>
      </c>
      <c r="C60" s="215">
        <f>SUM(C61:C62)</f>
        <v>100000</v>
      </c>
      <c r="D60" s="216">
        <f>SUM(D61:D62)</f>
        <v>0</v>
      </c>
      <c r="E60" s="215">
        <f>SUM(E61:E62)</f>
        <v>100000</v>
      </c>
      <c r="F60" s="215">
        <f>SUM(F61:F62)</f>
        <v>100000</v>
      </c>
    </row>
    <row r="61" spans="1:11" x14ac:dyDescent="0.2">
      <c r="A61" s="271">
        <v>741</v>
      </c>
      <c r="B61" s="272" t="s">
        <v>168</v>
      </c>
      <c r="C61" s="211">
        <v>0</v>
      </c>
      <c r="D61" s="210">
        <v>0</v>
      </c>
      <c r="E61" s="211">
        <v>0</v>
      </c>
      <c r="F61" s="211">
        <f>E61</f>
        <v>0</v>
      </c>
    </row>
    <row r="62" spans="1:11" x14ac:dyDescent="0.2">
      <c r="A62" s="271">
        <v>742</v>
      </c>
      <c r="B62" s="272" t="s">
        <v>167</v>
      </c>
      <c r="C62" s="211">
        <v>100000</v>
      </c>
      <c r="D62" s="210">
        <v>0</v>
      </c>
      <c r="E62" s="211">
        <v>100000</v>
      </c>
      <c r="F62" s="211">
        <f>E62</f>
        <v>100000</v>
      </c>
    </row>
    <row r="63" spans="1:11" x14ac:dyDescent="0.2">
      <c r="A63" s="276"/>
      <c r="B63" s="277"/>
      <c r="C63" s="197"/>
      <c r="D63" s="278"/>
      <c r="E63" s="197"/>
      <c r="F63" s="197"/>
    </row>
    <row r="64" spans="1:11" x14ac:dyDescent="0.2">
      <c r="A64" s="276"/>
      <c r="B64" s="277"/>
      <c r="C64" s="197"/>
      <c r="D64" s="278"/>
      <c r="E64" s="197"/>
      <c r="F64" s="197"/>
    </row>
    <row r="65" spans="1:6" x14ac:dyDescent="0.2">
      <c r="A65" s="276"/>
      <c r="B65" s="277"/>
      <c r="C65" s="197"/>
      <c r="D65" s="278"/>
      <c r="E65" s="197"/>
      <c r="F65" s="197"/>
    </row>
    <row r="66" spans="1:6" x14ac:dyDescent="0.2">
      <c r="A66" s="276"/>
      <c r="B66" s="277"/>
      <c r="C66" s="197"/>
      <c r="D66" s="278"/>
      <c r="E66" s="197"/>
      <c r="F66" s="197"/>
    </row>
    <row r="67" spans="1:6" ht="15" customHeight="1" x14ac:dyDescent="0.2">
      <c r="A67" s="430" t="s">
        <v>152</v>
      </c>
      <c r="B67" s="431" t="s">
        <v>0</v>
      </c>
      <c r="C67" s="279" t="s">
        <v>150</v>
      </c>
      <c r="D67" s="280" t="s">
        <v>227</v>
      </c>
      <c r="E67" s="432" t="s">
        <v>228</v>
      </c>
      <c r="F67" s="428" t="s">
        <v>229</v>
      </c>
    </row>
    <row r="68" spans="1:6" ht="21.75" customHeight="1" x14ac:dyDescent="0.2">
      <c r="A68" s="430"/>
      <c r="B68" s="431"/>
      <c r="C68" s="54">
        <v>2015</v>
      </c>
      <c r="D68" s="281" t="s">
        <v>230</v>
      </c>
      <c r="E68" s="432"/>
      <c r="F68" s="428"/>
    </row>
    <row r="69" spans="1:6" x14ac:dyDescent="0.25">
      <c r="A69" s="213">
        <v>75</v>
      </c>
      <c r="B69" s="275" t="s">
        <v>166</v>
      </c>
      <c r="C69" s="215">
        <f>SUM(C71:C79)</f>
        <v>23000000</v>
      </c>
      <c r="D69" s="216">
        <f>SUM(D71:D77)</f>
        <v>1534293</v>
      </c>
      <c r="E69" s="215">
        <f>SUM(E71:E77)</f>
        <v>13700000</v>
      </c>
      <c r="F69" s="215">
        <f>SUM(F71:F77)</f>
        <v>13700000</v>
      </c>
    </row>
    <row r="70" spans="1:6" s="55" customFormat="1" x14ac:dyDescent="0.25">
      <c r="A70" s="167">
        <v>750</v>
      </c>
      <c r="B70" s="282" t="s">
        <v>64</v>
      </c>
      <c r="C70" s="169"/>
      <c r="D70" s="170"/>
      <c r="E70" s="169"/>
      <c r="F70" s="169"/>
    </row>
    <row r="71" spans="1:6" ht="17.25" customHeight="1" x14ac:dyDescent="0.2">
      <c r="A71" s="283">
        <v>7501</v>
      </c>
      <c r="B71" s="272" t="s">
        <v>66</v>
      </c>
      <c r="C71" s="284">
        <v>450000</v>
      </c>
      <c r="D71" s="285">
        <v>0</v>
      </c>
      <c r="E71" s="284">
        <v>0</v>
      </c>
      <c r="F71" s="284">
        <f>E71</f>
        <v>0</v>
      </c>
    </row>
    <row r="72" spans="1:6" ht="17.25" customHeight="1" x14ac:dyDescent="0.2">
      <c r="A72" s="271">
        <v>7502</v>
      </c>
      <c r="B72" s="272" t="s">
        <v>165</v>
      </c>
      <c r="C72" s="284">
        <v>0</v>
      </c>
      <c r="D72" s="285">
        <v>0</v>
      </c>
      <c r="E72" s="284">
        <v>0</v>
      </c>
      <c r="F72" s="284">
        <f t="shared" ref="F72:F79" si="4">E72</f>
        <v>0</v>
      </c>
    </row>
    <row r="73" spans="1:6" x14ac:dyDescent="0.2">
      <c r="A73" s="271">
        <v>7503</v>
      </c>
      <c r="B73" s="272" t="s">
        <v>164</v>
      </c>
      <c r="C73" s="286">
        <v>16500000</v>
      </c>
      <c r="D73" s="287">
        <v>940990</v>
      </c>
      <c r="E73" s="286">
        <v>12000000</v>
      </c>
      <c r="F73" s="284">
        <f t="shared" si="4"/>
        <v>12000000</v>
      </c>
    </row>
    <row r="74" spans="1:6" x14ac:dyDescent="0.2">
      <c r="A74" s="271">
        <v>7504</v>
      </c>
      <c r="B74" s="272" t="s">
        <v>163</v>
      </c>
      <c r="C74" s="286">
        <v>1450000</v>
      </c>
      <c r="D74" s="287">
        <v>106200</v>
      </c>
      <c r="E74" s="286">
        <v>200000</v>
      </c>
      <c r="F74" s="284">
        <f t="shared" si="4"/>
        <v>200000</v>
      </c>
    </row>
    <row r="75" spans="1:6" x14ac:dyDescent="0.2">
      <c r="A75" s="271">
        <v>7505</v>
      </c>
      <c r="B75" s="272" t="s">
        <v>267</v>
      </c>
      <c r="C75" s="286">
        <v>3000000</v>
      </c>
      <c r="D75" s="287">
        <v>487103</v>
      </c>
      <c r="E75" s="286">
        <v>1000000</v>
      </c>
      <c r="F75" s="284">
        <f t="shared" si="4"/>
        <v>1000000</v>
      </c>
    </row>
    <row r="76" spans="1:6" x14ac:dyDescent="0.2">
      <c r="A76" s="189">
        <v>751</v>
      </c>
      <c r="B76" s="288" t="s">
        <v>71</v>
      </c>
      <c r="C76" s="222"/>
      <c r="D76" s="223"/>
      <c r="E76" s="222">
        <v>0</v>
      </c>
      <c r="F76" s="284">
        <f t="shared" si="4"/>
        <v>0</v>
      </c>
    </row>
    <row r="77" spans="1:6" x14ac:dyDescent="0.2">
      <c r="A77" s="271">
        <v>7511</v>
      </c>
      <c r="B77" s="272" t="s">
        <v>161</v>
      </c>
      <c r="C77" s="286">
        <v>1600000</v>
      </c>
      <c r="D77" s="287">
        <v>0</v>
      </c>
      <c r="E77" s="286">
        <v>500000</v>
      </c>
      <c r="F77" s="284">
        <f t="shared" si="4"/>
        <v>500000</v>
      </c>
    </row>
    <row r="78" spans="1:6" x14ac:dyDescent="0.2">
      <c r="A78" s="189">
        <v>752</v>
      </c>
      <c r="B78" s="288" t="s">
        <v>76</v>
      </c>
      <c r="C78" s="222"/>
      <c r="D78" s="289"/>
      <c r="E78" s="222"/>
      <c r="F78" s="284">
        <f t="shared" si="4"/>
        <v>0</v>
      </c>
    </row>
    <row r="79" spans="1:6" x14ac:dyDescent="0.2">
      <c r="A79" s="271">
        <v>7523</v>
      </c>
      <c r="B79" s="273" t="s">
        <v>160</v>
      </c>
      <c r="C79" s="286">
        <v>0</v>
      </c>
      <c r="D79" s="287">
        <v>0</v>
      </c>
      <c r="E79" s="286">
        <v>0</v>
      </c>
      <c r="F79" s="284">
        <f t="shared" si="4"/>
        <v>0</v>
      </c>
    </row>
    <row r="80" spans="1:6" x14ac:dyDescent="0.25">
      <c r="A80" s="213">
        <v>76</v>
      </c>
      <c r="B80" s="275" t="s">
        <v>159</v>
      </c>
      <c r="C80" s="215">
        <f>SUM(C81:C87)</f>
        <v>2220000</v>
      </c>
      <c r="D80" s="216">
        <f>SUM(D81:D87)</f>
        <v>1233750</v>
      </c>
      <c r="E80" s="215">
        <f>SUM(E81:E87)</f>
        <v>3040000</v>
      </c>
      <c r="F80" s="215">
        <f>SUM(F81:F87)</f>
        <v>3040000</v>
      </c>
    </row>
    <row r="81" spans="1:6" x14ac:dyDescent="0.2">
      <c r="A81" s="271">
        <v>760</v>
      </c>
      <c r="B81" s="272" t="s">
        <v>83</v>
      </c>
      <c r="C81" s="211">
        <v>0</v>
      </c>
      <c r="D81" s="210">
        <v>16000</v>
      </c>
      <c r="E81" s="211">
        <v>300000</v>
      </c>
      <c r="F81" s="211">
        <f>E81</f>
        <v>300000</v>
      </c>
    </row>
    <row r="82" spans="1:6" ht="30" x14ac:dyDescent="0.2">
      <c r="A82" s="271"/>
      <c r="B82" s="273" t="s">
        <v>268</v>
      </c>
      <c r="C82" s="211"/>
      <c r="D82" s="210"/>
      <c r="E82" s="184">
        <v>0</v>
      </c>
      <c r="F82" s="211">
        <f t="shared" ref="F82:F87" si="5">E82</f>
        <v>0</v>
      </c>
    </row>
    <row r="83" spans="1:6" x14ac:dyDescent="0.2">
      <c r="A83" s="271">
        <v>763</v>
      </c>
      <c r="B83" s="272" t="s">
        <v>157</v>
      </c>
      <c r="C83" s="211">
        <v>100000</v>
      </c>
      <c r="D83" s="210">
        <v>0</v>
      </c>
      <c r="E83" s="211">
        <v>500000</v>
      </c>
      <c r="F83" s="211">
        <f t="shared" si="5"/>
        <v>500000</v>
      </c>
    </row>
    <row r="84" spans="1:6" ht="45" x14ac:dyDescent="0.2">
      <c r="A84" s="171"/>
      <c r="B84" s="290" t="s">
        <v>269</v>
      </c>
      <c r="C84" s="233"/>
      <c r="D84" s="174"/>
      <c r="E84" s="173"/>
      <c r="F84" s="233">
        <f t="shared" si="5"/>
        <v>0</v>
      </c>
    </row>
    <row r="85" spans="1:6" x14ac:dyDescent="0.2">
      <c r="A85" s="186">
        <v>767</v>
      </c>
      <c r="B85" s="291" t="s">
        <v>270</v>
      </c>
      <c r="C85" s="194">
        <v>120000</v>
      </c>
      <c r="D85" s="174">
        <v>200000</v>
      </c>
      <c r="E85" s="194">
        <f>2500*4*12*2</f>
        <v>240000</v>
      </c>
      <c r="F85" s="233">
        <f t="shared" si="5"/>
        <v>240000</v>
      </c>
    </row>
    <row r="86" spans="1:6" x14ac:dyDescent="0.2">
      <c r="A86" s="292"/>
      <c r="B86" s="244" t="s">
        <v>271</v>
      </c>
      <c r="C86" s="245"/>
      <c r="D86" s="293"/>
      <c r="E86" s="245"/>
      <c r="F86" s="247">
        <f t="shared" si="5"/>
        <v>0</v>
      </c>
    </row>
    <row r="87" spans="1:6" x14ac:dyDescent="0.2">
      <c r="A87" s="294">
        <v>769</v>
      </c>
      <c r="B87" s="295" t="s">
        <v>155</v>
      </c>
      <c r="C87" s="241">
        <v>2000000</v>
      </c>
      <c r="D87" s="198">
        <v>1017750</v>
      </c>
      <c r="E87" s="241">
        <v>2000000</v>
      </c>
      <c r="F87" s="211">
        <f t="shared" si="5"/>
        <v>2000000</v>
      </c>
    </row>
    <row r="88" spans="1:6" ht="33" customHeight="1" x14ac:dyDescent="0.2">
      <c r="A88" s="192"/>
      <c r="B88" s="290" t="s">
        <v>272</v>
      </c>
      <c r="C88" s="194"/>
      <c r="D88" s="174"/>
      <c r="E88" s="194"/>
      <c r="F88" s="233"/>
    </row>
    <row r="89" spans="1:6" x14ac:dyDescent="0.25">
      <c r="A89" s="213">
        <v>79</v>
      </c>
      <c r="B89" s="275" t="s">
        <v>154</v>
      </c>
      <c r="C89" s="215">
        <f>SUM(C90)</f>
        <v>200000</v>
      </c>
      <c r="D89" s="216">
        <f t="shared" ref="D89:F89" si="6">SUM(D90)</f>
        <v>880</v>
      </c>
      <c r="E89" s="296">
        <f t="shared" si="6"/>
        <v>178000</v>
      </c>
      <c r="F89" s="215">
        <f t="shared" si="6"/>
        <v>178000</v>
      </c>
    </row>
    <row r="90" spans="1:6" ht="30" x14ac:dyDescent="0.2">
      <c r="A90" s="271">
        <v>799</v>
      </c>
      <c r="B90" s="273" t="s">
        <v>273</v>
      </c>
      <c r="C90" s="184">
        <v>200000</v>
      </c>
      <c r="D90" s="270">
        <v>880</v>
      </c>
      <c r="E90" s="184">
        <v>178000</v>
      </c>
      <c r="F90" s="184">
        <f>E90</f>
        <v>178000</v>
      </c>
    </row>
    <row r="91" spans="1:6" x14ac:dyDescent="0.2">
      <c r="A91" s="297"/>
      <c r="B91" s="297" t="s">
        <v>153</v>
      </c>
      <c r="C91" s="298">
        <f>C89+C80+C69+C60+C56+C27+C6</f>
        <v>74184000</v>
      </c>
      <c r="D91" s="298">
        <f>D89+D80+D69+D60+D56+D27+D6</f>
        <v>26683613</v>
      </c>
      <c r="E91" s="298">
        <f>E89+E80+E69+E60+E56+E27+E6</f>
        <v>85523000</v>
      </c>
      <c r="F91" s="298">
        <f>F89+F80+F69+F60+F56+F27+F6</f>
        <v>86523000</v>
      </c>
    </row>
    <row r="92" spans="1:6" x14ac:dyDescent="0.2">
      <c r="A92" s="299"/>
      <c r="B92" s="33"/>
      <c r="C92" s="300"/>
      <c r="D92" s="301"/>
      <c r="E92" s="300"/>
      <c r="F92" s="300"/>
    </row>
    <row r="93" spans="1:6" x14ac:dyDescent="0.2">
      <c r="A93" s="299"/>
      <c r="B93" s="33"/>
      <c r="C93" s="300"/>
      <c r="D93" s="302"/>
      <c r="E93" s="303"/>
      <c r="F93" s="300"/>
    </row>
    <row r="94" spans="1:6" s="386" customFormat="1" x14ac:dyDescent="0.25">
      <c r="A94" s="435" t="s">
        <v>401</v>
      </c>
      <c r="B94" s="436"/>
      <c r="C94" s="436"/>
      <c r="D94" s="436"/>
      <c r="E94" s="436"/>
      <c r="F94" s="436"/>
    </row>
    <row r="95" spans="1:6" s="386" customFormat="1" x14ac:dyDescent="0.25">
      <c r="A95" s="406"/>
      <c r="B95" s="407"/>
      <c r="C95" s="407"/>
      <c r="D95" s="407"/>
      <c r="E95" s="407"/>
      <c r="F95" s="408"/>
    </row>
    <row r="96" spans="1:6" ht="15" customHeight="1" x14ac:dyDescent="0.2">
      <c r="A96" s="437" t="s">
        <v>402</v>
      </c>
      <c r="B96" s="439" t="s">
        <v>0</v>
      </c>
      <c r="C96" s="159" t="s">
        <v>150</v>
      </c>
      <c r="D96" s="387" t="s">
        <v>227</v>
      </c>
      <c r="E96" s="441" t="s">
        <v>228</v>
      </c>
      <c r="F96" s="432" t="s">
        <v>403</v>
      </c>
    </row>
    <row r="97" spans="1:10" ht="12.75" customHeight="1" x14ac:dyDescent="0.2">
      <c r="A97" s="438"/>
      <c r="B97" s="440"/>
      <c r="C97" s="161">
        <v>2015</v>
      </c>
      <c r="D97" s="70" t="s">
        <v>277</v>
      </c>
      <c r="E97" s="442"/>
      <c r="F97" s="432"/>
    </row>
    <row r="98" spans="1:10" s="391" customFormat="1" ht="15" x14ac:dyDescent="0.25">
      <c r="A98" s="388">
        <v>10</v>
      </c>
      <c r="B98" s="389" t="s">
        <v>404</v>
      </c>
      <c r="C98" s="390">
        <f>C99</f>
        <v>25600000</v>
      </c>
      <c r="D98" s="390">
        <f t="shared" ref="D98:F98" si="7">D99</f>
        <v>26661479</v>
      </c>
      <c r="E98" s="390">
        <f t="shared" si="7"/>
        <v>13735119</v>
      </c>
      <c r="F98" s="390">
        <f t="shared" si="7"/>
        <v>13735119</v>
      </c>
      <c r="H98" s="386"/>
      <c r="I98" s="386"/>
      <c r="J98" s="386"/>
    </row>
    <row r="99" spans="1:10" s="391" customFormat="1" ht="22.5" customHeight="1" x14ac:dyDescent="0.25">
      <c r="A99" s="171">
        <v>105</v>
      </c>
      <c r="B99" s="392" t="s">
        <v>405</v>
      </c>
      <c r="C99" s="393">
        <v>25600000</v>
      </c>
      <c r="D99" s="394">
        <v>26661479</v>
      </c>
      <c r="E99" s="394">
        <v>13735119</v>
      </c>
      <c r="F99" s="394">
        <f>E99</f>
        <v>13735119</v>
      </c>
      <c r="H99" s="395"/>
      <c r="I99" s="396"/>
      <c r="J99" s="397"/>
    </row>
    <row r="100" spans="1:10" s="386" customFormat="1" ht="15" x14ac:dyDescent="0.25">
      <c r="A100" s="388">
        <v>11</v>
      </c>
      <c r="B100" s="398" t="s">
        <v>406</v>
      </c>
      <c r="C100" s="390">
        <f>C101</f>
        <v>13968800</v>
      </c>
      <c r="D100" s="390">
        <f t="shared" ref="D100:F100" si="8">D101</f>
        <v>0</v>
      </c>
      <c r="E100" s="390">
        <f t="shared" si="8"/>
        <v>17104600</v>
      </c>
      <c r="F100" s="390">
        <f t="shared" si="8"/>
        <v>17104600</v>
      </c>
      <c r="H100" s="399"/>
      <c r="I100" s="396"/>
      <c r="J100" s="397"/>
    </row>
    <row r="101" spans="1:10" s="386" customFormat="1" x14ac:dyDescent="0.25">
      <c r="A101" s="271">
        <v>115</v>
      </c>
      <c r="B101" s="400" t="s">
        <v>407</v>
      </c>
      <c r="C101" s="394">
        <v>13968800</v>
      </c>
      <c r="D101" s="394">
        <f>'[1]Détail fonct 2016'!D231</f>
        <v>0</v>
      </c>
      <c r="E101" s="401">
        <v>17104600</v>
      </c>
      <c r="F101" s="394">
        <f>E101</f>
        <v>17104600</v>
      </c>
      <c r="H101" s="402"/>
      <c r="I101" s="403"/>
      <c r="J101" s="404"/>
    </row>
    <row r="102" spans="1:10" s="386" customFormat="1" ht="15.75" hidden="1" customHeight="1" x14ac:dyDescent="0.25">
      <c r="A102" s="271"/>
      <c r="B102" s="271"/>
      <c r="C102" s="394">
        <v>0</v>
      </c>
      <c r="D102" s="394">
        <v>0</v>
      </c>
      <c r="E102" s="394">
        <v>0</v>
      </c>
      <c r="F102" s="394">
        <v>0</v>
      </c>
    </row>
    <row r="103" spans="1:10" s="386" customFormat="1" x14ac:dyDescent="0.25">
      <c r="A103" s="405"/>
      <c r="B103" s="297" t="s">
        <v>408</v>
      </c>
      <c r="C103" s="298">
        <f>C100+C98</f>
        <v>39568800</v>
      </c>
      <c r="D103" s="298">
        <f t="shared" ref="D103:E103" si="9">D100+D98</f>
        <v>26661479</v>
      </c>
      <c r="E103" s="298">
        <f t="shared" si="9"/>
        <v>30839719</v>
      </c>
      <c r="F103" s="298">
        <f>F100+F98</f>
        <v>30839719</v>
      </c>
      <c r="H103" s="396"/>
    </row>
    <row r="104" spans="1:10" x14ac:dyDescent="0.2">
      <c r="A104" s="299"/>
      <c r="B104" s="33"/>
      <c r="C104" s="300"/>
      <c r="D104" s="301"/>
      <c r="E104" s="300"/>
      <c r="F104" s="300"/>
    </row>
    <row r="105" spans="1:10" x14ac:dyDescent="0.2">
      <c r="A105" s="299"/>
      <c r="B105" s="33"/>
      <c r="C105" s="300"/>
      <c r="D105" s="301"/>
      <c r="E105" s="300"/>
      <c r="F105" s="300"/>
    </row>
    <row r="106" spans="1:10" x14ac:dyDescent="0.2">
      <c r="A106" s="299"/>
      <c r="B106" s="33"/>
      <c r="C106" s="300"/>
      <c r="D106" s="301"/>
      <c r="E106" s="300"/>
      <c r="F106" s="300"/>
    </row>
    <row r="107" spans="1:10" x14ac:dyDescent="0.2">
      <c r="A107" s="299"/>
      <c r="B107" s="33"/>
      <c r="C107" s="300"/>
      <c r="D107" s="301"/>
      <c r="E107" s="300"/>
      <c r="F107" s="300"/>
    </row>
    <row r="108" spans="1:10" x14ac:dyDescent="0.2">
      <c r="A108" s="299"/>
      <c r="B108" s="33"/>
      <c r="C108" s="300"/>
      <c r="D108" s="301"/>
      <c r="E108" s="300"/>
      <c r="F108" s="300"/>
    </row>
    <row r="109" spans="1:10" x14ac:dyDescent="0.2">
      <c r="A109" s="299"/>
      <c r="B109" s="33"/>
      <c r="C109" s="300"/>
      <c r="D109" s="301"/>
      <c r="E109" s="300"/>
      <c r="F109" s="300"/>
    </row>
    <row r="110" spans="1:10" x14ac:dyDescent="0.2">
      <c r="A110" s="299"/>
      <c r="B110" s="33"/>
      <c r="C110" s="300"/>
      <c r="D110" s="301"/>
      <c r="E110" s="300"/>
      <c r="F110" s="300"/>
    </row>
    <row r="111" spans="1:10" x14ac:dyDescent="0.2">
      <c r="A111" s="299"/>
      <c r="B111" s="33"/>
      <c r="C111" s="300"/>
      <c r="D111" s="301"/>
      <c r="E111" s="300"/>
      <c r="F111" s="300"/>
    </row>
    <row r="112" spans="1:10" x14ac:dyDescent="0.2">
      <c r="A112" s="299"/>
      <c r="B112" s="33"/>
      <c r="C112" s="300"/>
      <c r="D112" s="301"/>
      <c r="E112" s="300"/>
      <c r="F112" s="300"/>
    </row>
    <row r="113" spans="1:6" x14ac:dyDescent="0.2">
      <c r="A113" s="299"/>
      <c r="B113" s="33"/>
      <c r="C113" s="300"/>
      <c r="D113" s="301"/>
      <c r="E113" s="300"/>
      <c r="F113" s="300"/>
    </row>
    <row r="114" spans="1:6" x14ac:dyDescent="0.2">
      <c r="A114" s="299"/>
      <c r="B114" s="33"/>
      <c r="C114" s="300"/>
      <c r="D114" s="301"/>
      <c r="E114" s="300"/>
      <c r="F114" s="300"/>
    </row>
    <row r="115" spans="1:6" x14ac:dyDescent="0.2">
      <c r="A115" s="299"/>
      <c r="B115" s="33"/>
      <c r="C115" s="300"/>
      <c r="D115" s="301"/>
      <c r="E115" s="300"/>
      <c r="F115" s="300"/>
    </row>
    <row r="116" spans="1:6" x14ac:dyDescent="0.2">
      <c r="A116" s="299"/>
      <c r="B116" s="33"/>
      <c r="C116" s="300"/>
      <c r="D116" s="301"/>
      <c r="E116" s="300"/>
      <c r="F116" s="300"/>
    </row>
    <row r="117" spans="1:6" x14ac:dyDescent="0.2">
      <c r="A117" s="299"/>
      <c r="B117" s="33"/>
      <c r="C117" s="300"/>
      <c r="D117" s="301"/>
      <c r="E117" s="300"/>
      <c r="F117" s="300"/>
    </row>
    <row r="118" spans="1:6" x14ac:dyDescent="0.2">
      <c r="A118" s="299"/>
      <c r="B118" s="33"/>
      <c r="C118" s="300"/>
      <c r="D118" s="301"/>
      <c r="E118" s="300"/>
      <c r="F118" s="300"/>
    </row>
    <row r="119" spans="1:6" x14ac:dyDescent="0.2">
      <c r="A119" s="299"/>
      <c r="B119" s="33"/>
      <c r="C119" s="300"/>
      <c r="D119" s="301"/>
      <c r="E119" s="300"/>
      <c r="F119" s="300"/>
    </row>
    <row r="120" spans="1:6" x14ac:dyDescent="0.2">
      <c r="A120" s="299"/>
      <c r="B120" s="33"/>
      <c r="C120" s="300"/>
      <c r="D120" s="301"/>
      <c r="E120" s="300"/>
      <c r="F120" s="300"/>
    </row>
    <row r="121" spans="1:6" x14ac:dyDescent="0.2">
      <c r="A121" s="299"/>
      <c r="B121" s="33"/>
      <c r="C121" s="300"/>
      <c r="D121" s="301"/>
      <c r="E121" s="300"/>
      <c r="F121" s="300"/>
    </row>
    <row r="122" spans="1:6" x14ac:dyDescent="0.2">
      <c r="A122" s="299"/>
      <c r="B122" s="33"/>
      <c r="C122" s="300"/>
      <c r="D122" s="301"/>
      <c r="E122" s="300"/>
      <c r="F122" s="300"/>
    </row>
    <row r="123" spans="1:6" x14ac:dyDescent="0.2">
      <c r="A123" s="299"/>
      <c r="B123" s="33"/>
      <c r="C123" s="300"/>
      <c r="D123" s="301"/>
      <c r="E123" s="300"/>
      <c r="F123" s="300"/>
    </row>
    <row r="124" spans="1:6" x14ac:dyDescent="0.2">
      <c r="A124" s="299"/>
      <c r="B124" s="33"/>
      <c r="C124" s="300"/>
      <c r="D124" s="301"/>
      <c r="E124" s="300"/>
      <c r="F124" s="300"/>
    </row>
    <row r="125" spans="1:6" x14ac:dyDescent="0.2">
      <c r="A125" s="299"/>
      <c r="B125" s="33"/>
      <c r="C125" s="300"/>
      <c r="D125" s="301"/>
      <c r="E125" s="300"/>
      <c r="F125" s="300"/>
    </row>
    <row r="126" spans="1:6" x14ac:dyDescent="0.2">
      <c r="A126" s="299"/>
      <c r="B126" s="33"/>
      <c r="C126" s="300"/>
      <c r="D126" s="301"/>
      <c r="E126" s="300"/>
      <c r="F126" s="300"/>
    </row>
    <row r="127" spans="1:6" x14ac:dyDescent="0.2">
      <c r="A127" s="299"/>
      <c r="B127" s="33"/>
      <c r="C127" s="300"/>
      <c r="D127" s="301"/>
      <c r="E127" s="300"/>
      <c r="F127" s="300"/>
    </row>
    <row r="128" spans="1:6" x14ac:dyDescent="0.2">
      <c r="A128" s="299"/>
      <c r="B128" s="33"/>
      <c r="C128" s="300"/>
      <c r="D128" s="301"/>
      <c r="E128" s="300"/>
      <c r="F128" s="300"/>
    </row>
    <row r="129" spans="1:6" x14ac:dyDescent="0.2">
      <c r="A129" s="299"/>
      <c r="B129" s="33"/>
      <c r="C129" s="300"/>
      <c r="D129" s="301"/>
      <c r="E129" s="300"/>
      <c r="F129" s="300"/>
    </row>
    <row r="130" spans="1:6" x14ac:dyDescent="0.2">
      <c r="A130" s="299"/>
      <c r="B130" s="33"/>
      <c r="C130" s="300"/>
      <c r="D130" s="301"/>
      <c r="E130" s="300"/>
      <c r="F130" s="300"/>
    </row>
    <row r="131" spans="1:6" x14ac:dyDescent="0.2">
      <c r="A131" s="299"/>
      <c r="B131" s="33"/>
      <c r="C131" s="300"/>
      <c r="D131" s="301"/>
      <c r="E131" s="300"/>
      <c r="F131" s="300"/>
    </row>
    <row r="132" spans="1:6" x14ac:dyDescent="0.2">
      <c r="A132" s="299"/>
      <c r="B132" s="33"/>
      <c r="C132" s="300"/>
      <c r="D132" s="301"/>
      <c r="E132" s="300"/>
      <c r="F132" s="300"/>
    </row>
    <row r="133" spans="1:6" x14ac:dyDescent="0.2">
      <c r="A133" s="299"/>
      <c r="B133" s="33"/>
      <c r="C133" s="300"/>
      <c r="D133" s="301"/>
      <c r="E133" s="300"/>
      <c r="F133" s="300"/>
    </row>
    <row r="134" spans="1:6" x14ac:dyDescent="0.2">
      <c r="A134" s="299"/>
      <c r="B134" s="33"/>
      <c r="C134" s="300"/>
      <c r="D134" s="301"/>
      <c r="E134" s="300"/>
      <c r="F134" s="300"/>
    </row>
    <row r="135" spans="1:6" x14ac:dyDescent="0.2">
      <c r="A135" s="299"/>
      <c r="B135" s="33"/>
      <c r="C135" s="300"/>
      <c r="D135" s="301"/>
      <c r="E135" s="300"/>
      <c r="F135" s="300"/>
    </row>
    <row r="136" spans="1:6" x14ac:dyDescent="0.2">
      <c r="A136" s="299"/>
      <c r="B136" s="33"/>
      <c r="C136" s="300"/>
      <c r="D136" s="301"/>
      <c r="E136" s="300"/>
      <c r="F136" s="300"/>
    </row>
    <row r="137" spans="1:6" x14ac:dyDescent="0.2">
      <c r="A137" s="299"/>
      <c r="B137" s="33"/>
      <c r="C137" s="300"/>
      <c r="D137" s="301"/>
      <c r="E137" s="300"/>
      <c r="F137" s="300"/>
    </row>
    <row r="138" spans="1:6" x14ac:dyDescent="0.2">
      <c r="A138" s="299"/>
      <c r="B138" s="33"/>
      <c r="C138" s="300"/>
      <c r="D138" s="301"/>
      <c r="E138" s="300"/>
      <c r="F138" s="300"/>
    </row>
    <row r="139" spans="1:6" ht="18.75" x14ac:dyDescent="0.2">
      <c r="A139" s="429" t="s">
        <v>274</v>
      </c>
      <c r="B139" s="429"/>
      <c r="C139" s="429"/>
      <c r="D139" s="429"/>
      <c r="E139" s="429"/>
      <c r="F139" s="429"/>
    </row>
    <row r="140" spans="1:6" ht="9.75" customHeight="1" x14ac:dyDescent="0.2">
      <c r="A140" s="299"/>
      <c r="B140" s="33"/>
      <c r="C140" s="300"/>
      <c r="D140" s="301"/>
      <c r="E140" s="300"/>
      <c r="F140" s="300"/>
    </row>
    <row r="141" spans="1:6" ht="15" customHeight="1" x14ac:dyDescent="0.2">
      <c r="A141" s="433" t="s">
        <v>275</v>
      </c>
      <c r="B141" s="434" t="s">
        <v>276</v>
      </c>
      <c r="C141" s="159" t="s">
        <v>150</v>
      </c>
      <c r="D141" s="160" t="s">
        <v>227</v>
      </c>
      <c r="E141" s="427" t="s">
        <v>228</v>
      </c>
      <c r="F141" s="428" t="s">
        <v>229</v>
      </c>
    </row>
    <row r="142" spans="1:6" ht="21.75" customHeight="1" x14ac:dyDescent="0.2">
      <c r="A142" s="433"/>
      <c r="B142" s="434"/>
      <c r="C142" s="161">
        <v>2015</v>
      </c>
      <c r="D142" s="162" t="s">
        <v>277</v>
      </c>
      <c r="E142" s="427"/>
      <c r="F142" s="428"/>
    </row>
    <row r="143" spans="1:6" x14ac:dyDescent="0.2">
      <c r="A143" s="213">
        <v>60</v>
      </c>
      <c r="B143" s="304" t="s">
        <v>278</v>
      </c>
      <c r="C143" s="305">
        <f>+SUM(C144:C158)</f>
        <v>6630100</v>
      </c>
      <c r="D143" s="306">
        <f>+SUM(D144:D158)</f>
        <v>3354820</v>
      </c>
      <c r="E143" s="215">
        <f>E144+E146+E147+E148+E150+E155+E156+E158</f>
        <v>5740000</v>
      </c>
      <c r="F143" s="215">
        <f>F144+F146+F147+F148+F150+F155+F156+F158</f>
        <v>5740000</v>
      </c>
    </row>
    <row r="144" spans="1:6" x14ac:dyDescent="0.2">
      <c r="A144" s="189">
        <v>600</v>
      </c>
      <c r="B144" s="307" t="s">
        <v>279</v>
      </c>
      <c r="C144" s="191">
        <v>70000</v>
      </c>
      <c r="D144" s="208">
        <v>69550</v>
      </c>
      <c r="E144" s="191">
        <v>100000</v>
      </c>
      <c r="F144" s="191">
        <f>E144</f>
        <v>100000</v>
      </c>
    </row>
    <row r="145" spans="1:8" x14ac:dyDescent="0.2">
      <c r="A145" s="189">
        <v>601</v>
      </c>
      <c r="B145" s="307" t="s">
        <v>280</v>
      </c>
      <c r="C145" s="191"/>
      <c r="D145" s="208"/>
      <c r="E145" s="191"/>
      <c r="F145" s="191"/>
    </row>
    <row r="146" spans="1:8" x14ac:dyDescent="0.2">
      <c r="A146" s="271">
        <v>6010</v>
      </c>
      <c r="B146" s="1" t="s">
        <v>281</v>
      </c>
      <c r="C146" s="211">
        <v>720000</v>
      </c>
      <c r="D146" s="210">
        <v>540000</v>
      </c>
      <c r="E146" s="211">
        <f>40000*12</f>
        <v>480000</v>
      </c>
      <c r="F146" s="211">
        <f>E146</f>
        <v>480000</v>
      </c>
    </row>
    <row r="147" spans="1:8" x14ac:dyDescent="0.2">
      <c r="A147" s="283">
        <v>6012</v>
      </c>
      <c r="B147" s="1" t="s">
        <v>282</v>
      </c>
      <c r="C147" s="286">
        <v>360000</v>
      </c>
      <c r="D147" s="287"/>
      <c r="E147" s="286">
        <v>360000</v>
      </c>
      <c r="F147" s="211">
        <f t="shared" ref="F147:F148" si="10">E147</f>
        <v>360000</v>
      </c>
    </row>
    <row r="148" spans="1:8" x14ac:dyDescent="0.2">
      <c r="A148" s="271">
        <v>602</v>
      </c>
      <c r="B148" s="1" t="s">
        <v>283</v>
      </c>
      <c r="C148" s="211">
        <v>100000</v>
      </c>
      <c r="D148" s="210"/>
      <c r="E148" s="211">
        <v>200000</v>
      </c>
      <c r="F148" s="211">
        <f t="shared" si="10"/>
        <v>200000</v>
      </c>
      <c r="H148" s="68"/>
    </row>
    <row r="149" spans="1:8" x14ac:dyDescent="0.2">
      <c r="A149" s="189">
        <v>603</v>
      </c>
      <c r="B149" s="307" t="s">
        <v>284</v>
      </c>
      <c r="C149" s="191"/>
      <c r="D149" s="208"/>
      <c r="E149" s="191"/>
      <c r="F149" s="211"/>
    </row>
    <row r="150" spans="1:8" x14ac:dyDescent="0.2">
      <c r="A150" s="308">
        <v>6030</v>
      </c>
      <c r="B150" s="1" t="s">
        <v>285</v>
      </c>
      <c r="C150" s="233">
        <v>4970100</v>
      </c>
      <c r="D150" s="174">
        <v>2587320</v>
      </c>
      <c r="E150" s="233">
        <v>4000000</v>
      </c>
      <c r="F150" s="233">
        <f>E150</f>
        <v>4000000</v>
      </c>
    </row>
    <row r="151" spans="1:8" x14ac:dyDescent="0.2">
      <c r="A151" s="309"/>
      <c r="B151" s="231" t="s">
        <v>286</v>
      </c>
      <c r="C151" s="233"/>
      <c r="D151" s="174"/>
      <c r="E151" s="194"/>
      <c r="F151" s="233"/>
    </row>
    <row r="152" spans="1:8" x14ac:dyDescent="0.2">
      <c r="A152" s="310"/>
      <c r="B152" s="311" t="s">
        <v>287</v>
      </c>
      <c r="C152" s="241"/>
      <c r="D152" s="312"/>
      <c r="E152" s="197"/>
      <c r="F152" s="241"/>
    </row>
    <row r="153" spans="1:8" x14ac:dyDescent="0.2">
      <c r="A153" s="310"/>
      <c r="B153" s="311" t="s">
        <v>288</v>
      </c>
      <c r="C153" s="241"/>
      <c r="D153" s="198"/>
      <c r="E153" s="197"/>
      <c r="F153" s="241"/>
    </row>
    <row r="154" spans="1:8" x14ac:dyDescent="0.2">
      <c r="A154" s="310"/>
      <c r="B154" s="239" t="s">
        <v>289</v>
      </c>
      <c r="C154" s="241"/>
      <c r="D154" s="198"/>
      <c r="E154" s="197"/>
      <c r="F154" s="241"/>
    </row>
    <row r="155" spans="1:8" x14ac:dyDescent="0.2">
      <c r="A155" s="189">
        <v>606</v>
      </c>
      <c r="B155" s="307" t="s">
        <v>290</v>
      </c>
      <c r="C155" s="191">
        <v>60000</v>
      </c>
      <c r="D155" s="208"/>
      <c r="E155" s="191">
        <v>100000</v>
      </c>
      <c r="F155" s="191">
        <f>E155</f>
        <v>100000</v>
      </c>
    </row>
    <row r="156" spans="1:8" x14ac:dyDescent="0.2">
      <c r="A156" s="189">
        <v>607</v>
      </c>
      <c r="B156" s="307" t="s">
        <v>291</v>
      </c>
      <c r="C156" s="191">
        <v>250000</v>
      </c>
      <c r="D156" s="208">
        <v>157950</v>
      </c>
      <c r="E156" s="191">
        <v>300000</v>
      </c>
      <c r="F156" s="191">
        <f>E156</f>
        <v>300000</v>
      </c>
    </row>
    <row r="157" spans="1:8" ht="45" x14ac:dyDescent="0.2">
      <c r="A157" s="189"/>
      <c r="B157" s="212" t="s">
        <v>292</v>
      </c>
      <c r="C157" s="191"/>
      <c r="D157" s="208"/>
      <c r="E157" s="191"/>
      <c r="F157" s="191"/>
    </row>
    <row r="158" spans="1:8" x14ac:dyDescent="0.2">
      <c r="A158" s="189">
        <v>608</v>
      </c>
      <c r="B158" s="307" t="s">
        <v>293</v>
      </c>
      <c r="C158" s="191">
        <v>100000</v>
      </c>
      <c r="D158" s="208"/>
      <c r="E158" s="191">
        <v>200000</v>
      </c>
      <c r="F158" s="191">
        <f>E158</f>
        <v>200000</v>
      </c>
    </row>
    <row r="159" spans="1:8" ht="30" x14ac:dyDescent="0.2">
      <c r="A159" s="189"/>
      <c r="B159" s="212" t="s">
        <v>294</v>
      </c>
      <c r="C159" s="191"/>
      <c r="D159" s="208"/>
      <c r="E159" s="191"/>
      <c r="F159" s="191"/>
    </row>
    <row r="160" spans="1:8" x14ac:dyDescent="0.2">
      <c r="A160" s="213">
        <v>61</v>
      </c>
      <c r="B160" s="304" t="s">
        <v>295</v>
      </c>
      <c r="C160" s="215">
        <f>SUM(C161:C162)</f>
        <v>1200000</v>
      </c>
      <c r="D160" s="216">
        <f>SUM(D161:D162)</f>
        <v>620500</v>
      </c>
      <c r="E160" s="215">
        <f>SUM(E161:E162)</f>
        <v>1800000</v>
      </c>
      <c r="F160" s="215">
        <f>SUM(F161:F162)</f>
        <v>1800000</v>
      </c>
    </row>
    <row r="161" spans="1:6" x14ac:dyDescent="0.2">
      <c r="A161" s="271">
        <v>611</v>
      </c>
      <c r="B161" s="1" t="s">
        <v>296</v>
      </c>
      <c r="C161" s="211">
        <v>600000</v>
      </c>
      <c r="D161" s="210">
        <v>459000</v>
      </c>
      <c r="E161" s="211">
        <v>600000</v>
      </c>
      <c r="F161" s="211">
        <f>E161</f>
        <v>600000</v>
      </c>
    </row>
    <row r="162" spans="1:6" x14ac:dyDescent="0.2">
      <c r="A162" s="271">
        <v>617</v>
      </c>
      <c r="B162" s="1" t="s">
        <v>297</v>
      </c>
      <c r="C162" s="211">
        <v>600000</v>
      </c>
      <c r="D162" s="210">
        <v>161500</v>
      </c>
      <c r="E162" s="211">
        <f>800000+400000</f>
        <v>1200000</v>
      </c>
      <c r="F162" s="211">
        <f>E162</f>
        <v>1200000</v>
      </c>
    </row>
    <row r="163" spans="1:6" ht="45" x14ac:dyDescent="0.2">
      <c r="A163" s="271"/>
      <c r="B163" s="212" t="s">
        <v>298</v>
      </c>
      <c r="C163" s="211"/>
      <c r="D163" s="313"/>
      <c r="E163" s="211"/>
      <c r="F163" s="211"/>
    </row>
    <row r="164" spans="1:6" x14ac:dyDescent="0.2">
      <c r="A164" s="213">
        <v>62</v>
      </c>
      <c r="B164" s="304" t="s">
        <v>299</v>
      </c>
      <c r="C164" s="215">
        <f>SUM(C165:C165)</f>
        <v>69060</v>
      </c>
      <c r="D164" s="216">
        <f>SUM(D165:D165)</f>
        <v>51795</v>
      </c>
      <c r="E164" s="215">
        <f>SUM(E165:E165)</f>
        <v>74261</v>
      </c>
      <c r="F164" s="215">
        <f>SUM(F165:F165)</f>
        <v>74261</v>
      </c>
    </row>
    <row r="165" spans="1:6" x14ac:dyDescent="0.2">
      <c r="A165" s="271">
        <v>620</v>
      </c>
      <c r="B165" s="1" t="s">
        <v>300</v>
      </c>
      <c r="C165" s="184">
        <v>69060</v>
      </c>
      <c r="D165" s="270">
        <v>51795</v>
      </c>
      <c r="E165" s="184">
        <v>74261</v>
      </c>
      <c r="F165" s="184">
        <f>E165</f>
        <v>74261</v>
      </c>
    </row>
    <row r="166" spans="1:6" x14ac:dyDescent="0.2">
      <c r="A166" s="213">
        <v>63</v>
      </c>
      <c r="B166" s="304" t="s">
        <v>301</v>
      </c>
      <c r="C166" s="215">
        <f>SUM(C167:C177)</f>
        <v>3990000</v>
      </c>
      <c r="D166" s="216">
        <f>SUM(D167:D177)</f>
        <v>1070362</v>
      </c>
      <c r="E166" s="215">
        <f>SUM(E167:E177)</f>
        <v>3640000</v>
      </c>
      <c r="F166" s="215">
        <f>SUM(F167:F177)</f>
        <v>3640000</v>
      </c>
    </row>
    <row r="167" spans="1:6" x14ac:dyDescent="0.2">
      <c r="A167" s="189">
        <v>630</v>
      </c>
      <c r="B167" s="307" t="s">
        <v>302</v>
      </c>
      <c r="C167" s="191">
        <v>240000</v>
      </c>
      <c r="D167" s="208">
        <f>'[1]Décade Dép janv-sept'!J40</f>
        <v>0</v>
      </c>
      <c r="E167" s="191">
        <v>240000</v>
      </c>
      <c r="F167" s="191">
        <f>E167</f>
        <v>240000</v>
      </c>
    </row>
    <row r="168" spans="1:6" x14ac:dyDescent="0.2">
      <c r="A168" s="271">
        <v>6312</v>
      </c>
      <c r="B168" s="1" t="s">
        <v>303</v>
      </c>
      <c r="C168" s="211">
        <v>300000</v>
      </c>
      <c r="D168" s="210">
        <v>30900</v>
      </c>
      <c r="E168" s="211">
        <v>250000</v>
      </c>
      <c r="F168" s="211">
        <f>E168</f>
        <v>250000</v>
      </c>
    </row>
    <row r="169" spans="1:6" x14ac:dyDescent="0.2">
      <c r="A169" s="271">
        <v>6313</v>
      </c>
      <c r="B169" s="1" t="s">
        <v>304</v>
      </c>
      <c r="C169" s="211">
        <v>450000</v>
      </c>
      <c r="D169" s="210"/>
      <c r="E169" s="211">
        <v>450000</v>
      </c>
      <c r="F169" s="211">
        <f t="shared" ref="F169:F171" si="11">E169</f>
        <v>450000</v>
      </c>
    </row>
    <row r="170" spans="1:6" x14ac:dyDescent="0.2">
      <c r="A170" s="271">
        <v>6315</v>
      </c>
      <c r="B170" s="1" t="s">
        <v>305</v>
      </c>
      <c r="C170" s="211">
        <v>2000000</v>
      </c>
      <c r="D170" s="210">
        <v>723270</v>
      </c>
      <c r="E170" s="211">
        <v>1500000</v>
      </c>
      <c r="F170" s="211">
        <f t="shared" si="11"/>
        <v>1500000</v>
      </c>
    </row>
    <row r="171" spans="1:6" x14ac:dyDescent="0.2">
      <c r="A171" s="271">
        <v>6316</v>
      </c>
      <c r="B171" s="1" t="s">
        <v>306</v>
      </c>
      <c r="C171" s="211">
        <v>300000</v>
      </c>
      <c r="D171" s="210">
        <v>218030</v>
      </c>
      <c r="E171" s="211">
        <v>300000</v>
      </c>
      <c r="F171" s="211">
        <f t="shared" si="11"/>
        <v>300000</v>
      </c>
    </row>
    <row r="172" spans="1:6" x14ac:dyDescent="0.2">
      <c r="A172" s="189">
        <v>633</v>
      </c>
      <c r="B172" s="307" t="s">
        <v>307</v>
      </c>
      <c r="C172" s="191">
        <v>100000</v>
      </c>
      <c r="D172" s="208">
        <v>20030</v>
      </c>
      <c r="E172" s="191">
        <v>100000</v>
      </c>
      <c r="F172" s="191">
        <f>E172</f>
        <v>100000</v>
      </c>
    </row>
    <row r="173" spans="1:6" x14ac:dyDescent="0.2">
      <c r="A173" s="189"/>
      <c r="B173" s="314" t="s">
        <v>308</v>
      </c>
      <c r="C173" s="191"/>
      <c r="D173" s="208"/>
      <c r="E173" s="191"/>
      <c r="F173" s="191"/>
    </row>
    <row r="174" spans="1:6" x14ac:dyDescent="0.2">
      <c r="A174" s="189">
        <v>634</v>
      </c>
      <c r="B174" s="307" t="s">
        <v>309</v>
      </c>
      <c r="C174" s="191"/>
      <c r="D174" s="208"/>
      <c r="E174" s="191"/>
      <c r="F174" s="191"/>
    </row>
    <row r="175" spans="1:6" x14ac:dyDescent="0.2">
      <c r="A175" s="315">
        <v>6340</v>
      </c>
      <c r="B175" s="1" t="s">
        <v>310</v>
      </c>
      <c r="C175" s="211">
        <v>400000</v>
      </c>
      <c r="D175" s="210">
        <v>24442</v>
      </c>
      <c r="E175" s="211">
        <v>600000</v>
      </c>
      <c r="F175" s="211">
        <f>E175</f>
        <v>600000</v>
      </c>
    </row>
    <row r="176" spans="1:6" x14ac:dyDescent="0.2">
      <c r="A176" s="271">
        <v>6341</v>
      </c>
      <c r="B176" s="1" t="s">
        <v>311</v>
      </c>
      <c r="C176" s="211">
        <v>100000</v>
      </c>
      <c r="D176" s="210">
        <v>39690</v>
      </c>
      <c r="E176" s="211">
        <v>100000</v>
      </c>
      <c r="F176" s="211">
        <f t="shared" ref="F176:F177" si="12">E176</f>
        <v>100000</v>
      </c>
    </row>
    <row r="177" spans="1:13" ht="31.5" x14ac:dyDescent="0.2">
      <c r="A177" s="271">
        <v>6343</v>
      </c>
      <c r="B177" s="314" t="s">
        <v>312</v>
      </c>
      <c r="C177" s="184">
        <v>100000</v>
      </c>
      <c r="D177" s="270">
        <v>14000</v>
      </c>
      <c r="E177" s="184">
        <v>100000</v>
      </c>
      <c r="F177" s="184">
        <f t="shared" si="12"/>
        <v>100000</v>
      </c>
    </row>
    <row r="178" spans="1:13" ht="28.5" x14ac:dyDescent="0.2">
      <c r="A178" s="316">
        <v>64</v>
      </c>
      <c r="B178" s="317" t="s">
        <v>313</v>
      </c>
      <c r="C178" s="318">
        <f>C179+C182</f>
        <v>914200</v>
      </c>
      <c r="D178" s="318">
        <f t="shared" ref="D178:F178" si="13">D179+D182</f>
        <v>631200</v>
      </c>
      <c r="E178" s="318">
        <f t="shared" si="13"/>
        <v>914200</v>
      </c>
      <c r="F178" s="318">
        <f t="shared" si="13"/>
        <v>914200</v>
      </c>
    </row>
    <row r="179" spans="1:13" s="55" customFormat="1" x14ac:dyDescent="0.2">
      <c r="A179" s="319">
        <v>643</v>
      </c>
      <c r="B179" s="320" t="s">
        <v>314</v>
      </c>
      <c r="C179" s="321">
        <v>200000</v>
      </c>
      <c r="D179" s="322">
        <v>141500</v>
      </c>
      <c r="E179" s="321">
        <v>200000</v>
      </c>
      <c r="F179" s="175">
        <f>E179</f>
        <v>200000</v>
      </c>
    </row>
    <row r="180" spans="1:13" x14ac:dyDescent="0.2">
      <c r="A180" s="292"/>
      <c r="B180" s="323" t="s">
        <v>315</v>
      </c>
      <c r="C180" s="202"/>
      <c r="D180" s="203"/>
      <c r="E180" s="202"/>
      <c r="F180" s="324"/>
    </row>
    <row r="181" spans="1:13" s="55" customFormat="1" x14ac:dyDescent="0.2">
      <c r="A181" s="325">
        <v>645</v>
      </c>
      <c r="B181" s="323" t="s">
        <v>316</v>
      </c>
      <c r="C181" s="326"/>
      <c r="D181" s="327"/>
      <c r="E181" s="328"/>
      <c r="F181" s="326"/>
    </row>
    <row r="182" spans="1:13" ht="16.5" customHeight="1" x14ac:dyDescent="0.2">
      <c r="A182" s="283">
        <v>6450</v>
      </c>
      <c r="B182" s="1" t="s">
        <v>317</v>
      </c>
      <c r="C182" s="184">
        <v>714200</v>
      </c>
      <c r="D182" s="270">
        <v>489700</v>
      </c>
      <c r="E182" s="184">
        <v>714200</v>
      </c>
      <c r="F182" s="184">
        <f>E182</f>
        <v>714200</v>
      </c>
    </row>
    <row r="183" spans="1:13" x14ac:dyDescent="0.2">
      <c r="A183" s="213">
        <v>65</v>
      </c>
      <c r="B183" s="304" t="s">
        <v>318</v>
      </c>
      <c r="C183" s="215">
        <f>SUM(C185:C226)</f>
        <v>33414676.529747996</v>
      </c>
      <c r="D183" s="216">
        <f>SUM(D185:D226)</f>
        <v>22345961</v>
      </c>
      <c r="E183" s="215">
        <f>SUM(E185:E226)</f>
        <v>45595339.207149997</v>
      </c>
      <c r="F183" s="215">
        <f>SUM(F185:F226)</f>
        <v>45595339.207149997</v>
      </c>
      <c r="L183" s="68"/>
      <c r="M183" s="68"/>
    </row>
    <row r="184" spans="1:13" s="55" customFormat="1" x14ac:dyDescent="0.2">
      <c r="A184" s="167">
        <v>650</v>
      </c>
      <c r="B184" s="329" t="s">
        <v>319</v>
      </c>
      <c r="C184" s="169"/>
      <c r="D184" s="170"/>
      <c r="E184" s="169"/>
      <c r="F184" s="169"/>
    </row>
    <row r="185" spans="1:13" ht="18.75" customHeight="1" x14ac:dyDescent="0.2">
      <c r="A185" s="271">
        <v>6500</v>
      </c>
      <c r="B185" s="209" t="s">
        <v>320</v>
      </c>
      <c r="C185" s="184">
        <v>5892018</v>
      </c>
      <c r="D185" s="270">
        <v>4398479</v>
      </c>
      <c r="E185" s="284">
        <f>'[1]Salaires 2015 FCAT'!L14</f>
        <v>9111366.3300000001</v>
      </c>
      <c r="F185" s="284">
        <f>E185</f>
        <v>9111366.3300000001</v>
      </c>
      <c r="H185" s="58"/>
      <c r="L185" s="68"/>
    </row>
    <row r="186" spans="1:13" ht="18.75" customHeight="1" x14ac:dyDescent="0.2">
      <c r="A186" s="271">
        <v>6501</v>
      </c>
      <c r="B186" s="209" t="s">
        <v>321</v>
      </c>
      <c r="C186" s="184">
        <v>1290485.193</v>
      </c>
      <c r="D186" s="270">
        <v>967860</v>
      </c>
      <c r="E186" s="184">
        <f>'[1]Salaires 2015 FCAT'!L29</f>
        <v>2042866.9799999997</v>
      </c>
      <c r="F186" s="284">
        <f t="shared" ref="F186:F206" si="14">E186</f>
        <v>2042866.9799999997</v>
      </c>
      <c r="M186" s="68"/>
    </row>
    <row r="187" spans="1:13" ht="18.75" customHeight="1" x14ac:dyDescent="0.2">
      <c r="A187" s="189">
        <v>651</v>
      </c>
      <c r="B187" s="190" t="s">
        <v>322</v>
      </c>
      <c r="C187" s="269"/>
      <c r="D187" s="330"/>
      <c r="E187" s="269"/>
      <c r="F187" s="284"/>
    </row>
    <row r="188" spans="1:13" ht="18.75" customHeight="1" x14ac:dyDescent="0.2">
      <c r="A188" s="271">
        <v>6510</v>
      </c>
      <c r="B188" s="331" t="s">
        <v>323</v>
      </c>
      <c r="C188" s="184">
        <v>4584830</v>
      </c>
      <c r="D188" s="270">
        <v>3393333</v>
      </c>
      <c r="E188" s="184">
        <f>'[1]Salaires 2015 FAT'!M16</f>
        <v>4965191.76</v>
      </c>
      <c r="F188" s="284">
        <f t="shared" si="14"/>
        <v>4965191.76</v>
      </c>
    </row>
    <row r="189" spans="1:13" ht="18.75" customHeight="1" x14ac:dyDescent="0.2">
      <c r="A189" s="271">
        <v>6511</v>
      </c>
      <c r="B189" s="209" t="s">
        <v>324</v>
      </c>
      <c r="C189" s="184">
        <v>5186964.178944</v>
      </c>
      <c r="D189" s="270">
        <v>3890223</v>
      </c>
      <c r="E189" s="184">
        <f>'[1]Salaires 2015 FAT'!M50</f>
        <v>4967228.5199999996</v>
      </c>
      <c r="F189" s="284">
        <f t="shared" si="14"/>
        <v>4967228.5199999996</v>
      </c>
    </row>
    <row r="190" spans="1:13" ht="18.75" customHeight="1" x14ac:dyDescent="0.2">
      <c r="A190" s="271">
        <v>6513</v>
      </c>
      <c r="B190" s="209" t="s">
        <v>325</v>
      </c>
      <c r="C190" s="184">
        <v>811491.26303999999</v>
      </c>
      <c r="D190" s="270">
        <v>608616</v>
      </c>
      <c r="E190" s="184">
        <f>'[1]Salaires 2015 FS'!L12</f>
        <v>874238.39999999991</v>
      </c>
      <c r="F190" s="284">
        <f t="shared" si="14"/>
        <v>874238.39999999991</v>
      </c>
    </row>
    <row r="191" spans="1:13" ht="18.75" customHeight="1" x14ac:dyDescent="0.2">
      <c r="A191" s="189">
        <v>652</v>
      </c>
      <c r="B191" s="190" t="s">
        <v>326</v>
      </c>
      <c r="C191" s="269">
        <v>1560000</v>
      </c>
      <c r="D191" s="330">
        <v>345000</v>
      </c>
      <c r="E191" s="269">
        <v>0</v>
      </c>
      <c r="F191" s="284">
        <f t="shared" si="14"/>
        <v>0</v>
      </c>
    </row>
    <row r="192" spans="1:13" ht="18.75" customHeight="1" x14ac:dyDescent="0.2">
      <c r="A192" s="189">
        <v>653</v>
      </c>
      <c r="B192" s="190" t="s">
        <v>327</v>
      </c>
      <c r="C192" s="269">
        <v>420000</v>
      </c>
      <c r="D192" s="330">
        <v>315000</v>
      </c>
      <c r="E192" s="269">
        <f>'[1]Salaires 2015 FS'!K26</f>
        <v>1260000</v>
      </c>
      <c r="F192" s="284">
        <f t="shared" si="14"/>
        <v>1260000</v>
      </c>
    </row>
    <row r="193" spans="1:8" ht="18.75" customHeight="1" x14ac:dyDescent="0.2">
      <c r="A193" s="332"/>
      <c r="B193" s="333"/>
      <c r="C193" s="334"/>
      <c r="D193" s="335"/>
      <c r="E193" s="334"/>
      <c r="F193" s="336"/>
    </row>
    <row r="194" spans="1:8" ht="18.75" customHeight="1" x14ac:dyDescent="0.2">
      <c r="A194" s="332"/>
      <c r="B194" s="333"/>
      <c r="C194" s="334"/>
      <c r="D194" s="335"/>
      <c r="E194" s="334"/>
      <c r="F194" s="336"/>
    </row>
    <row r="195" spans="1:8" ht="18.75" customHeight="1" x14ac:dyDescent="0.2">
      <c r="A195" s="332"/>
      <c r="B195" s="333"/>
      <c r="C195" s="334"/>
      <c r="D195" s="335"/>
      <c r="E195" s="334"/>
      <c r="F195" s="336"/>
    </row>
    <row r="196" spans="1:8" ht="18.75" customHeight="1" x14ac:dyDescent="0.2">
      <c r="A196" s="332"/>
      <c r="B196" s="333"/>
      <c r="C196" s="334"/>
      <c r="D196" s="335"/>
      <c r="E196" s="334"/>
      <c r="F196" s="336"/>
    </row>
    <row r="197" spans="1:8" ht="18.75" customHeight="1" x14ac:dyDescent="0.2">
      <c r="A197" s="332"/>
      <c r="B197" s="333"/>
      <c r="C197" s="334"/>
      <c r="D197" s="335"/>
      <c r="E197" s="334"/>
      <c r="F197" s="336"/>
    </row>
    <row r="198" spans="1:8" ht="18.75" customHeight="1" x14ac:dyDescent="0.2">
      <c r="A198" s="332"/>
      <c r="B198" s="333"/>
      <c r="C198" s="334"/>
      <c r="D198" s="335"/>
      <c r="E198" s="334"/>
      <c r="F198" s="336"/>
    </row>
    <row r="199" spans="1:8" ht="18.75" customHeight="1" x14ac:dyDescent="0.2">
      <c r="A199" s="332"/>
      <c r="B199" s="333"/>
      <c r="C199" s="334"/>
      <c r="D199" s="335"/>
      <c r="E199" s="334"/>
      <c r="F199" s="336"/>
    </row>
    <row r="200" spans="1:8" ht="18.75" customHeight="1" x14ac:dyDescent="0.2">
      <c r="A200" s="332"/>
      <c r="B200" s="333"/>
      <c r="C200" s="334"/>
      <c r="D200" s="335"/>
      <c r="E200" s="334"/>
      <c r="F200" s="336"/>
    </row>
    <row r="201" spans="1:8" ht="15" customHeight="1" x14ac:dyDescent="0.2">
      <c r="A201" s="424" t="s">
        <v>152</v>
      </c>
      <c r="B201" s="426" t="s">
        <v>0</v>
      </c>
      <c r="C201" s="159" t="s">
        <v>150</v>
      </c>
      <c r="D201" s="160" t="s">
        <v>227</v>
      </c>
      <c r="E201" s="427" t="s">
        <v>228</v>
      </c>
      <c r="F201" s="428" t="s">
        <v>229</v>
      </c>
    </row>
    <row r="202" spans="1:8" ht="21.75" customHeight="1" x14ac:dyDescent="0.2">
      <c r="A202" s="425"/>
      <c r="B202" s="426"/>
      <c r="C202" s="161">
        <v>2015</v>
      </c>
      <c r="D202" s="162" t="s">
        <v>230</v>
      </c>
      <c r="E202" s="427"/>
      <c r="F202" s="428"/>
    </row>
    <row r="203" spans="1:8" ht="18.75" customHeight="1" x14ac:dyDescent="0.2">
      <c r="A203" s="189">
        <v>655</v>
      </c>
      <c r="B203" s="190" t="s">
        <v>328</v>
      </c>
      <c r="C203" s="269"/>
      <c r="D203" s="330"/>
      <c r="E203" s="269"/>
      <c r="F203" s="284"/>
    </row>
    <row r="204" spans="1:8" ht="18.75" customHeight="1" x14ac:dyDescent="0.2">
      <c r="A204" s="271">
        <v>6550</v>
      </c>
      <c r="B204" s="1" t="s">
        <v>329</v>
      </c>
      <c r="C204" s="184">
        <v>360000</v>
      </c>
      <c r="D204" s="270">
        <v>270000</v>
      </c>
      <c r="E204" s="284">
        <f>20000*12</f>
        <v>240000</v>
      </c>
      <c r="F204" s="284">
        <f t="shared" si="14"/>
        <v>240000</v>
      </c>
      <c r="H204" s="68"/>
    </row>
    <row r="205" spans="1:8" x14ac:dyDescent="0.2">
      <c r="A205" s="271">
        <v>6551</v>
      </c>
      <c r="B205" s="1" t="s">
        <v>330</v>
      </c>
      <c r="C205" s="211">
        <v>7500000</v>
      </c>
      <c r="D205" s="210">
        <v>3239527</v>
      </c>
      <c r="E205" s="211">
        <f>E32*25%+E40*25%+E51*20%+E52*20%</f>
        <v>12230000</v>
      </c>
      <c r="F205" s="284">
        <f t="shared" si="14"/>
        <v>12230000</v>
      </c>
    </row>
    <row r="206" spans="1:8" ht="31.5" x14ac:dyDescent="0.2">
      <c r="A206" s="271">
        <v>6552</v>
      </c>
      <c r="B206" s="314" t="s">
        <v>331</v>
      </c>
      <c r="C206" s="337">
        <v>0</v>
      </c>
      <c r="D206" s="338">
        <v>0</v>
      </c>
      <c r="E206" s="337">
        <f>10000*12</f>
        <v>120000</v>
      </c>
      <c r="F206" s="284">
        <f t="shared" si="14"/>
        <v>120000</v>
      </c>
    </row>
    <row r="207" spans="1:8" ht="31.5" x14ac:dyDescent="0.2">
      <c r="A207" s="271">
        <v>6553</v>
      </c>
      <c r="B207" s="314" t="s">
        <v>332</v>
      </c>
      <c r="C207" s="184">
        <v>360000</v>
      </c>
      <c r="D207" s="270">
        <v>0</v>
      </c>
      <c r="E207" s="184">
        <v>360000</v>
      </c>
      <c r="F207" s="284">
        <f>E207</f>
        <v>360000</v>
      </c>
    </row>
    <row r="208" spans="1:8" ht="31.5" customHeight="1" x14ac:dyDescent="0.2">
      <c r="A208" s="271"/>
      <c r="B208" s="212" t="s">
        <v>333</v>
      </c>
      <c r="C208" s="184"/>
      <c r="D208" s="270"/>
      <c r="E208" s="184"/>
      <c r="F208" s="284"/>
    </row>
    <row r="209" spans="1:12" ht="18" customHeight="1" x14ac:dyDescent="0.2">
      <c r="A209" s="271">
        <v>6554</v>
      </c>
      <c r="B209" s="1" t="s">
        <v>334</v>
      </c>
      <c r="C209" s="184">
        <v>120000</v>
      </c>
      <c r="D209" s="270">
        <v>90000</v>
      </c>
      <c r="E209" s="184">
        <v>120000</v>
      </c>
      <c r="F209" s="284">
        <f t="shared" ref="F209:F211" si="15">E209</f>
        <v>120000</v>
      </c>
    </row>
    <row r="210" spans="1:12" ht="18" customHeight="1" x14ac:dyDescent="0.2">
      <c r="A210" s="271">
        <v>6555</v>
      </c>
      <c r="B210" s="1" t="s">
        <v>335</v>
      </c>
      <c r="C210" s="184">
        <v>300000</v>
      </c>
      <c r="D210" s="270">
        <v>0</v>
      </c>
      <c r="E210" s="184">
        <v>300000</v>
      </c>
      <c r="F210" s="284">
        <f t="shared" si="15"/>
        <v>300000</v>
      </c>
      <c r="L210" s="339"/>
    </row>
    <row r="211" spans="1:12" x14ac:dyDescent="0.2">
      <c r="A211" s="340">
        <v>6559</v>
      </c>
      <c r="B211" s="320" t="s">
        <v>336</v>
      </c>
      <c r="C211" s="341">
        <v>852000</v>
      </c>
      <c r="D211" s="342">
        <v>765060</v>
      </c>
      <c r="E211" s="341">
        <f>(30000*12)+(30000*12)+220000+100000+200000+200000</f>
        <v>1440000</v>
      </c>
      <c r="F211" s="284">
        <f t="shared" si="15"/>
        <v>1440000</v>
      </c>
    </row>
    <row r="212" spans="1:12" ht="33" customHeight="1" x14ac:dyDescent="0.2">
      <c r="A212" s="343"/>
      <c r="B212" s="443" t="s">
        <v>337</v>
      </c>
      <c r="C212" s="444"/>
      <c r="D212" s="444"/>
      <c r="E212" s="444"/>
      <c r="F212" s="445"/>
    </row>
    <row r="213" spans="1:12" x14ac:dyDescent="0.2">
      <c r="A213" s="344"/>
      <c r="B213" s="239" t="s">
        <v>338</v>
      </c>
      <c r="C213" s="345"/>
      <c r="D213" s="346"/>
      <c r="E213" s="345"/>
      <c r="F213" s="199"/>
    </row>
    <row r="214" spans="1:12" x14ac:dyDescent="0.2">
      <c r="A214" s="344"/>
      <c r="B214" s="239" t="s">
        <v>339</v>
      </c>
      <c r="C214" s="345"/>
      <c r="D214" s="346"/>
      <c r="E214" s="345"/>
      <c r="F214" s="199"/>
      <c r="L214" s="68"/>
    </row>
    <row r="215" spans="1:12" x14ac:dyDescent="0.2">
      <c r="A215" s="344"/>
      <c r="B215" s="239" t="s">
        <v>340</v>
      </c>
      <c r="C215" s="345"/>
      <c r="D215" s="346"/>
      <c r="E215" s="345"/>
      <c r="F215" s="199"/>
    </row>
    <row r="216" spans="1:12" x14ac:dyDescent="0.2">
      <c r="A216" s="344"/>
      <c r="B216" s="239" t="s">
        <v>341</v>
      </c>
      <c r="C216" s="345"/>
      <c r="D216" s="346"/>
      <c r="E216" s="345"/>
      <c r="F216" s="199"/>
    </row>
    <row r="217" spans="1:12" x14ac:dyDescent="0.2">
      <c r="A217" s="347"/>
      <c r="B217" s="239" t="s">
        <v>342</v>
      </c>
      <c r="C217" s="197"/>
      <c r="D217" s="198"/>
      <c r="E217" s="197"/>
      <c r="F217" s="348"/>
    </row>
    <row r="218" spans="1:12" x14ac:dyDescent="0.2">
      <c r="A218" s="347"/>
      <c r="B218" s="349" t="s">
        <v>343</v>
      </c>
      <c r="C218" s="197"/>
      <c r="D218" s="198"/>
      <c r="E218" s="197"/>
      <c r="F218" s="348"/>
    </row>
    <row r="219" spans="1:12" x14ac:dyDescent="0.2">
      <c r="A219" s="347"/>
      <c r="B219" s="239" t="s">
        <v>344</v>
      </c>
      <c r="C219" s="197"/>
      <c r="D219" s="198"/>
      <c r="E219" s="197"/>
      <c r="F219" s="348"/>
    </row>
    <row r="220" spans="1:12" x14ac:dyDescent="0.2">
      <c r="A220" s="350"/>
      <c r="B220" s="244" t="s">
        <v>345</v>
      </c>
      <c r="C220" s="245"/>
      <c r="D220" s="293"/>
      <c r="E220" s="245"/>
      <c r="F220" s="206"/>
    </row>
    <row r="221" spans="1:12" x14ac:dyDescent="0.2">
      <c r="A221" s="249">
        <v>658</v>
      </c>
      <c r="B221" s="351" t="s">
        <v>346</v>
      </c>
      <c r="C221" s="251"/>
      <c r="D221" s="252"/>
      <c r="E221" s="251"/>
      <c r="F221" s="352"/>
    </row>
    <row r="222" spans="1:12" x14ac:dyDescent="0.2">
      <c r="A222" s="186">
        <v>6581</v>
      </c>
      <c r="B222" s="353" t="s">
        <v>347</v>
      </c>
      <c r="C222" s="253">
        <v>0</v>
      </c>
      <c r="D222" s="228">
        <v>0</v>
      </c>
      <c r="E222" s="194">
        <f>50506*12</f>
        <v>606072</v>
      </c>
      <c r="F222" s="354">
        <f>E222</f>
        <v>606072</v>
      </c>
    </row>
    <row r="223" spans="1:12" x14ac:dyDescent="0.2">
      <c r="A223" s="355"/>
      <c r="B223" s="356" t="s">
        <v>348</v>
      </c>
      <c r="C223" s="357"/>
      <c r="D223" s="358"/>
      <c r="E223" s="357"/>
      <c r="F223" s="204"/>
    </row>
    <row r="224" spans="1:12" x14ac:dyDescent="0.2">
      <c r="A224" s="359">
        <v>6582</v>
      </c>
      <c r="B224" s="360" t="s">
        <v>349</v>
      </c>
      <c r="C224" s="247">
        <v>3514964</v>
      </c>
      <c r="D224" s="293">
        <v>3453697</v>
      </c>
      <c r="E224" s="247">
        <f>'[1]Salaires 2015 FS'!F37*21.5%+700000</f>
        <v>5421591.7778499993</v>
      </c>
      <c r="F224" s="204">
        <f>E224</f>
        <v>5421591.7778499993</v>
      </c>
      <c r="L224" s="68"/>
    </row>
    <row r="225" spans="1:12" s="55" customFormat="1" ht="36" customHeight="1" x14ac:dyDescent="0.2">
      <c r="A225" s="283"/>
      <c r="B225" s="361" t="s">
        <v>350</v>
      </c>
      <c r="C225" s="362"/>
      <c r="D225" s="363"/>
      <c r="E225" s="284"/>
      <c r="F225" s="284"/>
    </row>
    <row r="226" spans="1:12" x14ac:dyDescent="0.2">
      <c r="A226" s="364">
        <v>6589</v>
      </c>
      <c r="B226" s="1" t="s">
        <v>351</v>
      </c>
      <c r="C226" s="211">
        <v>659908.8947640002</v>
      </c>
      <c r="D226" s="210">
        <v>609166</v>
      </c>
      <c r="E226" s="286">
        <f>'[1]Salaires 2015 FS'!F37*3.5%+'[1]Salaires 2015 FS'!J37-479</f>
        <v>1536783.4393000002</v>
      </c>
      <c r="F226" s="284">
        <f>E226</f>
        <v>1536783.4393000002</v>
      </c>
      <c r="L226" s="68"/>
    </row>
    <row r="227" spans="1:12" x14ac:dyDescent="0.2">
      <c r="A227" s="213">
        <v>66</v>
      </c>
      <c r="B227" s="365" t="s">
        <v>352</v>
      </c>
      <c r="C227" s="215">
        <f>SUM(C229:C264)</f>
        <v>7991193</v>
      </c>
      <c r="D227" s="216">
        <f>SUM(D229:D264)</f>
        <v>5142781</v>
      </c>
      <c r="E227" s="215">
        <f>+E228+E231+E234+E238+E240+E250+E256+E262+E264</f>
        <v>9054600</v>
      </c>
      <c r="F227" s="215">
        <f>+F228+F231+F234+F238+F240+F250+F256+F262+F264</f>
        <v>9054600</v>
      </c>
      <c r="L227" s="68"/>
    </row>
    <row r="228" spans="1:12" s="55" customFormat="1" x14ac:dyDescent="0.2">
      <c r="A228" s="167">
        <v>660</v>
      </c>
      <c r="B228" s="366" t="s">
        <v>353</v>
      </c>
      <c r="C228" s="169"/>
      <c r="D228" s="170"/>
      <c r="E228" s="169">
        <f>E229+E230</f>
        <v>1250000</v>
      </c>
      <c r="F228" s="169">
        <f>F229+F230</f>
        <v>1250000</v>
      </c>
    </row>
    <row r="229" spans="1:12" x14ac:dyDescent="0.2">
      <c r="A229" s="271">
        <v>6600</v>
      </c>
      <c r="B229" s="1" t="s">
        <v>354</v>
      </c>
      <c r="C229" s="211">
        <v>750000</v>
      </c>
      <c r="D229" s="210">
        <v>530000</v>
      </c>
      <c r="E229" s="211">
        <v>750000</v>
      </c>
      <c r="F229" s="284">
        <f>E229</f>
        <v>750000</v>
      </c>
    </row>
    <row r="230" spans="1:12" x14ac:dyDescent="0.2">
      <c r="A230" s="367">
        <v>6603</v>
      </c>
      <c r="B230" s="1" t="s">
        <v>355</v>
      </c>
      <c r="C230" s="211">
        <v>500000</v>
      </c>
      <c r="D230" s="210">
        <v>445400</v>
      </c>
      <c r="E230" s="211">
        <v>500000</v>
      </c>
      <c r="F230" s="284">
        <f>E230</f>
        <v>500000</v>
      </c>
    </row>
    <row r="231" spans="1:12" x14ac:dyDescent="0.2">
      <c r="A231" s="368">
        <v>661</v>
      </c>
      <c r="B231" s="307" t="s">
        <v>356</v>
      </c>
      <c r="C231" s="191"/>
      <c r="D231" s="208"/>
      <c r="E231" s="191">
        <f>E232+E233</f>
        <v>700000</v>
      </c>
      <c r="F231" s="191">
        <f>F232+F233</f>
        <v>700000</v>
      </c>
    </row>
    <row r="232" spans="1:12" ht="16.5" customHeight="1" x14ac:dyDescent="0.2">
      <c r="A232" s="271">
        <v>6610</v>
      </c>
      <c r="B232" s="209" t="s">
        <v>357</v>
      </c>
      <c r="C232" s="184">
        <v>200000</v>
      </c>
      <c r="D232" s="270">
        <v>60000</v>
      </c>
      <c r="E232" s="184">
        <v>200000</v>
      </c>
      <c r="F232" s="284">
        <f>E232</f>
        <v>200000</v>
      </c>
    </row>
    <row r="233" spans="1:12" ht="16.5" customHeight="1" x14ac:dyDescent="0.2">
      <c r="A233" s="271">
        <v>6611</v>
      </c>
      <c r="B233" s="209" t="s">
        <v>358</v>
      </c>
      <c r="C233" s="184">
        <v>500000</v>
      </c>
      <c r="D233" s="270">
        <v>211000</v>
      </c>
      <c r="E233" s="184">
        <v>500000</v>
      </c>
      <c r="F233" s="284">
        <f>E233</f>
        <v>500000</v>
      </c>
    </row>
    <row r="234" spans="1:12" ht="16.5" customHeight="1" x14ac:dyDescent="0.2">
      <c r="A234" s="189">
        <v>662</v>
      </c>
      <c r="B234" s="190" t="s">
        <v>359</v>
      </c>
      <c r="C234" s="269"/>
      <c r="D234" s="330"/>
      <c r="E234" s="269">
        <f>E235+E236+E237</f>
        <v>3160000</v>
      </c>
      <c r="F234" s="269">
        <f>F235+F236+F237</f>
        <v>3160000</v>
      </c>
    </row>
    <row r="235" spans="1:12" x14ac:dyDescent="0.2">
      <c r="A235" s="271">
        <v>6620</v>
      </c>
      <c r="B235" s="1" t="s">
        <v>360</v>
      </c>
      <c r="C235" s="211">
        <v>2400000</v>
      </c>
      <c r="D235" s="210">
        <v>2033730</v>
      </c>
      <c r="E235" s="211">
        <v>2400000</v>
      </c>
      <c r="F235" s="284">
        <f>E235</f>
        <v>2400000</v>
      </c>
    </row>
    <row r="236" spans="1:12" x14ac:dyDescent="0.2">
      <c r="A236" s="271">
        <v>6621</v>
      </c>
      <c r="B236" s="1" t="s">
        <v>361</v>
      </c>
      <c r="C236" s="211">
        <v>460000</v>
      </c>
      <c r="D236" s="210">
        <v>7200</v>
      </c>
      <c r="E236" s="211">
        <v>460000</v>
      </c>
      <c r="F236" s="284">
        <f t="shared" ref="F236:F237" si="16">E236</f>
        <v>460000</v>
      </c>
    </row>
    <row r="237" spans="1:12" x14ac:dyDescent="0.2">
      <c r="A237" s="271">
        <v>6629</v>
      </c>
      <c r="B237" s="1" t="s">
        <v>362</v>
      </c>
      <c r="C237" s="211">
        <v>300000</v>
      </c>
      <c r="D237" s="210">
        <v>269100</v>
      </c>
      <c r="E237" s="211">
        <v>300000</v>
      </c>
      <c r="F237" s="284">
        <f t="shared" si="16"/>
        <v>300000</v>
      </c>
    </row>
    <row r="238" spans="1:12" x14ac:dyDescent="0.2">
      <c r="A238" s="189">
        <v>663</v>
      </c>
      <c r="B238" s="307" t="s">
        <v>363</v>
      </c>
      <c r="C238" s="191"/>
      <c r="D238" s="208"/>
      <c r="E238" s="191">
        <f>E239</f>
        <v>406600</v>
      </c>
      <c r="F238" s="191">
        <f>F239</f>
        <v>406600</v>
      </c>
    </row>
    <row r="239" spans="1:12" x14ac:dyDescent="0.2">
      <c r="A239" s="271">
        <v>6630</v>
      </c>
      <c r="B239" s="1" t="s">
        <v>364</v>
      </c>
      <c r="C239" s="211">
        <v>265178</v>
      </c>
      <c r="D239" s="210">
        <v>0</v>
      </c>
      <c r="E239" s="211">
        <f>11800*12+265000</f>
        <v>406600</v>
      </c>
      <c r="F239" s="284">
        <f>E239</f>
        <v>406600</v>
      </c>
    </row>
    <row r="240" spans="1:12" x14ac:dyDescent="0.2">
      <c r="A240" s="189">
        <v>664</v>
      </c>
      <c r="B240" s="307" t="s">
        <v>365</v>
      </c>
      <c r="C240" s="191"/>
      <c r="D240" s="208"/>
      <c r="E240" s="191">
        <f>E241+E242+E249</f>
        <v>708000</v>
      </c>
      <c r="F240" s="191">
        <f>F241+F242+F249</f>
        <v>708000</v>
      </c>
    </row>
    <row r="241" spans="1:6" x14ac:dyDescent="0.2">
      <c r="A241" s="271">
        <v>6640</v>
      </c>
      <c r="B241" s="1" t="s">
        <v>366</v>
      </c>
      <c r="C241" s="211"/>
      <c r="D241" s="210"/>
      <c r="E241" s="211">
        <v>50000</v>
      </c>
      <c r="F241" s="284">
        <f>E241</f>
        <v>50000</v>
      </c>
    </row>
    <row r="242" spans="1:6" x14ac:dyDescent="0.2">
      <c r="A242" s="171">
        <v>6643</v>
      </c>
      <c r="B242" s="369" t="s">
        <v>367</v>
      </c>
      <c r="C242" s="233">
        <v>500000</v>
      </c>
      <c r="D242" s="174">
        <v>220001</v>
      </c>
      <c r="E242" s="233">
        <f>162000+108000+54000+54000+120000+120000</f>
        <v>618000</v>
      </c>
      <c r="F242" s="284">
        <f>E242</f>
        <v>618000</v>
      </c>
    </row>
    <row r="243" spans="1:6" x14ac:dyDescent="0.2">
      <c r="A243" s="186"/>
      <c r="B243" s="231" t="s">
        <v>368</v>
      </c>
      <c r="C243" s="194"/>
      <c r="D243" s="174"/>
      <c r="E243" s="194"/>
      <c r="F243" s="175"/>
    </row>
    <row r="244" spans="1:6" x14ac:dyDescent="0.2">
      <c r="A244" s="370"/>
      <c r="B244" s="239" t="s">
        <v>369</v>
      </c>
      <c r="C244" s="197"/>
      <c r="D244" s="312"/>
      <c r="E244" s="197"/>
      <c r="F244" s="199"/>
    </row>
    <row r="245" spans="1:6" x14ac:dyDescent="0.2">
      <c r="A245" s="370"/>
      <c r="B245" s="239" t="s">
        <v>370</v>
      </c>
      <c r="C245" s="197"/>
      <c r="D245" s="198"/>
      <c r="E245" s="197"/>
      <c r="F245" s="199"/>
    </row>
    <row r="246" spans="1:6" x14ac:dyDescent="0.2">
      <c r="A246" s="370"/>
      <c r="B246" s="239" t="s">
        <v>371</v>
      </c>
      <c r="C246" s="197"/>
      <c r="D246" s="198"/>
      <c r="E246" s="197"/>
      <c r="F246" s="199"/>
    </row>
    <row r="247" spans="1:6" x14ac:dyDescent="0.2">
      <c r="A247" s="370"/>
      <c r="B247" s="239" t="s">
        <v>372</v>
      </c>
      <c r="C247" s="197"/>
      <c r="D247" s="198"/>
      <c r="E247" s="197"/>
      <c r="F247" s="199"/>
    </row>
    <row r="248" spans="1:6" x14ac:dyDescent="0.2">
      <c r="A248" s="370"/>
      <c r="B248" s="239" t="s">
        <v>373</v>
      </c>
      <c r="C248" s="197"/>
      <c r="D248" s="198"/>
      <c r="E248" s="197"/>
      <c r="F248" s="199"/>
    </row>
    <row r="249" spans="1:6" x14ac:dyDescent="0.2">
      <c r="A249" s="271">
        <v>6644</v>
      </c>
      <c r="B249" s="1" t="s">
        <v>374</v>
      </c>
      <c r="C249" s="211">
        <v>34000</v>
      </c>
      <c r="D249" s="210">
        <v>34000</v>
      </c>
      <c r="E249" s="211">
        <v>40000</v>
      </c>
      <c r="F249" s="284">
        <f>E249</f>
        <v>40000</v>
      </c>
    </row>
    <row r="250" spans="1:6" x14ac:dyDescent="0.2">
      <c r="A250" s="371">
        <v>666</v>
      </c>
      <c r="B250" s="307" t="s">
        <v>375</v>
      </c>
      <c r="C250" s="191"/>
      <c r="D250" s="208"/>
      <c r="E250" s="269">
        <f>E251+E252+E253</f>
        <v>1980000</v>
      </c>
      <c r="F250" s="269">
        <f>F251+F252+F253</f>
        <v>1980000</v>
      </c>
    </row>
    <row r="251" spans="1:6" x14ac:dyDescent="0.2">
      <c r="A251" s="271">
        <v>6660</v>
      </c>
      <c r="B251" s="1" t="s">
        <v>376</v>
      </c>
      <c r="C251" s="211">
        <v>240000</v>
      </c>
      <c r="D251" s="210">
        <v>60000</v>
      </c>
      <c r="E251" s="211">
        <f>40000*12</f>
        <v>480000</v>
      </c>
      <c r="F251" s="284">
        <f>E251</f>
        <v>480000</v>
      </c>
    </row>
    <row r="252" spans="1:6" x14ac:dyDescent="0.2">
      <c r="A252" s="271">
        <v>6661</v>
      </c>
      <c r="B252" s="1" t="s">
        <v>377</v>
      </c>
      <c r="C252" s="211"/>
      <c r="D252" s="210">
        <v>90000</v>
      </c>
      <c r="E252" s="211">
        <v>240000</v>
      </c>
      <c r="F252" s="284">
        <f t="shared" ref="F252:F253" si="17">E252</f>
        <v>240000</v>
      </c>
    </row>
    <row r="253" spans="1:6" x14ac:dyDescent="0.2">
      <c r="A253" s="171">
        <v>6662</v>
      </c>
      <c r="B253" s="369" t="s">
        <v>378</v>
      </c>
      <c r="C253" s="233">
        <v>840000</v>
      </c>
      <c r="D253" s="174">
        <v>600000</v>
      </c>
      <c r="E253" s="233">
        <f>840000+420000</f>
        <v>1260000</v>
      </c>
      <c r="F253" s="284">
        <f t="shared" si="17"/>
        <v>1260000</v>
      </c>
    </row>
    <row r="254" spans="1:6" x14ac:dyDescent="0.2">
      <c r="A254" s="186"/>
      <c r="B254" s="290" t="s">
        <v>379</v>
      </c>
      <c r="C254" s="194"/>
      <c r="D254" s="174"/>
      <c r="E254" s="194"/>
      <c r="F254" s="175"/>
    </row>
    <row r="255" spans="1:6" x14ac:dyDescent="0.2">
      <c r="A255" s="292"/>
      <c r="B255" s="244" t="s">
        <v>380</v>
      </c>
      <c r="C255" s="245"/>
      <c r="D255" s="293"/>
      <c r="E255" s="245"/>
      <c r="F255" s="204"/>
    </row>
    <row r="256" spans="1:6" ht="32.25" customHeight="1" x14ac:dyDescent="0.2">
      <c r="A256" s="249">
        <v>667</v>
      </c>
      <c r="B256" s="372" t="s">
        <v>381</v>
      </c>
      <c r="C256" s="348">
        <v>300000</v>
      </c>
      <c r="D256" s="373">
        <v>155000</v>
      </c>
      <c r="E256" s="348">
        <v>300000</v>
      </c>
      <c r="F256" s="348">
        <f>E256</f>
        <v>300000</v>
      </c>
    </row>
    <row r="257" spans="1:6" ht="32.25" customHeight="1" x14ac:dyDescent="0.2">
      <c r="A257" s="189"/>
      <c r="B257" s="273" t="s">
        <v>382</v>
      </c>
      <c r="C257" s="269"/>
      <c r="D257" s="330"/>
      <c r="E257" s="269"/>
      <c r="F257" s="269"/>
    </row>
    <row r="258" spans="1:6" ht="32.25" customHeight="1" x14ac:dyDescent="0.2">
      <c r="A258" s="332"/>
      <c r="B258" s="374"/>
      <c r="C258" s="334"/>
      <c r="D258" s="335"/>
      <c r="E258" s="334"/>
      <c r="F258" s="334"/>
    </row>
    <row r="259" spans="1:6" ht="32.25" customHeight="1" x14ac:dyDescent="0.2">
      <c r="A259" s="332"/>
      <c r="B259" s="374"/>
      <c r="C259" s="334"/>
      <c r="D259" s="335"/>
      <c r="E259" s="334"/>
      <c r="F259" s="334"/>
    </row>
    <row r="260" spans="1:6" ht="15" customHeight="1" x14ac:dyDescent="0.2">
      <c r="A260" s="430" t="s">
        <v>152</v>
      </c>
      <c r="B260" s="431" t="s">
        <v>0</v>
      </c>
      <c r="C260" s="279" t="s">
        <v>150</v>
      </c>
      <c r="D260" s="280" t="s">
        <v>227</v>
      </c>
      <c r="E260" s="432" t="s">
        <v>228</v>
      </c>
      <c r="F260" s="428" t="s">
        <v>229</v>
      </c>
    </row>
    <row r="261" spans="1:6" ht="21.75" customHeight="1" x14ac:dyDescent="0.2">
      <c r="A261" s="430"/>
      <c r="B261" s="431"/>
      <c r="C261" s="54">
        <v>2015</v>
      </c>
      <c r="D261" s="281" t="s">
        <v>230</v>
      </c>
      <c r="E261" s="432"/>
      <c r="F261" s="428"/>
    </row>
    <row r="262" spans="1:6" x14ac:dyDescent="0.2">
      <c r="A262" s="225">
        <v>668</v>
      </c>
      <c r="B262" s="375" t="s">
        <v>383</v>
      </c>
      <c r="C262" s="227">
        <v>400000</v>
      </c>
      <c r="D262" s="228">
        <v>382000</v>
      </c>
      <c r="E262" s="227">
        <v>350000</v>
      </c>
      <c r="F262" s="376">
        <f>E262</f>
        <v>350000</v>
      </c>
    </row>
    <row r="263" spans="1:6" ht="45" x14ac:dyDescent="0.2">
      <c r="A263" s="283"/>
      <c r="B263" s="273" t="s">
        <v>384</v>
      </c>
      <c r="C263" s="377"/>
      <c r="D263" s="208"/>
      <c r="E263" s="378"/>
      <c r="F263" s="269"/>
    </row>
    <row r="264" spans="1:6" x14ac:dyDescent="0.2">
      <c r="A264" s="189">
        <v>669</v>
      </c>
      <c r="B264" s="307" t="s">
        <v>385</v>
      </c>
      <c r="C264" s="191">
        <v>300000</v>
      </c>
      <c r="D264" s="208">
        <v>45350</v>
      </c>
      <c r="E264" s="191">
        <v>200000</v>
      </c>
      <c r="F264" s="269">
        <f>E264</f>
        <v>200000</v>
      </c>
    </row>
    <row r="265" spans="1:6" x14ac:dyDescent="0.2">
      <c r="A265" s="213">
        <v>67</v>
      </c>
      <c r="B265" s="304" t="s">
        <v>386</v>
      </c>
      <c r="C265" s="215">
        <f>SUM(C267)</f>
        <v>1500000</v>
      </c>
      <c r="D265" s="216">
        <f>SUM(D267)</f>
        <v>842130</v>
      </c>
      <c r="E265" s="215">
        <f>SUM(E267)</f>
        <v>1500000</v>
      </c>
      <c r="F265" s="215">
        <f>SUM(F267)</f>
        <v>1500000</v>
      </c>
    </row>
    <row r="266" spans="1:6" s="55" customFormat="1" ht="21" customHeight="1" x14ac:dyDescent="0.2">
      <c r="A266" s="167">
        <v>674</v>
      </c>
      <c r="B266" s="379" t="s">
        <v>387</v>
      </c>
      <c r="C266" s="169"/>
      <c r="D266" s="170"/>
      <c r="E266" s="169"/>
      <c r="F266" s="169"/>
    </row>
    <row r="267" spans="1:6" x14ac:dyDescent="0.2">
      <c r="A267" s="271">
        <v>6740</v>
      </c>
      <c r="B267" s="1" t="s">
        <v>388</v>
      </c>
      <c r="C267" s="211">
        <v>1500000</v>
      </c>
      <c r="D267" s="210">
        <v>842130</v>
      </c>
      <c r="E267" s="211">
        <v>1500000</v>
      </c>
      <c r="F267" s="211">
        <f>E267</f>
        <v>1500000</v>
      </c>
    </row>
    <row r="268" spans="1:6" ht="46.5" customHeight="1" x14ac:dyDescent="0.2">
      <c r="A268" s="271"/>
      <c r="B268" s="212" t="s">
        <v>389</v>
      </c>
      <c r="C268" s="211"/>
      <c r="D268" s="210"/>
      <c r="E268" s="211"/>
      <c r="F268" s="211"/>
    </row>
    <row r="269" spans="1:6" x14ac:dyDescent="0.2">
      <c r="A269" s="213">
        <v>69</v>
      </c>
      <c r="B269" s="304" t="s">
        <v>390</v>
      </c>
      <c r="C269" s="215">
        <f>SUM(C270:C271)</f>
        <v>100000</v>
      </c>
      <c r="D269" s="216">
        <f>SUM(D270:D271)</f>
        <v>73450</v>
      </c>
      <c r="E269" s="215">
        <f>SUM(E270:E271)</f>
        <v>100000</v>
      </c>
      <c r="F269" s="215">
        <f>SUM(F270:F271)</f>
        <v>100000</v>
      </c>
    </row>
    <row r="270" spans="1:6" x14ac:dyDescent="0.2">
      <c r="A270" s="271">
        <v>692</v>
      </c>
      <c r="B270" s="1" t="s">
        <v>391</v>
      </c>
      <c r="C270" s="211">
        <v>0</v>
      </c>
      <c r="D270" s="210">
        <f>'[1]Décade Dép janv-sept'!AZ40</f>
        <v>0</v>
      </c>
      <c r="E270" s="211">
        <v>0</v>
      </c>
      <c r="F270" s="211">
        <f>E270</f>
        <v>0</v>
      </c>
    </row>
    <row r="271" spans="1:6" x14ac:dyDescent="0.2">
      <c r="A271" s="271">
        <v>699</v>
      </c>
      <c r="B271" s="1" t="s">
        <v>392</v>
      </c>
      <c r="C271" s="211">
        <v>100000</v>
      </c>
      <c r="D271" s="210">
        <v>73450</v>
      </c>
      <c r="E271" s="211">
        <v>100000</v>
      </c>
      <c r="F271" s="211">
        <f>E271</f>
        <v>100000</v>
      </c>
    </row>
    <row r="272" spans="1:6" x14ac:dyDescent="0.2">
      <c r="A272" s="213">
        <v>83</v>
      </c>
      <c r="B272" s="365" t="s">
        <v>393</v>
      </c>
      <c r="C272" s="215">
        <f>SUM(C273)</f>
        <v>13968800.374124005</v>
      </c>
      <c r="D272" s="216">
        <f t="shared" ref="D272" si="18">SUM(D273)</f>
        <v>0</v>
      </c>
      <c r="E272" s="215">
        <f>SUM(E273)</f>
        <v>17104600</v>
      </c>
      <c r="F272" s="215">
        <f>SUM(F273)</f>
        <v>17104600</v>
      </c>
    </row>
    <row r="273" spans="1:6" ht="30" customHeight="1" x14ac:dyDescent="0.2">
      <c r="A273" s="271">
        <v>831</v>
      </c>
      <c r="B273" s="73" t="s">
        <v>394</v>
      </c>
      <c r="C273" s="184">
        <v>13968800.374124005</v>
      </c>
      <c r="D273" s="270">
        <v>0</v>
      </c>
      <c r="E273" s="184">
        <v>17104600</v>
      </c>
      <c r="F273" s="184">
        <f>E273</f>
        <v>17104600</v>
      </c>
    </row>
    <row r="274" spans="1:6" x14ac:dyDescent="0.2">
      <c r="A274" s="297"/>
      <c r="B274" s="297" t="s">
        <v>395</v>
      </c>
      <c r="C274" s="298">
        <f>C272+C269+C265+C227+C183+C178+C166+C164+C160+C143</f>
        <v>69778029.903871998</v>
      </c>
      <c r="D274" s="298">
        <f>D272+D269+D265+D227+D183+D178+D166+D164+D160+D143</f>
        <v>34132999</v>
      </c>
      <c r="E274" s="298">
        <f>E272+E269+E265+E227+E183+E178+E166+E164+E160+E143</f>
        <v>85523000.207149997</v>
      </c>
      <c r="F274" s="298">
        <f>F272+F269+F265+F227+F183+F178+F166+F164+F160+F143</f>
        <v>85523000.207149997</v>
      </c>
    </row>
    <row r="275" spans="1:6" x14ac:dyDescent="0.2">
      <c r="C275" s="380" t="s">
        <v>396</v>
      </c>
      <c r="D275" s="157">
        <f>E274-E273</f>
        <v>68418400.207149997</v>
      </c>
      <c r="E275" s="381" t="s">
        <v>397</v>
      </c>
      <c r="F275" s="158">
        <f>E273/E91</f>
        <v>0.2</v>
      </c>
    </row>
    <row r="276" spans="1:6" x14ac:dyDescent="0.2">
      <c r="C276" s="380" t="s">
        <v>398</v>
      </c>
      <c r="D276" s="157">
        <f>E91</f>
        <v>85523000</v>
      </c>
      <c r="E276" s="380"/>
      <c r="F276" s="380"/>
    </row>
    <row r="277" spans="1:6" x14ac:dyDescent="0.2">
      <c r="C277" s="380" t="s">
        <v>399</v>
      </c>
      <c r="D277" s="157">
        <f>D276-D275</f>
        <v>17104599.792850003</v>
      </c>
      <c r="E277" s="380"/>
      <c r="F277" s="380"/>
    </row>
    <row r="278" spans="1:6" x14ac:dyDescent="0.2">
      <c r="C278" s="382" t="s">
        <v>400</v>
      </c>
      <c r="D278" s="157">
        <f>D276*20%</f>
        <v>17104600</v>
      </c>
      <c r="E278" s="157"/>
      <c r="F278" s="380"/>
    </row>
    <row r="279" spans="1:6" x14ac:dyDescent="0.2">
      <c r="C279" s="383"/>
      <c r="D279" s="384"/>
      <c r="E279" s="385"/>
      <c r="F279" s="385"/>
    </row>
  </sheetData>
  <mergeCells count="28">
    <mergeCell ref="B212:F212"/>
    <mergeCell ref="A260:A261"/>
    <mergeCell ref="B260:B261"/>
    <mergeCell ref="E260:E261"/>
    <mergeCell ref="F260:F261"/>
    <mergeCell ref="E141:E142"/>
    <mergeCell ref="F141:F142"/>
    <mergeCell ref="A94:F94"/>
    <mergeCell ref="A96:A97"/>
    <mergeCell ref="B96:B97"/>
    <mergeCell ref="E96:E97"/>
    <mergeCell ref="F96:F97"/>
    <mergeCell ref="A201:A202"/>
    <mergeCell ref="B201:B202"/>
    <mergeCell ref="E201:E202"/>
    <mergeCell ref="F201:F202"/>
    <mergeCell ref="A2:F2"/>
    <mergeCell ref="A4:A5"/>
    <mergeCell ref="B4:B5"/>
    <mergeCell ref="E4:E5"/>
    <mergeCell ref="F4:F5"/>
    <mergeCell ref="A67:A68"/>
    <mergeCell ref="B67:B68"/>
    <mergeCell ref="E67:E68"/>
    <mergeCell ref="F67:F68"/>
    <mergeCell ref="A139:F139"/>
    <mergeCell ref="A141:A142"/>
    <mergeCell ref="B141:B142"/>
  </mergeCells>
  <pageMargins left="0.39370078740157483" right="0.31496062992125984" top="0.35433070866141736" bottom="0.35433070866141736" header="0.31496062992125984" footer="0.31496062992125984"/>
  <pageSetup paperSize="9" scale="74" fitToHeight="0" orientation="portrait" r:id="rId1"/>
  <headerFooter>
    <oddHeader>&amp;LConseil de Préfecture de Haho&amp;RBudget primitif 2016</oddHeader>
    <oddFooter>&amp;R&amp;P/&amp;N</oddFooter>
  </headerFooter>
  <ignoredErrors>
    <ignoredError sqref="C12:D12" formulaRange="1"/>
  </ignoredErrors>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tabColor rgb="FF00B050"/>
    <pageSetUpPr fitToPage="1"/>
  </sheetPr>
  <dimension ref="A1:L71"/>
  <sheetViews>
    <sheetView zoomScale="90" zoomScaleNormal="90" workbookViewId="0">
      <pane ySplit="4" topLeftCell="A5" activePane="bottomLeft" state="frozen"/>
      <selection pane="bottomLeft" activeCell="H7" sqref="H7"/>
    </sheetView>
  </sheetViews>
  <sheetFormatPr baseColWidth="10" defaultRowHeight="12.75" x14ac:dyDescent="0.2"/>
  <cols>
    <col min="1" max="1" width="7" style="31" customWidth="1"/>
    <col min="2" max="2" width="46.42578125" style="30" customWidth="1"/>
    <col min="3" max="3" width="13.7109375" style="87" bestFit="1" customWidth="1"/>
    <col min="4" max="4" width="12.85546875" style="30" bestFit="1" customWidth="1"/>
    <col min="5" max="5" width="13.42578125" style="30" bestFit="1" customWidth="1"/>
    <col min="6" max="7" width="15" style="30" bestFit="1" customWidth="1"/>
    <col min="8" max="8" width="9.42578125" style="30" customWidth="1"/>
    <col min="9" max="9" width="13.85546875" style="87" bestFit="1" customWidth="1"/>
    <col min="10" max="10" width="12.42578125" style="30" bestFit="1" customWidth="1"/>
    <col min="11" max="16384" width="11.42578125" style="30"/>
  </cols>
  <sheetData>
    <row r="1" spans="1:11" ht="18.75" x14ac:dyDescent="0.2">
      <c r="A1" s="446" t="s">
        <v>409</v>
      </c>
      <c r="B1" s="446"/>
      <c r="C1" s="446"/>
      <c r="D1" s="446"/>
      <c r="E1" s="446"/>
      <c r="F1" s="446"/>
      <c r="G1" s="446"/>
      <c r="H1" s="446"/>
      <c r="I1" s="446"/>
    </row>
    <row r="2" spans="1:11" ht="27" customHeight="1" x14ac:dyDescent="0.2">
      <c r="B2" s="136" t="s">
        <v>200</v>
      </c>
      <c r="D2" s="68"/>
      <c r="E2" s="68"/>
      <c r="F2" s="68"/>
      <c r="G2" s="68"/>
      <c r="H2" s="78"/>
      <c r="I2" s="86"/>
    </row>
    <row r="3" spans="1:11" ht="17.25" customHeight="1" x14ac:dyDescent="0.2">
      <c r="A3" s="424" t="s">
        <v>152</v>
      </c>
      <c r="B3" s="447" t="s">
        <v>0</v>
      </c>
      <c r="C3" s="448" t="s">
        <v>219</v>
      </c>
      <c r="D3" s="449"/>
      <c r="E3" s="449"/>
      <c r="F3" s="137" t="s">
        <v>221</v>
      </c>
      <c r="G3" s="119" t="s">
        <v>223</v>
      </c>
      <c r="H3" s="139" t="s">
        <v>149</v>
      </c>
      <c r="I3" s="119" t="s">
        <v>218</v>
      </c>
    </row>
    <row r="4" spans="1:11" ht="17.25" customHeight="1" x14ac:dyDescent="0.2">
      <c r="A4" s="425"/>
      <c r="B4" s="447"/>
      <c r="C4" s="97" t="s">
        <v>411</v>
      </c>
      <c r="D4" s="98" t="s">
        <v>148</v>
      </c>
      <c r="E4" s="99" t="s">
        <v>147</v>
      </c>
      <c r="F4" s="138" t="s">
        <v>220</v>
      </c>
      <c r="G4" s="120" t="s">
        <v>222</v>
      </c>
      <c r="H4" s="140" t="s">
        <v>146</v>
      </c>
      <c r="I4" s="120"/>
    </row>
    <row r="5" spans="1:11" x14ac:dyDescent="0.2">
      <c r="A5" s="77">
        <v>70</v>
      </c>
      <c r="B5" s="76" t="s">
        <v>187</v>
      </c>
      <c r="C5" s="83">
        <f>SUM(C7:C14)</f>
        <v>16363000</v>
      </c>
      <c r="D5" s="83">
        <f>SUM(D7:D14)</f>
        <v>0</v>
      </c>
      <c r="E5" s="83">
        <f>SUM(E7:E14)</f>
        <v>16363000</v>
      </c>
      <c r="F5" s="135" t="e">
        <f>SUM(F7:F14)</f>
        <v>#REF!</v>
      </c>
      <c r="G5" s="135" t="e">
        <f t="shared" ref="G5" si="0">SUM(G7:G14)</f>
        <v>#REF!</v>
      </c>
      <c r="H5" s="141">
        <f t="shared" ref="H5:H10" si="1">IF(E5=0," ",I5/E5)</f>
        <v>0</v>
      </c>
      <c r="I5" s="135"/>
      <c r="K5" s="68"/>
    </row>
    <row r="6" spans="1:11" s="55" customFormat="1" x14ac:dyDescent="0.2">
      <c r="A6" s="57">
        <v>701</v>
      </c>
      <c r="B6" s="75" t="s">
        <v>186</v>
      </c>
      <c r="C6" s="100"/>
      <c r="D6" s="100"/>
      <c r="E6" s="100">
        <f>C6+D6</f>
        <v>0</v>
      </c>
      <c r="F6" s="74">
        <f>0</f>
        <v>0</v>
      </c>
      <c r="G6" s="74"/>
      <c r="H6" s="71" t="str">
        <f t="shared" si="1"/>
        <v xml:space="preserve"> </v>
      </c>
      <c r="I6" s="52"/>
    </row>
    <row r="7" spans="1:11" ht="26.25" customHeight="1" x14ac:dyDescent="0.2">
      <c r="A7" s="44">
        <v>7010</v>
      </c>
      <c r="B7" s="73" t="s">
        <v>185</v>
      </c>
      <c r="C7" s="105">
        <f>'Budget 2016 Rec'!F8</f>
        <v>24000</v>
      </c>
      <c r="D7" s="104"/>
      <c r="E7" s="105">
        <f t="shared" ref="E7:E14" si="2">C7+D7</f>
        <v>24000</v>
      </c>
      <c r="F7" s="72"/>
      <c r="G7" s="72"/>
      <c r="H7" s="71">
        <f t="shared" si="1"/>
        <v>0</v>
      </c>
      <c r="I7" s="43"/>
      <c r="K7" s="68"/>
    </row>
    <row r="8" spans="1:11" ht="15" customHeight="1" x14ac:dyDescent="0.2">
      <c r="A8" s="54">
        <v>703</v>
      </c>
      <c r="B8" s="61" t="s">
        <v>184</v>
      </c>
      <c r="C8" s="100">
        <f>'Budget 2016 Rec'!F12</f>
        <v>9779000</v>
      </c>
      <c r="D8" s="106"/>
      <c r="E8" s="100">
        <f t="shared" si="2"/>
        <v>9779000</v>
      </c>
      <c r="F8" s="60" t="e">
        <f>GETPIVOTDATA("Montant",'Analyse par compte'!$A$3,"Compte",703,"Chapitre","70")</f>
        <v>#REF!</v>
      </c>
      <c r="G8" s="60" t="e">
        <f>E8-F8</f>
        <v>#REF!</v>
      </c>
      <c r="H8" s="42">
        <f t="shared" si="1"/>
        <v>0</v>
      </c>
      <c r="I8" s="85"/>
      <c r="J8" s="68"/>
      <c r="K8" s="68"/>
    </row>
    <row r="9" spans="1:11" x14ac:dyDescent="0.2">
      <c r="A9" s="70">
        <v>704</v>
      </c>
      <c r="B9" s="69" t="s">
        <v>183</v>
      </c>
      <c r="C9" s="107"/>
      <c r="D9" s="107"/>
      <c r="E9" s="100">
        <f t="shared" si="2"/>
        <v>0</v>
      </c>
      <c r="F9" s="60">
        <v>0</v>
      </c>
      <c r="G9" s="60">
        <f t="shared" ref="G9:G14" si="3">E9-F9</f>
        <v>0</v>
      </c>
      <c r="H9" s="42" t="str">
        <f t="shared" si="1"/>
        <v xml:space="preserve"> </v>
      </c>
      <c r="I9" s="85"/>
      <c r="J9" s="68"/>
    </row>
    <row r="10" spans="1:11" x14ac:dyDescent="0.2">
      <c r="A10" s="54">
        <v>705</v>
      </c>
      <c r="B10" s="61" t="s">
        <v>17</v>
      </c>
      <c r="C10" s="100"/>
      <c r="D10" s="106"/>
      <c r="E10" s="100">
        <f t="shared" si="2"/>
        <v>0</v>
      </c>
      <c r="F10" s="60"/>
      <c r="G10" s="60">
        <f t="shared" si="3"/>
        <v>0</v>
      </c>
      <c r="H10" s="42" t="str">
        <f t="shared" si="1"/>
        <v xml:space="preserve"> </v>
      </c>
      <c r="I10" s="85"/>
      <c r="J10" s="68"/>
    </row>
    <row r="11" spans="1:11" x14ac:dyDescent="0.2">
      <c r="A11" s="44">
        <v>7055</v>
      </c>
      <c r="B11" s="62" t="s">
        <v>197</v>
      </c>
      <c r="C11" s="105">
        <f>'Budget 2016 Rec'!F22</f>
        <v>4800000</v>
      </c>
      <c r="D11" s="106"/>
      <c r="E11" s="105">
        <f t="shared" si="2"/>
        <v>4800000</v>
      </c>
      <c r="F11" s="49">
        <f>GETPIVOTDATA("Montant",'Analyse par compte'!$A$3,"Compte",7055,"Chapitre","70")</f>
        <v>18000</v>
      </c>
      <c r="G11" s="49">
        <f t="shared" si="3"/>
        <v>4782000</v>
      </c>
      <c r="H11" s="154"/>
      <c r="I11" s="43"/>
      <c r="J11" s="68"/>
    </row>
    <row r="12" spans="1:11" x14ac:dyDescent="0.2">
      <c r="A12" s="54">
        <v>706</v>
      </c>
      <c r="B12" s="61" t="s">
        <v>24</v>
      </c>
      <c r="C12" s="100"/>
      <c r="D12" s="106"/>
      <c r="E12" s="100">
        <f t="shared" si="2"/>
        <v>0</v>
      </c>
      <c r="F12" s="60"/>
      <c r="G12" s="60">
        <f t="shared" si="3"/>
        <v>0</v>
      </c>
      <c r="H12" s="42" t="str">
        <f t="shared" ref="H12:H20" si="4">IF(E12=0," ",I12/E12)</f>
        <v xml:space="preserve"> </v>
      </c>
      <c r="I12" s="85"/>
      <c r="J12" s="68"/>
    </row>
    <row r="13" spans="1:11" x14ac:dyDescent="0.2">
      <c r="A13" s="44">
        <v>7061</v>
      </c>
      <c r="B13" s="62" t="s">
        <v>182</v>
      </c>
      <c r="C13" s="105">
        <f>'Budget 2016 Rec'!F24</f>
        <v>1560000</v>
      </c>
      <c r="D13" s="104"/>
      <c r="E13" s="100">
        <f t="shared" si="2"/>
        <v>1560000</v>
      </c>
      <c r="F13" s="60"/>
      <c r="G13" s="60">
        <f t="shared" si="3"/>
        <v>1560000</v>
      </c>
      <c r="H13" s="42">
        <f t="shared" si="4"/>
        <v>0</v>
      </c>
      <c r="I13" s="85"/>
      <c r="J13" s="68"/>
    </row>
    <row r="14" spans="1:11" x14ac:dyDescent="0.2">
      <c r="A14" s="54">
        <v>709</v>
      </c>
      <c r="B14" s="61" t="s">
        <v>181</v>
      </c>
      <c r="C14" s="100">
        <f>'Budget 2016 Rec'!F26</f>
        <v>200000</v>
      </c>
      <c r="D14" s="106"/>
      <c r="E14" s="100">
        <f t="shared" si="2"/>
        <v>200000</v>
      </c>
      <c r="F14" s="60" t="e">
        <f>GETPIVOTDATA("Montant",'Analyse par compte'!$A$3,"Compte",709,"Chapitre","70")</f>
        <v>#REF!</v>
      </c>
      <c r="G14" s="60" t="e">
        <f t="shared" si="3"/>
        <v>#REF!</v>
      </c>
      <c r="H14" s="42">
        <f t="shared" si="4"/>
        <v>0</v>
      </c>
      <c r="I14" s="85"/>
      <c r="J14" s="68"/>
    </row>
    <row r="15" spans="1:11" x14ac:dyDescent="0.2">
      <c r="A15" s="48">
        <v>71</v>
      </c>
      <c r="B15" s="59" t="s">
        <v>180</v>
      </c>
      <c r="C15" s="83">
        <f>C18+C19+C22+C25</f>
        <v>50560000</v>
      </c>
      <c r="D15" s="83">
        <f t="shared" ref="D15:G15" si="5">D18+D19+D22+D25</f>
        <v>0</v>
      </c>
      <c r="E15" s="83">
        <f t="shared" si="5"/>
        <v>50560000</v>
      </c>
      <c r="F15" s="135" t="e">
        <f>F18+F19+F22+F25</f>
        <v>#REF!</v>
      </c>
      <c r="G15" s="135" t="e">
        <f t="shared" si="5"/>
        <v>#REF!</v>
      </c>
      <c r="H15" s="45">
        <f t="shared" si="4"/>
        <v>0</v>
      </c>
      <c r="I15" s="46"/>
    </row>
    <row r="16" spans="1:11" s="55" customFormat="1" ht="15.75" hidden="1" customHeight="1" x14ac:dyDescent="0.2">
      <c r="A16" s="65">
        <v>711</v>
      </c>
      <c r="B16" s="67" t="s">
        <v>179</v>
      </c>
      <c r="C16" s="409"/>
      <c r="D16" s="66"/>
      <c r="E16" s="66"/>
      <c r="F16" s="66"/>
      <c r="G16" s="66"/>
      <c r="H16" s="42" t="str">
        <f t="shared" si="4"/>
        <v xml:space="preserve"> </v>
      </c>
      <c r="I16" s="85"/>
    </row>
    <row r="17" spans="1:12" s="55" customFormat="1" ht="32.25" hidden="1" customHeight="1" x14ac:dyDescent="0.2">
      <c r="A17" s="65"/>
      <c r="B17" s="64" t="s">
        <v>178</v>
      </c>
      <c r="C17" s="410"/>
      <c r="D17" s="63"/>
      <c r="E17" s="63"/>
      <c r="F17" s="63"/>
      <c r="G17" s="63"/>
      <c r="H17" s="42" t="str">
        <f t="shared" si="4"/>
        <v xml:space="preserve"> </v>
      </c>
      <c r="I17" s="85"/>
    </row>
    <row r="18" spans="1:12" s="55" customFormat="1" x14ac:dyDescent="0.2">
      <c r="A18" s="54">
        <v>712</v>
      </c>
      <c r="B18" s="61" t="s">
        <v>177</v>
      </c>
      <c r="C18" s="100">
        <v>0</v>
      </c>
      <c r="D18" s="100"/>
      <c r="E18" s="100">
        <f>C18+D18</f>
        <v>0</v>
      </c>
      <c r="F18" s="51"/>
      <c r="G18" s="51"/>
      <c r="H18" s="42" t="str">
        <f t="shared" si="4"/>
        <v xml:space="preserve"> </v>
      </c>
      <c r="I18" s="85"/>
    </row>
    <row r="19" spans="1:12" x14ac:dyDescent="0.2">
      <c r="A19" s="54">
        <v>714</v>
      </c>
      <c r="B19" s="61" t="s">
        <v>176</v>
      </c>
      <c r="C19" s="100">
        <f>C20+C21</f>
        <v>48360000</v>
      </c>
      <c r="D19" s="100">
        <f t="shared" ref="D19:E19" si="6">D20+D21</f>
        <v>0</v>
      </c>
      <c r="E19" s="100">
        <f t="shared" si="6"/>
        <v>48360000</v>
      </c>
      <c r="F19" s="51" t="e">
        <f>GETPIVOTDATA("Montant",'Analyse par compte'!$A$3,"Compte",714,"Chapitre","71")</f>
        <v>#REF!</v>
      </c>
      <c r="G19" s="51" t="e">
        <f>E19-F19</f>
        <v>#REF!</v>
      </c>
      <c r="H19" s="42">
        <f t="shared" si="4"/>
        <v>0</v>
      </c>
      <c r="I19" s="85"/>
    </row>
    <row r="20" spans="1:12" x14ac:dyDescent="0.2">
      <c r="A20" s="44">
        <v>7140</v>
      </c>
      <c r="B20" s="62" t="s">
        <v>198</v>
      </c>
      <c r="C20" s="105">
        <f>'Budget 2016 Rec'!F32</f>
        <v>21320000</v>
      </c>
      <c r="D20" s="104"/>
      <c r="E20" s="105">
        <f t="shared" ref="E20:E24" si="7">C20+D20</f>
        <v>21320000</v>
      </c>
      <c r="F20" s="155"/>
      <c r="G20" s="155">
        <f t="shared" ref="G20:G25" si="8">E20-F20</f>
        <v>21320000</v>
      </c>
      <c r="H20" s="154">
        <f t="shared" si="4"/>
        <v>0</v>
      </c>
      <c r="I20" s="43"/>
    </row>
    <row r="21" spans="1:12" x14ac:dyDescent="0.2">
      <c r="A21" s="44">
        <v>7141</v>
      </c>
      <c r="B21" s="62" t="s">
        <v>175</v>
      </c>
      <c r="C21" s="411">
        <f>'Budget 2016 Rec'!F40</f>
        <v>27040000</v>
      </c>
      <c r="D21" s="412"/>
      <c r="E21" s="105">
        <f t="shared" si="7"/>
        <v>27040000</v>
      </c>
      <c r="F21" s="155"/>
      <c r="G21" s="155">
        <f t="shared" si="8"/>
        <v>27040000</v>
      </c>
      <c r="H21" s="154"/>
      <c r="I21" s="43"/>
    </row>
    <row r="22" spans="1:12" x14ac:dyDescent="0.2">
      <c r="A22" s="54">
        <v>715</v>
      </c>
      <c r="B22" s="61" t="s">
        <v>174</v>
      </c>
      <c r="C22" s="107">
        <f>C23+C24</f>
        <v>700000</v>
      </c>
      <c r="D22" s="107">
        <f t="shared" ref="D22" si="9">D23+D24</f>
        <v>0</v>
      </c>
      <c r="E22" s="100">
        <f t="shared" si="7"/>
        <v>700000</v>
      </c>
      <c r="F22" s="93" t="e">
        <f>GETPIVOTDATA("Montant",'Analyse par compte'!$A$3,"Compte",715,"Chapitre","71")+F23+F24</f>
        <v>#REF!</v>
      </c>
      <c r="G22" s="51" t="e">
        <f t="shared" si="8"/>
        <v>#REF!</v>
      </c>
      <c r="H22" s="42">
        <f>IF(E22=0," ",I22/E22)</f>
        <v>0</v>
      </c>
      <c r="I22" s="85"/>
    </row>
    <row r="23" spans="1:12" x14ac:dyDescent="0.2">
      <c r="A23" s="44">
        <v>7150</v>
      </c>
      <c r="B23" s="62" t="s">
        <v>195</v>
      </c>
      <c r="C23" s="411">
        <f>'Budget 2016 Rec'!F51</f>
        <v>500000</v>
      </c>
      <c r="D23" s="411"/>
      <c r="E23" s="105">
        <f t="shared" si="7"/>
        <v>500000</v>
      </c>
      <c r="F23" s="155" t="e">
        <f>GETPIVOTDATA("Montant",'Analyse par compte'!$A$3,"Compte",7150,"Chapitre","71")</f>
        <v>#REF!</v>
      </c>
      <c r="G23" s="155" t="e">
        <f t="shared" si="8"/>
        <v>#REF!</v>
      </c>
      <c r="H23" s="154"/>
      <c r="I23" s="43"/>
    </row>
    <row r="24" spans="1:12" x14ac:dyDescent="0.2">
      <c r="A24" s="44">
        <v>7151</v>
      </c>
      <c r="B24" s="62" t="s">
        <v>196</v>
      </c>
      <c r="C24" s="411">
        <f>'Budget 2016 Rec'!F52</f>
        <v>200000</v>
      </c>
      <c r="D24" s="411"/>
      <c r="E24" s="105">
        <f t="shared" si="7"/>
        <v>200000</v>
      </c>
      <c r="F24" s="155" t="e">
        <f>GETPIVOTDATA("Montant",'Analyse par compte'!$A$3,"Compte",7151,"Chapitre","71")</f>
        <v>#REF!</v>
      </c>
      <c r="G24" s="155" t="e">
        <f t="shared" si="8"/>
        <v>#REF!</v>
      </c>
      <c r="H24" s="154"/>
      <c r="I24" s="43"/>
    </row>
    <row r="25" spans="1:12" x14ac:dyDescent="0.2">
      <c r="A25" s="54">
        <v>719</v>
      </c>
      <c r="B25" s="61" t="s">
        <v>173</v>
      </c>
      <c r="C25" s="100">
        <f>C26+C27</f>
        <v>1500000</v>
      </c>
      <c r="D25" s="100">
        <f t="shared" ref="D25:E25" si="10">D26+D27</f>
        <v>0</v>
      </c>
      <c r="E25" s="100">
        <f t="shared" si="10"/>
        <v>1500000</v>
      </c>
      <c r="F25" s="51">
        <v>0</v>
      </c>
      <c r="G25" s="51">
        <f t="shared" si="8"/>
        <v>1500000</v>
      </c>
      <c r="H25" s="42">
        <f t="shared" ref="H25:H52" si="11">IF(E25=0," ",I25/E25)</f>
        <v>0</v>
      </c>
      <c r="I25" s="85"/>
    </row>
    <row r="26" spans="1:12" ht="15" x14ac:dyDescent="0.2">
      <c r="A26" s="44">
        <v>7190</v>
      </c>
      <c r="B26" s="209" t="s">
        <v>265</v>
      </c>
      <c r="C26" s="105">
        <f>'Budget 2016 Rec'!F54</f>
        <v>1000000</v>
      </c>
      <c r="D26" s="104"/>
      <c r="E26" s="105">
        <f>C26+D26</f>
        <v>1000000</v>
      </c>
      <c r="F26" s="155"/>
      <c r="G26" s="155"/>
      <c r="H26" s="154"/>
      <c r="I26" s="43"/>
    </row>
    <row r="27" spans="1:12" ht="15" x14ac:dyDescent="0.2">
      <c r="A27" s="44">
        <v>7191</v>
      </c>
      <c r="B27" s="209" t="s">
        <v>44</v>
      </c>
      <c r="C27" s="105">
        <f>'Budget 2016 Rec'!F55</f>
        <v>500000</v>
      </c>
      <c r="D27" s="104"/>
      <c r="E27" s="105">
        <f>C27+D27</f>
        <v>500000</v>
      </c>
      <c r="F27" s="155"/>
      <c r="G27" s="155"/>
      <c r="H27" s="154"/>
      <c r="I27" s="43"/>
    </row>
    <row r="28" spans="1:12" x14ac:dyDescent="0.2">
      <c r="A28" s="48">
        <v>73</v>
      </c>
      <c r="B28" s="59" t="s">
        <v>172</v>
      </c>
      <c r="C28" s="83">
        <f>SUM(C29:C30)</f>
        <v>1582000</v>
      </c>
      <c r="D28" s="83">
        <f>SUM(D29:D30)</f>
        <v>0</v>
      </c>
      <c r="E28" s="83">
        <f>SUM(E29:E30)</f>
        <v>1582000</v>
      </c>
      <c r="F28" s="46" t="e">
        <f>SUM(F29:F30)</f>
        <v>#REF!</v>
      </c>
      <c r="G28" s="46" t="e">
        <f t="shared" ref="G28" si="12">SUM(G29:G30)</f>
        <v>#REF!</v>
      </c>
      <c r="H28" s="45">
        <f t="shared" si="11"/>
        <v>0</v>
      </c>
      <c r="I28" s="46"/>
    </row>
    <row r="29" spans="1:12" x14ac:dyDescent="0.2">
      <c r="A29" s="44">
        <v>730</v>
      </c>
      <c r="B29" s="40" t="s">
        <v>171</v>
      </c>
      <c r="C29" s="105">
        <f>'Budget 2016 Rec'!F57</f>
        <v>1582000</v>
      </c>
      <c r="D29" s="105"/>
      <c r="E29" s="105">
        <f>C29+D29</f>
        <v>1582000</v>
      </c>
      <c r="F29" s="49" t="e">
        <f>GETPIVOTDATA("Montant",'Analyse par compte'!$A$3,"Compte",730,"Chapitre","73")</f>
        <v>#REF!</v>
      </c>
      <c r="G29" s="49" t="e">
        <f>E29-F29</f>
        <v>#REF!</v>
      </c>
      <c r="H29" s="42">
        <f t="shared" si="11"/>
        <v>0</v>
      </c>
      <c r="I29" s="43"/>
      <c r="L29" s="58"/>
    </row>
    <row r="30" spans="1:12" ht="24.75" customHeight="1" x14ac:dyDescent="0.2">
      <c r="A30" s="44">
        <v>732</v>
      </c>
      <c r="B30" s="89" t="s">
        <v>170</v>
      </c>
      <c r="C30" s="105">
        <v>0</v>
      </c>
      <c r="D30" s="104"/>
      <c r="E30" s="105">
        <f>C30+D30</f>
        <v>0</v>
      </c>
      <c r="F30" s="49">
        <v>0</v>
      </c>
      <c r="G30" s="49">
        <f>E30-F30</f>
        <v>0</v>
      </c>
      <c r="H30" s="42" t="str">
        <f t="shared" si="11"/>
        <v xml:space="preserve"> </v>
      </c>
      <c r="I30" s="43"/>
    </row>
    <row r="31" spans="1:12" x14ac:dyDescent="0.2">
      <c r="A31" s="48">
        <v>74</v>
      </c>
      <c r="B31" s="47" t="s">
        <v>169</v>
      </c>
      <c r="C31" s="83">
        <f>SUM(C32:C33)</f>
        <v>100000</v>
      </c>
      <c r="D31" s="83">
        <f>SUM(D32:D33)</f>
        <v>0</v>
      </c>
      <c r="E31" s="83">
        <f>SUM(E32:E33)</f>
        <v>100000</v>
      </c>
      <c r="F31" s="46">
        <f>SUM(F32:F33)</f>
        <v>0</v>
      </c>
      <c r="G31" s="46">
        <f t="shared" ref="G31" si="13">SUM(G32:G33)</f>
        <v>100000</v>
      </c>
      <c r="H31" s="45">
        <f t="shared" si="11"/>
        <v>0</v>
      </c>
      <c r="I31" s="46"/>
    </row>
    <row r="32" spans="1:12" x14ac:dyDescent="0.2">
      <c r="A32" s="44">
        <v>741</v>
      </c>
      <c r="B32" s="40" t="s">
        <v>168</v>
      </c>
      <c r="C32" s="100">
        <f>'Budget 2016 Rec'!F61</f>
        <v>0</v>
      </c>
      <c r="D32" s="100"/>
      <c r="E32" s="100">
        <f>C32+D32</f>
        <v>0</v>
      </c>
      <c r="F32" s="49">
        <v>0</v>
      </c>
      <c r="G32" s="49">
        <f>E32-F32</f>
        <v>0</v>
      </c>
      <c r="H32" s="42" t="str">
        <f t="shared" si="11"/>
        <v xml:space="preserve"> </v>
      </c>
      <c r="I32" s="43"/>
    </row>
    <row r="33" spans="1:9" x14ac:dyDescent="0.2">
      <c r="A33" s="44">
        <v>742</v>
      </c>
      <c r="B33" s="40" t="s">
        <v>167</v>
      </c>
      <c r="C33" s="105">
        <f>'Budget 2016 Rec'!F62</f>
        <v>100000</v>
      </c>
      <c r="D33" s="104"/>
      <c r="E33" s="105">
        <f>C33+D33</f>
        <v>100000</v>
      </c>
      <c r="F33" s="49">
        <v>0</v>
      </c>
      <c r="G33" s="49">
        <f>E33-F33</f>
        <v>100000</v>
      </c>
      <c r="H33" s="42">
        <f t="shared" si="11"/>
        <v>0</v>
      </c>
      <c r="I33" s="43"/>
    </row>
    <row r="34" spans="1:9" x14ac:dyDescent="0.2">
      <c r="A34" s="48">
        <v>75</v>
      </c>
      <c r="B34" s="47" t="s">
        <v>166</v>
      </c>
      <c r="C34" s="83">
        <f>SUM(C36:C44)</f>
        <v>13700000</v>
      </c>
      <c r="D34" s="83">
        <f>SUM(D36:D42)</f>
        <v>0</v>
      </c>
      <c r="E34" s="83">
        <f>SUM(E36:E42)</f>
        <v>13700000</v>
      </c>
      <c r="F34" s="46" t="e">
        <f>SUM(F36:F42)</f>
        <v>#REF!</v>
      </c>
      <c r="G34" s="46" t="e">
        <f t="shared" ref="G34" si="14">SUM(G36:G42)</f>
        <v>#REF!</v>
      </c>
      <c r="H34" s="45">
        <f t="shared" si="11"/>
        <v>0</v>
      </c>
      <c r="I34" s="46"/>
    </row>
    <row r="35" spans="1:9" s="55" customFormat="1" x14ac:dyDescent="0.2">
      <c r="A35" s="57">
        <v>750</v>
      </c>
      <c r="B35" s="56" t="s">
        <v>64</v>
      </c>
      <c r="C35" s="100"/>
      <c r="D35" s="100"/>
      <c r="E35" s="105">
        <f>C35+D35</f>
        <v>0</v>
      </c>
      <c r="F35" s="52"/>
      <c r="G35" s="52"/>
      <c r="H35" s="42" t="str">
        <f t="shared" si="11"/>
        <v xml:space="preserve"> </v>
      </c>
      <c r="I35" s="52"/>
    </row>
    <row r="36" spans="1:9" ht="17.25" customHeight="1" x14ac:dyDescent="0.2">
      <c r="A36" s="41">
        <v>7501</v>
      </c>
      <c r="B36" s="40" t="s">
        <v>66</v>
      </c>
      <c r="C36" s="105"/>
      <c r="D36" s="104"/>
      <c r="E36" s="105">
        <f t="shared" ref="E36:E44" si="15">C36+D36</f>
        <v>0</v>
      </c>
      <c r="F36" s="39"/>
      <c r="G36" s="39"/>
      <c r="H36" s="42" t="str">
        <f t="shared" si="11"/>
        <v xml:space="preserve"> </v>
      </c>
      <c r="I36" s="39"/>
    </row>
    <row r="37" spans="1:9" ht="17.25" customHeight="1" x14ac:dyDescent="0.2">
      <c r="A37" s="44">
        <v>7502</v>
      </c>
      <c r="B37" s="40" t="s">
        <v>165</v>
      </c>
      <c r="C37" s="100"/>
      <c r="D37" s="106"/>
      <c r="E37" s="105">
        <f t="shared" si="15"/>
        <v>0</v>
      </c>
      <c r="F37" s="39">
        <v>0</v>
      </c>
      <c r="G37" s="39">
        <f>E37-F37</f>
        <v>0</v>
      </c>
      <c r="H37" s="42" t="str">
        <f t="shared" si="11"/>
        <v xml:space="preserve"> </v>
      </c>
      <c r="I37" s="39"/>
    </row>
    <row r="38" spans="1:9" x14ac:dyDescent="0.2">
      <c r="A38" s="44">
        <v>7503</v>
      </c>
      <c r="B38" s="40" t="s">
        <v>164</v>
      </c>
      <c r="C38" s="411">
        <f>'Budget 2016 Rec'!F73</f>
        <v>12000000</v>
      </c>
      <c r="D38" s="107"/>
      <c r="E38" s="105">
        <f t="shared" si="15"/>
        <v>12000000</v>
      </c>
      <c r="F38" s="39" t="e">
        <f>GETPIVOTDATA("Montant",'Analyse par compte'!$A$3,"Compte",7503,"Chapitre","75")</f>
        <v>#REF!</v>
      </c>
      <c r="G38" s="39" t="e">
        <f t="shared" ref="G38:G44" si="16">E38-F38</f>
        <v>#REF!</v>
      </c>
      <c r="H38" s="42">
        <f t="shared" si="11"/>
        <v>0</v>
      </c>
      <c r="I38" s="39"/>
    </row>
    <row r="39" spans="1:9" x14ac:dyDescent="0.2">
      <c r="A39" s="44">
        <v>7504</v>
      </c>
      <c r="B39" s="40" t="s">
        <v>163</v>
      </c>
      <c r="C39" s="105">
        <f>'Budget 2016 Rec'!F74</f>
        <v>200000</v>
      </c>
      <c r="D39" s="106"/>
      <c r="E39" s="105">
        <f t="shared" si="15"/>
        <v>200000</v>
      </c>
      <c r="F39" s="39" t="e">
        <f>GETPIVOTDATA("Montant",'Analyse par compte'!$A$3,"Compte",7504,"Chapitre","75")</f>
        <v>#REF!</v>
      </c>
      <c r="G39" s="39" t="e">
        <f t="shared" si="16"/>
        <v>#REF!</v>
      </c>
      <c r="H39" s="42">
        <f t="shared" si="11"/>
        <v>0</v>
      </c>
      <c r="I39" s="39"/>
    </row>
    <row r="40" spans="1:9" x14ac:dyDescent="0.2">
      <c r="A40" s="44">
        <v>7505</v>
      </c>
      <c r="B40" s="40" t="s">
        <v>162</v>
      </c>
      <c r="C40" s="105">
        <f>'Budget 2016 Rec'!F75</f>
        <v>1000000</v>
      </c>
      <c r="D40" s="106"/>
      <c r="E40" s="105">
        <f t="shared" si="15"/>
        <v>1000000</v>
      </c>
      <c r="F40" s="39" t="e">
        <f>GETPIVOTDATA("Montant",'Analyse par compte'!$A$3,"Compte",7505,"Chapitre","75")</f>
        <v>#REF!</v>
      </c>
      <c r="G40" s="39" t="e">
        <f t="shared" si="16"/>
        <v>#REF!</v>
      </c>
      <c r="H40" s="42">
        <f t="shared" si="11"/>
        <v>0</v>
      </c>
      <c r="I40" s="39"/>
    </row>
    <row r="41" spans="1:9" x14ac:dyDescent="0.2">
      <c r="A41" s="54">
        <v>751</v>
      </c>
      <c r="B41" s="53" t="s">
        <v>71</v>
      </c>
      <c r="C41" s="105"/>
      <c r="D41" s="104"/>
      <c r="E41" s="105">
        <f t="shared" si="15"/>
        <v>0</v>
      </c>
      <c r="F41" s="52"/>
      <c r="G41" s="39">
        <f t="shared" si="16"/>
        <v>0</v>
      </c>
      <c r="H41" s="42" t="str">
        <f t="shared" si="11"/>
        <v xml:space="preserve"> </v>
      </c>
      <c r="I41" s="39"/>
    </row>
    <row r="42" spans="1:9" x14ac:dyDescent="0.2">
      <c r="A42" s="44">
        <v>7511</v>
      </c>
      <c r="B42" s="40" t="s">
        <v>161</v>
      </c>
      <c r="C42" s="105">
        <f>'Budget 2016 Rec'!F77</f>
        <v>500000</v>
      </c>
      <c r="D42" s="106"/>
      <c r="E42" s="105">
        <f t="shared" si="15"/>
        <v>500000</v>
      </c>
      <c r="F42" s="52">
        <v>0</v>
      </c>
      <c r="G42" s="39">
        <f t="shared" si="16"/>
        <v>500000</v>
      </c>
      <c r="H42" s="42">
        <f t="shared" si="11"/>
        <v>0</v>
      </c>
      <c r="I42" s="39"/>
    </row>
    <row r="43" spans="1:9" x14ac:dyDescent="0.2">
      <c r="A43" s="54">
        <v>752</v>
      </c>
      <c r="B43" s="53" t="s">
        <v>76</v>
      </c>
      <c r="C43" s="100"/>
      <c r="D43" s="100"/>
      <c r="E43" s="105">
        <f t="shared" si="15"/>
        <v>0</v>
      </c>
      <c r="F43" s="52"/>
      <c r="G43" s="39">
        <f t="shared" si="16"/>
        <v>0</v>
      </c>
      <c r="H43" s="42" t="str">
        <f t="shared" si="11"/>
        <v xml:space="preserve"> </v>
      </c>
      <c r="I43" s="39"/>
    </row>
    <row r="44" spans="1:9" x14ac:dyDescent="0.2">
      <c r="A44" s="44">
        <v>7523</v>
      </c>
      <c r="B44" s="50" t="s">
        <v>160</v>
      </c>
      <c r="C44" s="105"/>
      <c r="D44" s="104"/>
      <c r="E44" s="105">
        <f t="shared" si="15"/>
        <v>0</v>
      </c>
      <c r="F44" s="39">
        <v>0</v>
      </c>
      <c r="G44" s="39">
        <f t="shared" si="16"/>
        <v>0</v>
      </c>
      <c r="H44" s="42" t="str">
        <f t="shared" si="11"/>
        <v xml:space="preserve"> </v>
      </c>
      <c r="I44" s="39"/>
    </row>
    <row r="45" spans="1:9" x14ac:dyDescent="0.2">
      <c r="A45" s="48">
        <v>76</v>
      </c>
      <c r="B45" s="47" t="s">
        <v>159</v>
      </c>
      <c r="C45" s="83">
        <f>SUM(C46:C49)</f>
        <v>3040000</v>
      </c>
      <c r="D45" s="83">
        <f>SUM(D46:D49)</f>
        <v>0</v>
      </c>
      <c r="E45" s="83">
        <f>SUM(E46:E49)</f>
        <v>3040000</v>
      </c>
      <c r="F45" s="46" t="e">
        <f>SUM(F46:F49)</f>
        <v>#REF!</v>
      </c>
      <c r="G45" s="46" t="e">
        <f t="shared" ref="G45" si="17">SUM(G46:G49)</f>
        <v>#REF!</v>
      </c>
      <c r="H45" s="45">
        <f t="shared" si="11"/>
        <v>0</v>
      </c>
      <c r="I45" s="46"/>
    </row>
    <row r="46" spans="1:9" x14ac:dyDescent="0.2">
      <c r="A46" s="44">
        <v>760</v>
      </c>
      <c r="B46" s="40" t="s">
        <v>158</v>
      </c>
      <c r="C46" s="105">
        <f>'Budget 2016 Rec'!F81</f>
        <v>300000</v>
      </c>
      <c r="D46" s="105"/>
      <c r="E46" s="105">
        <f>D46+C46</f>
        <v>300000</v>
      </c>
      <c r="F46" s="49" t="e">
        <f>GETPIVOTDATA("Montant",'Analyse par compte'!$A$3,"Compte",760,"Chapitre","76")</f>
        <v>#REF!</v>
      </c>
      <c r="G46" s="49" t="e">
        <f>E46-F46</f>
        <v>#REF!</v>
      </c>
      <c r="H46" s="42">
        <f t="shared" si="11"/>
        <v>0</v>
      </c>
      <c r="I46" s="43"/>
    </row>
    <row r="47" spans="1:9" x14ac:dyDescent="0.2">
      <c r="A47" s="44">
        <v>763</v>
      </c>
      <c r="B47" s="40" t="s">
        <v>157</v>
      </c>
      <c r="C47" s="105">
        <f>'Budget 2016 Rec'!F83</f>
        <v>500000</v>
      </c>
      <c r="D47" s="104"/>
      <c r="E47" s="105">
        <f>D47+C47</f>
        <v>500000</v>
      </c>
      <c r="F47" s="49">
        <v>0</v>
      </c>
      <c r="G47" s="49">
        <f t="shared" ref="G47:G49" si="18">E47-F47</f>
        <v>500000</v>
      </c>
      <c r="H47" s="42">
        <f t="shared" si="11"/>
        <v>0</v>
      </c>
      <c r="I47" s="43"/>
    </row>
    <row r="48" spans="1:9" x14ac:dyDescent="0.2">
      <c r="A48" s="44">
        <v>767</v>
      </c>
      <c r="B48" s="40" t="s">
        <v>156</v>
      </c>
      <c r="C48" s="105">
        <f>'Budget 2016 Rec'!F85</f>
        <v>240000</v>
      </c>
      <c r="D48" s="104"/>
      <c r="E48" s="104">
        <f>D48+C48</f>
        <v>240000</v>
      </c>
      <c r="F48" s="49" t="e">
        <f>GETPIVOTDATA("Montant",'Analyse par compte'!$A$3,"Compte",767,"Chapitre","76")</f>
        <v>#REF!</v>
      </c>
      <c r="G48" s="49" t="e">
        <f t="shared" si="18"/>
        <v>#REF!</v>
      </c>
      <c r="H48" s="42">
        <f t="shared" si="11"/>
        <v>0</v>
      </c>
      <c r="I48" s="43"/>
    </row>
    <row r="49" spans="1:9" x14ac:dyDescent="0.2">
      <c r="A49" s="44">
        <v>769</v>
      </c>
      <c r="B49" s="40" t="s">
        <v>155</v>
      </c>
      <c r="C49" s="411">
        <f>'Budget 2016 Rec'!F87</f>
        <v>2000000</v>
      </c>
      <c r="D49" s="411"/>
      <c r="E49" s="104">
        <f>D49+C49</f>
        <v>2000000</v>
      </c>
      <c r="F49" s="49" t="e">
        <f>GETPIVOTDATA("Montant",'Analyse par compte'!$A$3,"Compte",769,"Chapitre","76")</f>
        <v>#REF!</v>
      </c>
      <c r="G49" s="49" t="e">
        <f t="shared" si="18"/>
        <v>#REF!</v>
      </c>
      <c r="H49" s="42">
        <f t="shared" si="11"/>
        <v>0</v>
      </c>
      <c r="I49" s="43"/>
    </row>
    <row r="50" spans="1:9" x14ac:dyDescent="0.2">
      <c r="A50" s="48">
        <v>79</v>
      </c>
      <c r="B50" s="47" t="s">
        <v>154</v>
      </c>
      <c r="C50" s="83">
        <f>SUM(C51)</f>
        <v>178000</v>
      </c>
      <c r="D50" s="83">
        <f>SUM(D51)</f>
        <v>0</v>
      </c>
      <c r="E50" s="83">
        <f>SUM(E51)</f>
        <v>178000</v>
      </c>
      <c r="F50" s="46">
        <f>SUM(F51)</f>
        <v>0</v>
      </c>
      <c r="G50" s="46">
        <f t="shared" ref="G50" si="19">SUM(G51)</f>
        <v>178000</v>
      </c>
      <c r="H50" s="45">
        <f t="shared" si="11"/>
        <v>0</v>
      </c>
      <c r="I50" s="46"/>
    </row>
    <row r="51" spans="1:9" x14ac:dyDescent="0.2">
      <c r="A51" s="44">
        <v>799</v>
      </c>
      <c r="B51" s="40" t="s">
        <v>103</v>
      </c>
      <c r="C51" s="43">
        <f>'Budget 2016 Rec'!F90</f>
        <v>178000</v>
      </c>
      <c r="D51" s="43"/>
      <c r="E51" s="43">
        <f>C51+D51</f>
        <v>178000</v>
      </c>
      <c r="F51" s="43">
        <v>0</v>
      </c>
      <c r="G51" s="43">
        <f>E51-F51</f>
        <v>178000</v>
      </c>
      <c r="H51" s="42">
        <f t="shared" si="11"/>
        <v>0</v>
      </c>
      <c r="I51" s="43"/>
    </row>
    <row r="52" spans="1:9" x14ac:dyDescent="0.2">
      <c r="A52" s="38"/>
      <c r="B52" s="38" t="s">
        <v>153</v>
      </c>
      <c r="C52" s="37">
        <f>C50+C45+C34+C31+C28+C15+C5</f>
        <v>85523000</v>
      </c>
      <c r="D52" s="37">
        <f t="shared" ref="D52:G52" si="20">D50+D45+D34+D31+D28+D15+D5</f>
        <v>0</v>
      </c>
      <c r="E52" s="37">
        <f t="shared" si="20"/>
        <v>85523000</v>
      </c>
      <c r="F52" s="37" t="e">
        <f t="shared" si="20"/>
        <v>#REF!</v>
      </c>
      <c r="G52" s="37" t="e">
        <f t="shared" si="20"/>
        <v>#REF!</v>
      </c>
      <c r="H52" s="82">
        <f t="shared" si="11"/>
        <v>0</v>
      </c>
      <c r="I52" s="37"/>
    </row>
    <row r="53" spans="1:9" x14ac:dyDescent="0.2">
      <c r="A53" s="79"/>
      <c r="B53" s="79"/>
      <c r="C53" s="80"/>
      <c r="D53" s="80"/>
      <c r="E53" s="80"/>
      <c r="F53" s="80"/>
      <c r="G53" s="80"/>
      <c r="H53" s="81"/>
      <c r="I53" s="80"/>
    </row>
    <row r="54" spans="1:9" x14ac:dyDescent="0.2">
      <c r="A54" s="79"/>
      <c r="B54" s="79"/>
      <c r="C54" s="80"/>
      <c r="D54" s="80"/>
      <c r="E54" s="80"/>
      <c r="F54" s="80"/>
      <c r="G54" s="80"/>
      <c r="H54" s="81"/>
      <c r="I54" s="80"/>
    </row>
    <row r="55" spans="1:9" x14ac:dyDescent="0.2">
      <c r="A55" s="90"/>
      <c r="B55" s="92" t="s">
        <v>199</v>
      </c>
      <c r="C55" s="90"/>
      <c r="D55" s="90"/>
      <c r="E55" s="90"/>
      <c r="F55" s="90"/>
      <c r="G55" s="90"/>
      <c r="H55" s="90"/>
      <c r="I55" s="90"/>
    </row>
    <row r="56" spans="1:9" ht="17.25" customHeight="1" x14ac:dyDescent="0.2">
      <c r="A56" s="424" t="s">
        <v>152</v>
      </c>
      <c r="B56" s="447" t="s">
        <v>0</v>
      </c>
      <c r="C56" s="448" t="s">
        <v>219</v>
      </c>
      <c r="D56" s="449"/>
      <c r="E56" s="449"/>
      <c r="F56" s="137" t="s">
        <v>221</v>
      </c>
      <c r="G56" s="119" t="s">
        <v>223</v>
      </c>
      <c r="H56" s="139" t="s">
        <v>149</v>
      </c>
      <c r="I56" s="119" t="s">
        <v>218</v>
      </c>
    </row>
    <row r="57" spans="1:9" x14ac:dyDescent="0.2">
      <c r="A57" s="425"/>
      <c r="B57" s="447"/>
      <c r="C57" s="97" t="str">
        <f>C4</f>
        <v>Initiale</v>
      </c>
      <c r="D57" s="98" t="s">
        <v>148</v>
      </c>
      <c r="E57" s="99" t="s">
        <v>147</v>
      </c>
      <c r="F57" s="138" t="s">
        <v>220</v>
      </c>
      <c r="G57" s="120" t="s">
        <v>222</v>
      </c>
      <c r="H57" s="140" t="s">
        <v>146</v>
      </c>
      <c r="I57" s="120"/>
    </row>
    <row r="58" spans="1:9" x14ac:dyDescent="0.2">
      <c r="A58" s="48">
        <v>10</v>
      </c>
      <c r="B58" s="47" t="s">
        <v>412</v>
      </c>
      <c r="C58" s="83">
        <f>+C59</f>
        <v>13735119</v>
      </c>
      <c r="D58" s="83">
        <f t="shared" ref="D58:E58" si="21">+D59</f>
        <v>0</v>
      </c>
      <c r="E58" s="83">
        <f t="shared" si="21"/>
        <v>13735119</v>
      </c>
      <c r="F58" s="46" t="e">
        <f>+F59</f>
        <v>#REF!</v>
      </c>
      <c r="G58" s="46" t="e">
        <f>+G59</f>
        <v>#REF!</v>
      </c>
      <c r="H58" s="45">
        <f>IF(E58=0," ",I58/E58)</f>
        <v>0</v>
      </c>
      <c r="I58" s="46"/>
    </row>
    <row r="59" spans="1:9" x14ac:dyDescent="0.2">
      <c r="A59" s="41">
        <v>105</v>
      </c>
      <c r="B59" s="40" t="s">
        <v>129</v>
      </c>
      <c r="C59" s="105">
        <f>'Budget 2016 Rec'!F99</f>
        <v>13735119</v>
      </c>
      <c r="D59" s="105"/>
      <c r="E59" s="105">
        <f>+C59+D59</f>
        <v>13735119</v>
      </c>
      <c r="F59" s="88" t="e">
        <f>GETPIVOTDATA("Montant",'Analyse par compte'!$A$3,"Compte",105,"Chapitre","10")</f>
        <v>#REF!</v>
      </c>
      <c r="G59" s="39" t="e">
        <f>E59-F59</f>
        <v>#REF!</v>
      </c>
      <c r="H59" s="42">
        <f>IF(E59=0," ",I59/E59)</f>
        <v>0</v>
      </c>
      <c r="I59" s="88"/>
    </row>
    <row r="60" spans="1:9" x14ac:dyDescent="0.2">
      <c r="A60" s="48">
        <v>11</v>
      </c>
      <c r="B60" s="47" t="s">
        <v>202</v>
      </c>
      <c r="C60" s="83">
        <f>+C61</f>
        <v>17104600</v>
      </c>
      <c r="D60" s="83">
        <f t="shared" ref="D60:E60" si="22">+D61</f>
        <v>0</v>
      </c>
      <c r="E60" s="83">
        <f t="shared" si="22"/>
        <v>17104600</v>
      </c>
      <c r="F60" s="46">
        <f>+F61</f>
        <v>0</v>
      </c>
      <c r="G60" s="46">
        <f>E60-F60</f>
        <v>17104600</v>
      </c>
      <c r="H60" s="45">
        <f>IF(E60=0," ",I60/E60)</f>
        <v>0</v>
      </c>
      <c r="I60" s="46"/>
    </row>
    <row r="61" spans="1:9" x14ac:dyDescent="0.2">
      <c r="A61" s="41">
        <v>115</v>
      </c>
      <c r="B61" s="40" t="s">
        <v>130</v>
      </c>
      <c r="C61" s="105">
        <v>17104600</v>
      </c>
      <c r="D61" s="104"/>
      <c r="E61" s="105">
        <f>+C61+D61</f>
        <v>17104600</v>
      </c>
      <c r="F61" s="88">
        <v>0</v>
      </c>
      <c r="G61" s="39">
        <f>E61-F61</f>
        <v>17104600</v>
      </c>
      <c r="H61" s="42"/>
      <c r="I61" s="88"/>
    </row>
    <row r="62" spans="1:9" x14ac:dyDescent="0.2">
      <c r="A62" s="38"/>
      <c r="B62" s="38" t="s">
        <v>145</v>
      </c>
      <c r="C62" s="37">
        <f>+C59+C60</f>
        <v>30839719</v>
      </c>
      <c r="D62" s="37">
        <f>+D59+D60</f>
        <v>0</v>
      </c>
      <c r="E62" s="37">
        <f>+E59+E60</f>
        <v>30839719</v>
      </c>
      <c r="F62" s="37" t="e">
        <f>+F59+F60</f>
        <v>#REF!</v>
      </c>
      <c r="G62" s="37" t="e">
        <f t="shared" ref="G62" si="23">+G59+G60</f>
        <v>#REF!</v>
      </c>
      <c r="H62" s="94">
        <f>IF(E62=0," ",I62/E62)</f>
        <v>0</v>
      </c>
      <c r="I62" s="37"/>
    </row>
    <row r="63" spans="1:9" s="34" customFormat="1" ht="25.5" customHeight="1" x14ac:dyDescent="0.2">
      <c r="A63" s="36"/>
      <c r="B63" s="36" t="s">
        <v>135</v>
      </c>
      <c r="C63" s="108">
        <f>+C52+C62-C60</f>
        <v>99258119</v>
      </c>
      <c r="D63" s="108">
        <f t="shared" ref="D63:E63" si="24">+D52+D62-D60</f>
        <v>0</v>
      </c>
      <c r="E63" s="108">
        <f t="shared" si="24"/>
        <v>99258119</v>
      </c>
      <c r="F63" s="35" t="e">
        <f t="shared" ref="F63:G63" si="25">+F52+F62</f>
        <v>#REF!</v>
      </c>
      <c r="G63" s="35" t="e">
        <f t="shared" si="25"/>
        <v>#REF!</v>
      </c>
      <c r="H63" s="95">
        <f>IF(E63=0," ",I63/E63)</f>
        <v>0</v>
      </c>
      <c r="I63" s="35"/>
    </row>
    <row r="64" spans="1:9" x14ac:dyDescent="0.2">
      <c r="A64" s="33"/>
      <c r="B64" s="33"/>
      <c r="C64" s="32"/>
      <c r="D64" s="32"/>
      <c r="E64" s="32"/>
      <c r="F64" s="32"/>
      <c r="G64" s="32"/>
      <c r="H64" s="32"/>
      <c r="I64" s="32"/>
    </row>
    <row r="65" spans="1:9" x14ac:dyDescent="0.2">
      <c r="A65" s="33"/>
      <c r="B65" s="33"/>
      <c r="C65" s="32"/>
      <c r="D65" s="32"/>
      <c r="E65" s="32"/>
      <c r="F65" s="32"/>
      <c r="G65" s="32"/>
      <c r="H65" s="32"/>
      <c r="I65" s="32"/>
    </row>
    <row r="66" spans="1:9" x14ac:dyDescent="0.2">
      <c r="A66" s="33"/>
      <c r="B66" s="33"/>
      <c r="C66" s="32"/>
      <c r="D66" s="32"/>
      <c r="E66" s="32"/>
      <c r="F66" s="32"/>
      <c r="G66" s="32"/>
      <c r="H66" s="32"/>
      <c r="I66" s="32"/>
    </row>
    <row r="67" spans="1:9" x14ac:dyDescent="0.2">
      <c r="A67" s="33"/>
      <c r="B67" s="33"/>
      <c r="C67" s="32"/>
      <c r="D67" s="32"/>
      <c r="E67" s="32"/>
      <c r="F67" s="32"/>
      <c r="G67" s="32"/>
      <c r="H67" s="32"/>
      <c r="I67" s="32"/>
    </row>
    <row r="68" spans="1:9" x14ac:dyDescent="0.2">
      <c r="A68" s="33"/>
      <c r="B68" s="33"/>
      <c r="C68" s="32"/>
      <c r="D68" s="32"/>
      <c r="E68" s="32"/>
      <c r="F68" s="32"/>
      <c r="G68" s="32"/>
      <c r="H68" s="32"/>
      <c r="I68" s="32"/>
    </row>
    <row r="69" spans="1:9" x14ac:dyDescent="0.2">
      <c r="A69" s="33"/>
      <c r="B69" s="33"/>
      <c r="C69" s="32"/>
      <c r="D69" s="32"/>
      <c r="E69" s="32"/>
      <c r="F69" s="32"/>
      <c r="G69" s="32"/>
      <c r="H69" s="32"/>
      <c r="I69" s="32"/>
    </row>
    <row r="70" spans="1:9" x14ac:dyDescent="0.2">
      <c r="A70" s="33"/>
      <c r="B70" s="33"/>
      <c r="C70" s="32"/>
      <c r="D70" s="32"/>
      <c r="E70" s="32"/>
      <c r="F70" s="32"/>
      <c r="G70" s="32"/>
      <c r="H70" s="32"/>
      <c r="I70" s="32"/>
    </row>
    <row r="71" spans="1:9" x14ac:dyDescent="0.2">
      <c r="A71" s="33"/>
      <c r="B71" s="33"/>
      <c r="C71" s="32"/>
      <c r="D71" s="32"/>
      <c r="E71" s="32"/>
      <c r="F71" s="32"/>
      <c r="G71" s="32"/>
      <c r="H71" s="32"/>
      <c r="I71" s="32"/>
    </row>
  </sheetData>
  <mergeCells count="7">
    <mergeCell ref="A1:I1"/>
    <mergeCell ref="A56:A57"/>
    <mergeCell ref="B56:B57"/>
    <mergeCell ref="C56:E56"/>
    <mergeCell ref="A3:A4"/>
    <mergeCell ref="B3:B4"/>
    <mergeCell ref="C3:E3"/>
  </mergeCells>
  <pageMargins left="0.35433070866141736" right="0.31496062992125984" top="0.35433070866141736" bottom="0.35433070866141736" header="0.31496062992125984" footer="0.31496062992125984"/>
  <pageSetup paperSize="9" scale="39" fitToHeight="0" orientation="landscape" r:id="rId1"/>
  <headerFooter>
    <oddHeader>&amp;CPréfecture de Haho : La Délégation spéciale</oddHeader>
  </headerFooter>
  <ignoredErrors>
    <ignoredError sqref="E31:E34 E19:E28 C59:F59 E60" formula="1"/>
    <ignoredError sqref="F62:G62 F45:G45 I53:I55 H62 H63 H45:H52 F28:H28 F31:H31 H5 H29 H30 F50:G50 F52:G55" evalError="1" formula="1"/>
    <ignoredError sqref="F6:H7 F34:H36 F16:H18 F56:I57 H53:H55 F63:G63 H59:H60 G5 F10 H8 H9:H14 G8:G14 F12:F13 F20:F21 H19 H25 H23 H24 H20:H22 H32 H33 G32:G33 F41 H37 H38:H44 G37:G44 F43 H15" evalError="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rgb="FF0070C0"/>
    <pageSetUpPr fitToPage="1"/>
  </sheetPr>
  <dimension ref="A1:K28"/>
  <sheetViews>
    <sheetView zoomScale="90" zoomScaleNormal="90" workbookViewId="0">
      <pane xSplit="2" ySplit="3" topLeftCell="C4" activePane="bottomRight" state="frozen"/>
      <selection pane="topRight" activeCell="C1" sqref="C1"/>
      <selection pane="bottomLeft" activeCell="A6" sqref="A6"/>
      <selection pane="bottomRight" activeCell="I24" sqref="I24"/>
    </sheetView>
  </sheetViews>
  <sheetFormatPr baseColWidth="10" defaultRowHeight="12.75" x14ac:dyDescent="0.2"/>
  <cols>
    <col min="1" max="1" width="7" style="31" customWidth="1"/>
    <col min="2" max="2" width="38.140625" style="30" bestFit="1" customWidth="1"/>
    <col min="3" max="3" width="13.7109375" style="30" bestFit="1" customWidth="1"/>
    <col min="4" max="4" width="12.85546875" style="30" bestFit="1" customWidth="1"/>
    <col min="5" max="5" width="13.42578125" style="30" bestFit="1" customWidth="1"/>
    <col min="6" max="6" width="12.85546875" style="30" bestFit="1" customWidth="1"/>
    <col min="7" max="7" width="12.42578125" style="30" bestFit="1" customWidth="1"/>
    <col min="8" max="8" width="9.42578125" style="30" customWidth="1"/>
    <col min="9" max="9" width="13.85546875" style="87" bestFit="1" customWidth="1"/>
    <col min="10" max="10" width="12.42578125" style="30" bestFit="1" customWidth="1"/>
    <col min="11" max="16384" width="11.42578125" style="30"/>
  </cols>
  <sheetData>
    <row r="1" spans="1:11" ht="18.75" x14ac:dyDescent="0.2">
      <c r="A1" s="429" t="s">
        <v>205</v>
      </c>
      <c r="B1" s="429"/>
      <c r="C1" s="429"/>
      <c r="D1" s="429"/>
      <c r="E1" s="429"/>
      <c r="F1" s="429"/>
      <c r="G1" s="429"/>
      <c r="H1" s="429"/>
      <c r="I1" s="429"/>
    </row>
    <row r="2" spans="1:11" ht="18.75" x14ac:dyDescent="0.2">
      <c r="A2" s="144"/>
      <c r="B2" s="144"/>
      <c r="C2" s="144"/>
      <c r="D2" s="144"/>
      <c r="E2" s="144"/>
      <c r="F2" s="144"/>
      <c r="G2" s="144"/>
      <c r="H2" s="144"/>
      <c r="I2" s="144"/>
    </row>
    <row r="3" spans="1:11" x14ac:dyDescent="0.2">
      <c r="B3" s="91" t="s">
        <v>200</v>
      </c>
      <c r="C3" s="87"/>
      <c r="D3" s="86"/>
      <c r="E3" s="86"/>
      <c r="F3" s="86"/>
      <c r="G3" s="86"/>
      <c r="H3" s="96"/>
      <c r="I3" s="86"/>
    </row>
    <row r="4" spans="1:11" ht="17.25" customHeight="1" x14ac:dyDescent="0.2">
      <c r="A4" s="424" t="s">
        <v>152</v>
      </c>
      <c r="B4" s="447" t="s">
        <v>0</v>
      </c>
      <c r="C4" s="448" t="s">
        <v>219</v>
      </c>
      <c r="D4" s="449"/>
      <c r="E4" s="449"/>
      <c r="F4" s="137" t="s">
        <v>221</v>
      </c>
      <c r="G4" s="142" t="s">
        <v>223</v>
      </c>
      <c r="H4" s="139" t="s">
        <v>149</v>
      </c>
      <c r="I4" s="142" t="s">
        <v>218</v>
      </c>
    </row>
    <row r="5" spans="1:11" ht="17.25" customHeight="1" x14ac:dyDescent="0.2">
      <c r="A5" s="425"/>
      <c r="B5" s="447"/>
      <c r="C5" s="97" t="s">
        <v>410</v>
      </c>
      <c r="D5" s="98" t="s">
        <v>148</v>
      </c>
      <c r="E5" s="99" t="s">
        <v>147</v>
      </c>
      <c r="F5" s="138" t="s">
        <v>220</v>
      </c>
      <c r="G5" s="143" t="s">
        <v>222</v>
      </c>
      <c r="H5" s="140" t="s">
        <v>146</v>
      </c>
      <c r="I5" s="143"/>
    </row>
    <row r="6" spans="1:11" x14ac:dyDescent="0.2">
      <c r="A6" s="41">
        <v>70</v>
      </c>
      <c r="B6" s="102" t="s">
        <v>187</v>
      </c>
      <c r="C6" s="100">
        <f>'Compte adm Rec'!C5</f>
        <v>16363000</v>
      </c>
      <c r="D6" s="100">
        <f>'Compte adm Rec'!D5</f>
        <v>0</v>
      </c>
      <c r="E6" s="100">
        <f>+C6+D6</f>
        <v>16363000</v>
      </c>
      <c r="F6" s="39" t="e">
        <f>+'Compte adm Rec'!F5</f>
        <v>#REF!</v>
      </c>
      <c r="G6" s="39" t="e">
        <f>+'Compte adm Rec'!G5</f>
        <v>#REF!</v>
      </c>
      <c r="H6" s="42" t="e">
        <f>IF(E6=0," ",F6/E6)</f>
        <v>#REF!</v>
      </c>
      <c r="I6" s="52"/>
      <c r="K6" s="68"/>
    </row>
    <row r="7" spans="1:11" x14ac:dyDescent="0.2">
      <c r="A7" s="41">
        <v>71</v>
      </c>
      <c r="B7" s="102" t="s">
        <v>180</v>
      </c>
      <c r="C7" s="100">
        <f>'Compte adm Rec'!C15</f>
        <v>50560000</v>
      </c>
      <c r="D7" s="100">
        <f>'Compte adm Rec'!D15</f>
        <v>0</v>
      </c>
      <c r="E7" s="100">
        <f t="shared" ref="E7:E13" si="0">+C7+D7</f>
        <v>50560000</v>
      </c>
      <c r="F7" s="39" t="e">
        <f>+'Compte adm Rec'!F15</f>
        <v>#REF!</v>
      </c>
      <c r="G7" s="39" t="e">
        <f>+'Compte adm Rec'!G15</f>
        <v>#REF!</v>
      </c>
      <c r="H7" s="42" t="e">
        <f t="shared" ref="H7:H13" si="1">IF(E7=0," ",F7/E7)</f>
        <v>#REF!</v>
      </c>
      <c r="I7" s="52"/>
    </row>
    <row r="8" spans="1:11" x14ac:dyDescent="0.2">
      <c r="A8" s="41">
        <v>72</v>
      </c>
      <c r="B8" s="102" t="s">
        <v>204</v>
      </c>
      <c r="C8" s="100">
        <v>0</v>
      </c>
      <c r="D8" s="100">
        <v>0</v>
      </c>
      <c r="E8" s="100">
        <f t="shared" si="0"/>
        <v>0</v>
      </c>
      <c r="F8" s="39">
        <v>0</v>
      </c>
      <c r="G8" s="39">
        <v>0</v>
      </c>
      <c r="H8" s="42" t="str">
        <f t="shared" si="1"/>
        <v xml:space="preserve"> </v>
      </c>
      <c r="I8" s="52"/>
    </row>
    <row r="9" spans="1:11" x14ac:dyDescent="0.2">
      <c r="A9" s="41">
        <v>73</v>
      </c>
      <c r="B9" s="102" t="s">
        <v>172</v>
      </c>
      <c r="C9" s="100">
        <f>'Compte adm Rec'!C28</f>
        <v>1582000</v>
      </c>
      <c r="D9" s="100">
        <f>'Compte adm Rec'!D28</f>
        <v>0</v>
      </c>
      <c r="E9" s="100">
        <f t="shared" si="0"/>
        <v>1582000</v>
      </c>
      <c r="F9" s="39" t="e">
        <f>+'Compte adm Rec'!F28</f>
        <v>#REF!</v>
      </c>
      <c r="G9" s="39" t="e">
        <f>+'Compte adm Rec'!G28</f>
        <v>#REF!</v>
      </c>
      <c r="H9" s="42" t="e">
        <f t="shared" si="1"/>
        <v>#REF!</v>
      </c>
      <c r="I9" s="52"/>
    </row>
    <row r="10" spans="1:11" x14ac:dyDescent="0.2">
      <c r="A10" s="41">
        <v>74</v>
      </c>
      <c r="B10" s="103" t="s">
        <v>169</v>
      </c>
      <c r="C10" s="100">
        <f>'Compte adm Rec'!C31</f>
        <v>100000</v>
      </c>
      <c r="D10" s="100">
        <f>'Compte adm Rec'!D31</f>
        <v>0</v>
      </c>
      <c r="E10" s="100">
        <f t="shared" si="0"/>
        <v>100000</v>
      </c>
      <c r="F10" s="39">
        <f>+'Compte adm Rec'!F31</f>
        <v>0</v>
      </c>
      <c r="G10" s="39">
        <f>+'Compte adm Rec'!G31</f>
        <v>100000</v>
      </c>
      <c r="H10" s="42">
        <f t="shared" si="1"/>
        <v>0</v>
      </c>
      <c r="I10" s="52"/>
    </row>
    <row r="11" spans="1:11" x14ac:dyDescent="0.2">
      <c r="A11" s="41">
        <v>75</v>
      </c>
      <c r="B11" s="103" t="s">
        <v>166</v>
      </c>
      <c r="C11" s="100">
        <f>'Compte adm Rec'!C34</f>
        <v>13700000</v>
      </c>
      <c r="D11" s="100">
        <f>'Compte adm Rec'!D34</f>
        <v>0</v>
      </c>
      <c r="E11" s="100">
        <f t="shared" si="0"/>
        <v>13700000</v>
      </c>
      <c r="F11" s="39" t="e">
        <f>+'Compte adm Rec'!F34</f>
        <v>#REF!</v>
      </c>
      <c r="G11" s="39" t="e">
        <f>+'Compte adm Rec'!G34</f>
        <v>#REF!</v>
      </c>
      <c r="H11" s="42" t="e">
        <f t="shared" si="1"/>
        <v>#REF!</v>
      </c>
      <c r="I11" s="52"/>
    </row>
    <row r="12" spans="1:11" x14ac:dyDescent="0.2">
      <c r="A12" s="41">
        <v>76</v>
      </c>
      <c r="B12" s="103" t="s">
        <v>159</v>
      </c>
      <c r="C12" s="100">
        <f>'Compte adm Rec'!C45</f>
        <v>3040000</v>
      </c>
      <c r="D12" s="100">
        <f>'Compte adm Rec'!D45</f>
        <v>0</v>
      </c>
      <c r="E12" s="100">
        <f t="shared" si="0"/>
        <v>3040000</v>
      </c>
      <c r="F12" s="39" t="e">
        <f>+'Compte adm Rec'!F45</f>
        <v>#REF!</v>
      </c>
      <c r="G12" s="39" t="e">
        <f>+'Compte adm Rec'!G45</f>
        <v>#REF!</v>
      </c>
      <c r="H12" s="42" t="e">
        <f t="shared" si="1"/>
        <v>#REF!</v>
      </c>
      <c r="I12" s="52"/>
    </row>
    <row r="13" spans="1:11" x14ac:dyDescent="0.2">
      <c r="A13" s="41">
        <v>79</v>
      </c>
      <c r="B13" s="103" t="s">
        <v>154</v>
      </c>
      <c r="C13" s="100">
        <f>'Compte adm Rec'!C50</f>
        <v>178000</v>
      </c>
      <c r="D13" s="100">
        <f>'Compte adm Rec'!D50</f>
        <v>0</v>
      </c>
      <c r="E13" s="100">
        <f t="shared" si="0"/>
        <v>178000</v>
      </c>
      <c r="F13" s="39">
        <f>+'Compte adm Rec'!F50</f>
        <v>0</v>
      </c>
      <c r="G13" s="39">
        <f>+'Compte adm Rec'!G50</f>
        <v>178000</v>
      </c>
      <c r="H13" s="42">
        <f t="shared" si="1"/>
        <v>0</v>
      </c>
      <c r="I13" s="52"/>
    </row>
    <row r="14" spans="1:11" ht="15" customHeight="1" x14ac:dyDescent="0.2">
      <c r="A14" s="450" t="s">
        <v>153</v>
      </c>
      <c r="B14" s="451"/>
      <c r="C14" s="37">
        <f t="shared" ref="C14:E14" si="2">+SUM(C6:C13)</f>
        <v>85523000</v>
      </c>
      <c r="D14" s="37">
        <f t="shared" si="2"/>
        <v>0</v>
      </c>
      <c r="E14" s="37">
        <f t="shared" si="2"/>
        <v>85523000</v>
      </c>
      <c r="F14" s="37" t="e">
        <f>+SUM(F6:F13)</f>
        <v>#REF!</v>
      </c>
      <c r="G14" s="37" t="e">
        <f t="shared" ref="G14" si="3">+SUM(G6:G13)</f>
        <v>#REF!</v>
      </c>
      <c r="H14" s="94" t="e">
        <f>IF(E14=0," ",F14/E14)</f>
        <v>#REF!</v>
      </c>
      <c r="I14" s="37"/>
    </row>
    <row r="15" spans="1:11" x14ac:dyDescent="0.2">
      <c r="A15" s="79"/>
      <c r="B15" s="79"/>
      <c r="C15" s="80"/>
      <c r="D15" s="80"/>
      <c r="E15" s="80"/>
      <c r="F15" s="80"/>
      <c r="G15" s="80"/>
      <c r="H15" s="81"/>
      <c r="I15" s="80"/>
    </row>
    <row r="16" spans="1:11" x14ac:dyDescent="0.2">
      <c r="A16" s="90"/>
      <c r="B16" s="92" t="s">
        <v>199</v>
      </c>
      <c r="C16" s="90"/>
      <c r="D16" s="90"/>
      <c r="E16" s="90"/>
      <c r="F16" s="90"/>
      <c r="G16" s="90"/>
      <c r="H16" s="90"/>
      <c r="I16" s="90"/>
    </row>
    <row r="17" spans="1:9" x14ac:dyDescent="0.2">
      <c r="A17" s="41">
        <v>10</v>
      </c>
      <c r="B17" s="102" t="s">
        <v>201</v>
      </c>
      <c r="C17" s="100">
        <f>'Compte adm Rec'!C59</f>
        <v>13735119</v>
      </c>
      <c r="D17" s="100">
        <f>'Compte adm Rec'!D59</f>
        <v>0</v>
      </c>
      <c r="E17" s="100">
        <f>+C17+D17</f>
        <v>13735119</v>
      </c>
      <c r="F17" s="88" t="e">
        <f>'Compte adm Rec'!F59</f>
        <v>#REF!</v>
      </c>
      <c r="G17" s="88" t="e">
        <f>'Compte adm Rec'!G59</f>
        <v>#REF!</v>
      </c>
      <c r="H17" s="42" t="e">
        <f>IF(E17=0," ",F17/E17)</f>
        <v>#REF!</v>
      </c>
      <c r="I17" s="52"/>
    </row>
    <row r="18" spans="1:9" x14ac:dyDescent="0.2">
      <c r="A18" s="41">
        <v>11</v>
      </c>
      <c r="B18" s="102" t="s">
        <v>202</v>
      </c>
      <c r="C18" s="106">
        <f>'Compte adm Rec'!C60</f>
        <v>17104600</v>
      </c>
      <c r="D18" s="106">
        <f>'Compte adm Rec'!D60</f>
        <v>0</v>
      </c>
      <c r="E18" s="100">
        <f>+C18+D18</f>
        <v>17104600</v>
      </c>
      <c r="F18" s="39">
        <f>'Compte adm Rec'!F60</f>
        <v>0</v>
      </c>
      <c r="G18" s="39">
        <f>'Compte adm Rec'!G60</f>
        <v>17104600</v>
      </c>
      <c r="H18" s="42">
        <f>IF(E18=0," ",F18/E18)</f>
        <v>0</v>
      </c>
      <c r="I18" s="52"/>
    </row>
    <row r="19" spans="1:9" ht="15" customHeight="1" x14ac:dyDescent="0.2">
      <c r="A19" s="450" t="s">
        <v>145</v>
      </c>
      <c r="B19" s="451"/>
      <c r="C19" s="37">
        <f>+C17+C18</f>
        <v>30839719</v>
      </c>
      <c r="D19" s="37">
        <f>+D17+D18</f>
        <v>0</v>
      </c>
      <c r="E19" s="37">
        <f>+E17+E18</f>
        <v>30839719</v>
      </c>
      <c r="F19" s="37" t="e">
        <f>+F17+F18</f>
        <v>#REF!</v>
      </c>
      <c r="G19" s="37" t="e">
        <f t="shared" ref="G19" si="4">+G17+G18</f>
        <v>#REF!</v>
      </c>
      <c r="H19" s="94" t="e">
        <f>IF(E19=0," ",F19/E19)</f>
        <v>#REF!</v>
      </c>
      <c r="I19" s="37"/>
    </row>
    <row r="20" spans="1:9" s="34" customFormat="1" ht="21" customHeight="1" x14ac:dyDescent="0.2">
      <c r="A20" s="36"/>
      <c r="B20" s="36" t="s">
        <v>203</v>
      </c>
      <c r="C20" s="108">
        <f>+C14+C19-C18</f>
        <v>99258119</v>
      </c>
      <c r="D20" s="108">
        <f t="shared" ref="D20:E20" si="5">+D14+D19-D18</f>
        <v>0</v>
      </c>
      <c r="E20" s="108">
        <f t="shared" si="5"/>
        <v>99258119</v>
      </c>
      <c r="F20" s="35" t="e">
        <f t="shared" ref="F20:G20" si="6">+F14+F19</f>
        <v>#REF!</v>
      </c>
      <c r="G20" s="35" t="e">
        <f t="shared" si="6"/>
        <v>#REF!</v>
      </c>
      <c r="H20" s="42" t="e">
        <f>IF(E20=0," ",F20/E20)</f>
        <v>#REF!</v>
      </c>
      <c r="I20" s="35"/>
    </row>
    <row r="21" spans="1:9" x14ac:dyDescent="0.2">
      <c r="A21" s="33"/>
      <c r="B21" s="33"/>
      <c r="C21" s="32"/>
      <c r="D21" s="32"/>
      <c r="E21" s="32"/>
      <c r="F21" s="32"/>
      <c r="G21" s="32"/>
      <c r="H21" s="32"/>
      <c r="I21" s="32"/>
    </row>
    <row r="22" spans="1:9" x14ac:dyDescent="0.2">
      <c r="A22" s="33"/>
      <c r="B22" s="101"/>
      <c r="C22" s="32"/>
      <c r="D22" s="32"/>
      <c r="E22" s="32"/>
      <c r="F22" s="32"/>
      <c r="G22" s="32"/>
      <c r="H22" s="32"/>
      <c r="I22" s="32"/>
    </row>
    <row r="23" spans="1:9" x14ac:dyDescent="0.2">
      <c r="A23" s="33"/>
      <c r="B23" s="33"/>
      <c r="C23" s="32"/>
      <c r="D23" s="32"/>
      <c r="E23" s="32"/>
      <c r="F23" s="32"/>
      <c r="G23" s="32"/>
      <c r="H23" s="32"/>
      <c r="I23" s="32"/>
    </row>
    <row r="24" spans="1:9" x14ac:dyDescent="0.2">
      <c r="A24" s="33"/>
      <c r="B24" s="33"/>
      <c r="C24" s="32"/>
      <c r="D24" s="32"/>
      <c r="E24" s="32"/>
      <c r="F24" s="32"/>
      <c r="G24" s="32"/>
      <c r="H24" s="32"/>
      <c r="I24" s="32"/>
    </row>
    <row r="25" spans="1:9" x14ac:dyDescent="0.2">
      <c r="A25" s="33"/>
      <c r="B25" s="33"/>
      <c r="C25" s="32"/>
      <c r="D25" s="32"/>
      <c r="E25" s="32"/>
      <c r="F25" s="32"/>
      <c r="G25" s="32"/>
      <c r="H25" s="32"/>
      <c r="I25" s="32"/>
    </row>
    <row r="26" spans="1:9" x14ac:dyDescent="0.2">
      <c r="A26" s="33"/>
      <c r="B26" s="33"/>
      <c r="C26" s="32"/>
      <c r="D26" s="32"/>
      <c r="E26" s="32"/>
      <c r="F26" s="32"/>
      <c r="G26" s="32"/>
      <c r="H26" s="32"/>
      <c r="I26" s="32"/>
    </row>
    <row r="27" spans="1:9" x14ac:dyDescent="0.2">
      <c r="A27" s="33"/>
      <c r="B27" s="33"/>
      <c r="C27" s="32"/>
      <c r="D27" s="32"/>
      <c r="E27" s="32"/>
      <c r="F27" s="32"/>
      <c r="G27" s="32"/>
      <c r="H27" s="32"/>
      <c r="I27" s="32"/>
    </row>
    <row r="28" spans="1:9" x14ac:dyDescent="0.2">
      <c r="A28" s="33"/>
      <c r="B28" s="33"/>
      <c r="C28" s="32"/>
      <c r="D28" s="32"/>
      <c r="E28" s="32"/>
      <c r="F28" s="32"/>
      <c r="G28" s="32"/>
      <c r="H28" s="32"/>
      <c r="I28" s="32"/>
    </row>
  </sheetData>
  <mergeCells count="6">
    <mergeCell ref="A1:I1"/>
    <mergeCell ref="A14:B14"/>
    <mergeCell ref="A19:B19"/>
    <mergeCell ref="A4:A5"/>
    <mergeCell ref="B4:B5"/>
    <mergeCell ref="C4:E4"/>
  </mergeCells>
  <pageMargins left="0.35433070866141736" right="0.31496062992125984" top="0.35433070866141736" bottom="0.35433070866141736" header="0.31496062992125984" footer="0.31496062992125984"/>
  <pageSetup paperSize="9" scale="40" fitToHeight="0" orientation="landscape" r:id="rId1"/>
  <headerFooter>
    <oddHeader>&amp;CPréfecture de Haho : La Délégation spéciale</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D15"/>
  <sheetViews>
    <sheetView workbookViewId="0">
      <selection activeCell="F20" sqref="F20"/>
    </sheetView>
  </sheetViews>
  <sheetFormatPr baseColWidth="10" defaultRowHeight="15" x14ac:dyDescent="0.25"/>
  <cols>
    <col min="1" max="1" width="13.85546875" customWidth="1"/>
    <col min="2" max="2" width="16.140625" customWidth="1"/>
    <col min="3" max="3" width="18.28515625" customWidth="1"/>
    <col min="4" max="4" width="12.7109375" bestFit="1" customWidth="1"/>
  </cols>
  <sheetData>
    <row r="1" spans="1:4" ht="15.75" thickBot="1" x14ac:dyDescent="0.3">
      <c r="A1" s="115" t="s">
        <v>136</v>
      </c>
      <c r="B1" s="115" t="s">
        <v>151</v>
      </c>
      <c r="C1" s="116" t="s">
        <v>206</v>
      </c>
      <c r="D1" s="117" t="s">
        <v>207</v>
      </c>
    </row>
    <row r="2" spans="1:4" ht="15.75" thickTop="1" x14ac:dyDescent="0.25">
      <c r="A2" s="110" t="s">
        <v>188</v>
      </c>
      <c r="B2" s="111">
        <f>GETPIVOTDATA("Montant",'Analyse par date'!$A$3,"Date",1)</f>
        <v>228000</v>
      </c>
      <c r="C2" s="112">
        <v>8950399</v>
      </c>
      <c r="D2" s="29">
        <f>Tableau3[[#This Row],[Recettes]]-Tableau3[[#This Row],[Dépenses]]</f>
        <v>-8722399</v>
      </c>
    </row>
    <row r="3" spans="1:4" x14ac:dyDescent="0.25">
      <c r="A3" s="110" t="s">
        <v>189</v>
      </c>
      <c r="B3" s="111">
        <f>GETPIVOTDATA("Montant",'Analyse par date'!$A$3,"Date",2)</f>
        <v>177000</v>
      </c>
      <c r="C3" s="112">
        <v>3273634</v>
      </c>
      <c r="D3" s="29">
        <f>Tableau3[[#This Row],[Recettes]]-Tableau3[[#This Row],[Dépenses]]</f>
        <v>-3096634</v>
      </c>
    </row>
    <row r="4" spans="1:4" x14ac:dyDescent="0.25">
      <c r="A4" s="110" t="s">
        <v>131</v>
      </c>
      <c r="B4" s="111" t="e">
        <f>GETPIVOTDATA("Montant",'Analyse par date'!$A$3,"Date",3)</f>
        <v>#REF!</v>
      </c>
      <c r="C4" s="112">
        <v>3380914</v>
      </c>
      <c r="D4" s="29" t="e">
        <f>Tableau3[[#This Row],[Recettes]]-Tableau3[[#This Row],[Dépenses]]</f>
        <v>#REF!</v>
      </c>
    </row>
    <row r="5" spans="1:4" x14ac:dyDescent="0.25">
      <c r="A5" s="110" t="s">
        <v>132</v>
      </c>
      <c r="B5" s="111" t="e">
        <f>GETPIVOTDATA("Montant",'Analyse par date'!$A$3,"Date",4)</f>
        <v>#REF!</v>
      </c>
      <c r="C5" s="112">
        <v>7610420</v>
      </c>
      <c r="D5" s="29" t="e">
        <f>Tableau3[[#This Row],[Recettes]]-Tableau3[[#This Row],[Dépenses]]</f>
        <v>#REF!</v>
      </c>
    </row>
    <row r="6" spans="1:4" x14ac:dyDescent="0.25">
      <c r="A6" s="110" t="s">
        <v>133</v>
      </c>
      <c r="B6" s="111" t="e">
        <f>GETPIVOTDATA("Montant",'Analyse par date'!$A$3,"Date",5)</f>
        <v>#REF!</v>
      </c>
      <c r="C6" s="112">
        <v>5980324</v>
      </c>
      <c r="D6" s="29" t="e">
        <f>Tableau3[[#This Row],[Recettes]]-Tableau3[[#This Row],[Dépenses]]</f>
        <v>#REF!</v>
      </c>
    </row>
    <row r="7" spans="1:4" x14ac:dyDescent="0.25">
      <c r="A7" s="110" t="s">
        <v>134</v>
      </c>
      <c r="B7" s="111" t="e">
        <f>GETPIVOTDATA("Montant",'Analyse par date'!$A$3,"Date",6)</f>
        <v>#REF!</v>
      </c>
      <c r="C7" s="112">
        <v>4726329</v>
      </c>
      <c r="D7" s="29" t="e">
        <f>Tableau3[[#This Row],[Recettes]]-Tableau3[[#This Row],[Dépenses]]</f>
        <v>#REF!</v>
      </c>
    </row>
    <row r="8" spans="1:4" x14ac:dyDescent="0.25">
      <c r="A8" s="110" t="s">
        <v>190</v>
      </c>
      <c r="B8" s="111" t="e">
        <f>GETPIVOTDATA("Montant",'Analyse par date'!$A$3,"Date",7)</f>
        <v>#REF!</v>
      </c>
      <c r="C8" s="112">
        <v>16583683</v>
      </c>
      <c r="D8" s="29" t="e">
        <f>Tableau3[[#This Row],[Recettes]]-Tableau3[[#This Row],[Dépenses]]</f>
        <v>#REF!</v>
      </c>
    </row>
    <row r="9" spans="1:4" x14ac:dyDescent="0.25">
      <c r="A9" s="110" t="s">
        <v>127</v>
      </c>
      <c r="B9" s="111" t="e">
        <f>GETPIVOTDATA("Montant",'Analyse par date'!$A$3,"Date",8)</f>
        <v>#REF!</v>
      </c>
      <c r="C9" s="112">
        <v>5316806</v>
      </c>
      <c r="D9" s="29" t="e">
        <f>Tableau3[[#This Row],[Recettes]]-Tableau3[[#This Row],[Dépenses]]</f>
        <v>#REF!</v>
      </c>
    </row>
    <row r="10" spans="1:4" x14ac:dyDescent="0.25">
      <c r="A10" s="110" t="s">
        <v>191</v>
      </c>
      <c r="B10" s="111" t="e">
        <f>GETPIVOTDATA("Montant",'Analyse par date'!$A$3,"Date",9)</f>
        <v>#REF!</v>
      </c>
      <c r="C10" s="112">
        <v>15010776</v>
      </c>
      <c r="D10" s="29" t="e">
        <f>Tableau3[[#This Row],[Recettes]]-Tableau3[[#This Row],[Dépenses]]</f>
        <v>#REF!</v>
      </c>
    </row>
    <row r="11" spans="1:4" x14ac:dyDescent="0.25">
      <c r="A11" s="110" t="s">
        <v>192</v>
      </c>
      <c r="B11" s="111" t="e">
        <f>GETPIVOTDATA("Montant",'Analyse par date'!$A$3,"Date",10)</f>
        <v>#REF!</v>
      </c>
      <c r="C11" s="112"/>
      <c r="D11" s="29" t="e">
        <f>Tableau3[[#This Row],[Recettes]]-Tableau3[[#This Row],[Dépenses]]</f>
        <v>#REF!</v>
      </c>
    </row>
    <row r="12" spans="1:4" x14ac:dyDescent="0.25">
      <c r="A12" s="110" t="s">
        <v>193</v>
      </c>
      <c r="B12" s="111" t="e">
        <f>GETPIVOTDATA("Montant",'Analyse par date'!$A$3,"Date",11)</f>
        <v>#REF!</v>
      </c>
      <c r="C12" s="112"/>
      <c r="D12" s="29" t="e">
        <f>Tableau3[[#This Row],[Recettes]]-Tableau3[[#This Row],[Dépenses]]</f>
        <v>#REF!</v>
      </c>
    </row>
    <row r="13" spans="1:4" x14ac:dyDescent="0.25">
      <c r="A13" s="113" t="s">
        <v>194</v>
      </c>
      <c r="B13" s="111" t="e">
        <f>GETPIVOTDATA("Montant",'Analyse par date'!$A$3,"Date",12)</f>
        <v>#REF!</v>
      </c>
      <c r="C13" s="114"/>
      <c r="D13" s="29" t="e">
        <f>Tableau3[[#This Row],[Recettes]]-Tableau3[[#This Row],[Dépenses]]</f>
        <v>#REF!</v>
      </c>
    </row>
    <row r="14" spans="1:4" ht="15.75" thickBot="1" x14ac:dyDescent="0.3">
      <c r="A14" s="109" t="s">
        <v>128</v>
      </c>
      <c r="B14" s="118" t="e">
        <f>SUBTOTAL(109,Tableau3[Recettes])</f>
        <v>#REF!</v>
      </c>
      <c r="C14" s="118">
        <f>SUBTOTAL(109,Tableau3[Dépenses])</f>
        <v>70833285</v>
      </c>
      <c r="D14" s="118" t="e">
        <f>SUBTOTAL(109,Tableau3[Ecart])</f>
        <v>#REF!</v>
      </c>
    </row>
    <row r="15" spans="1:4" ht="15.75" thickTop="1" x14ac:dyDescent="0.25"/>
  </sheetData>
  <pageMargins left="0.7" right="0.7" top="0.75" bottom="0.75" header="0.3" footer="0.3"/>
  <ignoredErrors>
    <ignoredError sqref="B3:B13" calculatedColumn="1"/>
  </ignoredErrors>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10</vt:i4>
      </vt:variant>
      <vt:variant>
        <vt:lpstr>Plages nommées</vt:lpstr>
      </vt:variant>
      <vt:variant>
        <vt:i4>8</vt:i4>
      </vt:variant>
    </vt:vector>
  </HeadingPairs>
  <TitlesOfParts>
    <vt:vector size="18" baseType="lpstr">
      <vt:lpstr>Comptes</vt:lpstr>
      <vt:lpstr>Enregistrement des titres émis</vt:lpstr>
      <vt:lpstr>Analyse par compte</vt:lpstr>
      <vt:lpstr>Analyse par date</vt:lpstr>
      <vt:lpstr>Graphique</vt:lpstr>
      <vt:lpstr>Manuel d'utilisation</vt:lpstr>
      <vt:lpstr>Budget 2016 Rec</vt:lpstr>
      <vt:lpstr>Compte adm Rec</vt:lpstr>
      <vt:lpstr>Vue d'ensemble</vt:lpstr>
      <vt:lpstr>Rapprochement</vt:lpstr>
      <vt:lpstr>d.Compte</vt:lpstr>
      <vt:lpstr>d.Date</vt:lpstr>
      <vt:lpstr>d.Libellés</vt:lpstr>
      <vt:lpstr>'Enregistrement des titres émis'!d.Montant</vt:lpstr>
      <vt:lpstr>'Enregistrement des titres émis'!d.N_Compte</vt:lpstr>
      <vt:lpstr>'Analyse par date'!Impression_des_titres</vt:lpstr>
      <vt:lpstr>'Enregistrement des titres émis'!Impression_des_titres</vt:lpstr>
      <vt:lpstr>Liste</vt:lpstr>
    </vt:vector>
  </TitlesOfParts>
  <Company>PAGL2D/ETD</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GESFICO RECETTE</dc:title>
  <dc:creator>Nyuiadzi ZIKPI</dc:creator>
  <cp:keywords>Gestion financière</cp:keywords>
  <dc:description>Gestion financière des collectivités locales</dc:description>
  <cp:lastModifiedBy>Jean-Eric Pelouas</cp:lastModifiedBy>
  <cp:lastPrinted>2016-02-16T07:12:49Z</cp:lastPrinted>
  <dcterms:created xsi:type="dcterms:W3CDTF">2015-07-25T05:35:39Z</dcterms:created>
  <dcterms:modified xsi:type="dcterms:W3CDTF">2016-02-23T12:04:45Z</dcterms:modified>
  <cp:category>Gestion financière</cp:category>
  <cp:contentStatus>GESFICO RECETTE</cp:contentStatus>
</cp:coreProperties>
</file>

<file path=userCustomization/customUI.xml><?xml version="1.0" encoding="utf-8"?>
<mso:customUI xmlns:mso="http://schemas.microsoft.com/office/2006/01/customui">
  <mso:ribbon>
    <mso:qat>
      <mso:documentControls>
        <mso:control idQ="mso:DataFormExcel" visible="true"/>
      </mso:documentControls>
    </mso:qat>
  </mso:ribbon>
</mso:customUI>
</file>