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160" windowHeight="8175" tabRatio="695" activeTab="2"/>
  </bookViews>
  <sheets>
    <sheet name="Poteau" sheetId="1" r:id="rId1"/>
    <sheet name="Basededonnée" sheetId="14" r:id="rId2"/>
    <sheet name="Tableau de bord" sheetId="23" r:id="rId3"/>
  </sheets>
  <definedNames>
    <definedName name="_xlnm._FilterDatabase" localSheetId="1" hidden="1">Basededonnée!$A$1:$AX$7</definedName>
    <definedName name="_xlnm._FilterDatabase" localSheetId="0" hidden="1">Poteau!$A$2:$AP$675</definedName>
    <definedName name="_xlnm._FilterDatabase" localSheetId="2" hidden="1">'Tableau de bord'!$A$1:$N$8</definedName>
    <definedName name="Essai">tblPoteau[A]</definedName>
    <definedName name="_xlnm.Print_Titles" localSheetId="2">'Tableau de bord'!$1:$1</definedName>
    <definedName name="_xlnm.Print_Area" localSheetId="0">Poteau!$C$1:$J$18</definedName>
    <definedName name="_xlnm.Print_Area" localSheetId="2">'Tableau de bord'!$A$1:$N$8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3" l="1" a="1"/>
  <c r="N2" i="23" s="1"/>
  <c r="N3" i="23"/>
  <c r="N4" i="23" a="1"/>
  <c r="N4" i="23" s="1"/>
  <c r="N5" i="23" a="1"/>
  <c r="N5" i="23" s="1"/>
  <c r="N6" i="23" a="1"/>
  <c r="N6" i="23" s="1"/>
  <c r="N7" i="23" a="1"/>
  <c r="N7" i="23" s="1"/>
  <c r="N8" i="23" a="1"/>
  <c r="N8" i="23" s="1"/>
  <c r="B2" i="14" l="1"/>
  <c r="B3" i="14"/>
  <c r="B4" i="14"/>
  <c r="B5" i="14"/>
  <c r="B6" i="14"/>
  <c r="B7" i="14"/>
  <c r="D20" i="1"/>
  <c r="E20" i="1"/>
  <c r="F20" i="1"/>
  <c r="G20" i="1"/>
  <c r="H20" i="1"/>
  <c r="I20" i="1"/>
  <c r="K20" i="1"/>
  <c r="L20" i="1"/>
  <c r="M20" i="1"/>
  <c r="N20" i="1"/>
  <c r="O20" i="1"/>
  <c r="P20" i="1"/>
  <c r="Q20" i="1"/>
  <c r="R20" i="1"/>
  <c r="S20" i="1"/>
  <c r="T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D16" i="1" l="1"/>
  <c r="E16" i="1"/>
  <c r="F16" i="1"/>
  <c r="G16" i="1"/>
  <c r="H16" i="1"/>
  <c r="I16" i="1"/>
  <c r="K16" i="1"/>
  <c r="L16" i="1"/>
  <c r="M16" i="1"/>
  <c r="N16" i="1"/>
  <c r="O16" i="1"/>
  <c r="P16" i="1"/>
  <c r="Q16" i="1"/>
  <c r="R16" i="1"/>
  <c r="S16" i="1"/>
  <c r="T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X2" i="14" l="1" a="1"/>
  <c r="AX2" i="14" s="1"/>
  <c r="AX3" i="14" a="1"/>
  <c r="AX3" i="14" s="1"/>
  <c r="AX4" i="14" a="1"/>
  <c r="AX4" i="14" s="1"/>
  <c r="AX5" i="14" a="1"/>
  <c r="AX5" i="14" s="1"/>
  <c r="AX6" i="14" a="1"/>
  <c r="AX6" i="14" s="1"/>
  <c r="V2" i="14" a="1"/>
  <c r="V2" i="14" s="1"/>
  <c r="V3" i="14" a="1"/>
  <c r="V3" i="14" s="1"/>
  <c r="V4" i="14" a="1"/>
  <c r="V4" i="14" s="1"/>
  <c r="V5" i="14" a="1"/>
  <c r="V5" i="14" s="1"/>
  <c r="V6" i="14" a="1"/>
  <c r="V6" i="14" s="1"/>
  <c r="V7" i="14" a="1"/>
  <c r="V7" i="14" s="1"/>
  <c r="K3" i="14" a="1"/>
  <c r="K3" i="14" s="1"/>
  <c r="M2" i="23" l="1" a="1"/>
  <c r="M2" i="23" s="1"/>
  <c r="M3" i="23" a="1"/>
  <c r="M3" i="23" s="1"/>
  <c r="M4" i="23" a="1"/>
  <c r="M4" i="23" s="1"/>
  <c r="M5" i="23" a="1"/>
  <c r="M5" i="23" s="1"/>
  <c r="M6" i="23" a="1"/>
  <c r="M6" i="23" s="1"/>
  <c r="M7" i="23" a="1"/>
  <c r="M7" i="23" s="1"/>
  <c r="M8" i="23" a="1"/>
  <c r="M8" i="23" s="1"/>
  <c r="D19" i="1" l="1"/>
  <c r="E19" i="1"/>
  <c r="F19" i="1"/>
  <c r="G19" i="1"/>
  <c r="H19" i="1"/>
  <c r="I19" i="1"/>
  <c r="K19" i="1"/>
  <c r="L19" i="1"/>
  <c r="M19" i="1"/>
  <c r="N19" i="1"/>
  <c r="O19" i="1"/>
  <c r="P19" i="1"/>
  <c r="Q19" i="1"/>
  <c r="R19" i="1"/>
  <c r="S19" i="1"/>
  <c r="T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V3" i="1" l="1"/>
  <c r="AV4" i="1"/>
  <c r="AV5" i="1"/>
  <c r="AV6" i="1"/>
  <c r="AV7" i="1"/>
  <c r="AV8" i="1"/>
  <c r="AV9" i="1"/>
  <c r="AV10" i="1"/>
  <c r="AV11" i="1"/>
  <c r="AV12" i="1"/>
  <c r="AV13" i="1"/>
  <c r="AV14" i="1"/>
  <c r="AV15" i="1"/>
  <c r="AV17" i="1"/>
  <c r="AV18" i="1"/>
  <c r="AU3" i="1"/>
  <c r="AU4" i="1"/>
  <c r="AU5" i="1"/>
  <c r="AU6" i="1"/>
  <c r="AU7" i="1"/>
  <c r="AU8" i="1"/>
  <c r="AU9" i="1"/>
  <c r="AU10" i="1"/>
  <c r="AU11" i="1"/>
  <c r="AU12" i="1"/>
  <c r="AU13" i="1"/>
  <c r="AU14" i="1"/>
  <c r="AU15" i="1"/>
  <c r="AU17" i="1"/>
  <c r="AU18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7" i="1"/>
  <c r="AT18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7" i="1"/>
  <c r="AS18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7" i="1"/>
  <c r="AR18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7" i="1"/>
  <c r="AQ18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7" i="1"/>
  <c r="AP18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7" i="1"/>
  <c r="AO18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7" i="1"/>
  <c r="AN18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7" i="1"/>
  <c r="AM18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7" i="1"/>
  <c r="AL18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7" i="1"/>
  <c r="AK18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7" i="1"/>
  <c r="AJ18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7" i="1"/>
  <c r="AI18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7" i="1"/>
  <c r="AH18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7" i="1"/>
  <c r="AG18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7" i="1"/>
  <c r="AF18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7" i="1"/>
  <c r="AE18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7" i="1"/>
  <c r="AD18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7" i="1"/>
  <c r="AC18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7" i="1"/>
  <c r="AB18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7" i="1"/>
  <c r="AA18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7" i="1"/>
  <c r="Z18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7" i="1"/>
  <c r="Y18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7" i="1"/>
  <c r="X18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7" i="1"/>
  <c r="W18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7" i="1"/>
  <c r="V18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7" i="1"/>
  <c r="T18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7" i="1"/>
  <c r="S18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7" i="1"/>
  <c r="R18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7" i="1"/>
  <c r="Q18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7" i="1"/>
  <c r="P18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7" i="1"/>
  <c r="O18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7" i="1"/>
  <c r="N18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7" i="1"/>
  <c r="M18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7" i="1"/>
  <c r="L18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7" i="1"/>
  <c r="K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7" i="1"/>
  <c r="I1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7" i="1"/>
  <c r="H1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7" i="1"/>
  <c r="G18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7" i="1"/>
  <c r="F1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7" i="1"/>
  <c r="D18" i="1"/>
  <c r="D2" i="14" l="1"/>
  <c r="D3" i="14"/>
  <c r="D4" i="14"/>
  <c r="D5" i="14"/>
  <c r="D6" i="14"/>
  <c r="D7" i="14"/>
  <c r="C2" i="14" l="1"/>
  <c r="C3" i="14"/>
  <c r="C4" i="14"/>
  <c r="C5" i="14"/>
  <c r="C6" i="14"/>
  <c r="C7" i="14"/>
</calcChain>
</file>

<file path=xl/sharedStrings.xml><?xml version="1.0" encoding="utf-8"?>
<sst xmlns="http://schemas.openxmlformats.org/spreadsheetml/2006/main" count="419" uniqueCount="95">
  <si>
    <t>Bon</t>
  </si>
  <si>
    <t>Moyen</t>
  </si>
  <si>
    <t>En état</t>
  </si>
  <si>
    <t>Bonne</t>
  </si>
  <si>
    <t>Sans</t>
  </si>
  <si>
    <t>Classique (javel)</t>
  </si>
  <si>
    <t>Chimique</t>
  </si>
  <si>
    <t>Oui</t>
  </si>
  <si>
    <t>Non</t>
  </si>
  <si>
    <t>I</t>
  </si>
  <si>
    <t>Acier</t>
  </si>
  <si>
    <t>Pvc</t>
  </si>
  <si>
    <t>Acier / Pvc</t>
  </si>
  <si>
    <t/>
  </si>
  <si>
    <t>Acier / Inox</t>
  </si>
  <si>
    <t xml:space="preserve">Mauvais </t>
  </si>
  <si>
    <t>Oui (NS)</t>
  </si>
  <si>
    <t>Sans objet</t>
  </si>
  <si>
    <t>Sect.412</t>
  </si>
  <si>
    <t>Bonne(s)</t>
  </si>
  <si>
    <t>Mauvaise(s)</t>
  </si>
  <si>
    <t>Moyenne(s)</t>
  </si>
  <si>
    <t xml:space="preserve">Bonne(s) </t>
  </si>
  <si>
    <t>A</t>
  </si>
  <si>
    <t>B</t>
  </si>
  <si>
    <t>C</t>
  </si>
  <si>
    <t>D</t>
  </si>
  <si>
    <t>E</t>
  </si>
  <si>
    <t>G</t>
  </si>
  <si>
    <t>H</t>
  </si>
  <si>
    <t>J</t>
  </si>
  <si>
    <t>F</t>
  </si>
  <si>
    <t>Truc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</si>
  <si>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</si>
  <si>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</si>
  <si>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</si>
  <si>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</si>
  <si>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</si>
  <si>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</si>
  <si>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</si>
  <si>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</si>
  <si>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</si>
  <si>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</si>
  <si>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</si>
  <si>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</si>
  <si>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</si>
  <si>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</si>
  <si>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</si>
  <si>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</si>
  <si>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</si>
  <si>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</si>
  <si>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</si>
  <si>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</si>
  <si>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</si>
  <si>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</si>
  <si>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</si>
  <si>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</si>
  <si>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</si>
  <si>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</si>
  <si>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</si>
  <si>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</si>
  <si>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</si>
  <si>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</si>
  <si>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</si>
  <si>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</si>
  <si>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</si>
  <si>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AS</t>
  </si>
  <si>
    <t>AT</t>
  </si>
  <si>
    <t>AU</t>
  </si>
  <si>
    <t>AV</t>
  </si>
  <si>
    <t>AW</t>
  </si>
  <si>
    <t>AX</t>
  </si>
  <si>
    <t>AR</t>
  </si>
  <si>
    <t>FLEURS</t>
  </si>
  <si>
    <t>ARBRE</t>
  </si>
  <si>
    <t>CERISE</t>
  </si>
  <si>
    <t>POIRE</t>
  </si>
  <si>
    <t>POMME</t>
  </si>
  <si>
    <t>PRUNE</t>
  </si>
  <si>
    <t>PECHE</t>
  </si>
  <si>
    <t>NOIX</t>
  </si>
  <si>
    <t>LAVANDE</t>
  </si>
  <si>
    <t>ROSE</t>
  </si>
  <si>
    <t>PAQUERETTE</t>
  </si>
  <si>
    <t>JONQUILLES</t>
  </si>
  <si>
    <t>MUGUET</t>
  </si>
  <si>
    <t>NARCISSE</t>
  </si>
  <si>
    <t>BB</t>
  </si>
  <si>
    <t>POTEAU</t>
  </si>
  <si>
    <t>FIL</t>
  </si>
  <si>
    <t>BOBINE</t>
  </si>
  <si>
    <t>SANS</t>
  </si>
  <si>
    <t>RIEN</t>
  </si>
  <si>
    <t>OUI</t>
  </si>
  <si>
    <t xml:space="preserve">                                 Liste du secteur: 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</si>
</sst>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/mm/yyyy"/>
    <numFmt numFmtId="165" formatCode="0;;;@\ "/>
    <numFmt numFmtId="166" formatCode="0;;;@"/>
  </numFmts>
  <fonts count="13">
    <font>
      <sz val="11"/>
      <color theme="1"/>
      <name val="Times New Roman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b/>
      <sz val="7"/>
      <name val="Gill Sans MT"/>
      <family val="2"/>
    </font>
    <font>
      <b/>
      <sz val="7"/>
      <color theme="0"/>
      <name val="Gill Sans MT"/>
      <family val="2"/>
    </font>
    <font>
      <sz val="6"/>
      <color theme="1"/>
      <name val="Gill Sans MT"/>
      <family val="2"/>
    </font>
    <font>
      <sz val="6"/>
      <name val="Gil sans mt"/>
    </font>
    <font>
      <sz val="6"/>
      <name val="Gill Sans MT"/>
      <family val="2"/>
    </font>
    <font>
      <b/>
      <sz val="6"/>
      <name val="Gill Sans MT"/>
      <family val="2"/>
    </font>
    <font>
      <b/>
      <sz val="12"/>
      <color rgb="FF0000FF"/>
      <name val="Gill Sans MT"/>
      <family val="2"/>
    </font>
    <font>
      <sz val="9"/>
      <name val="Gil sans mt"/>
    </font>
    <font>
      <b/>
      <sz val="12"/>
      <color rgb="FF0000FF"/>
      <name val="Gil sans mt"/>
    </font>
    <font>
      <b/>
      <sz val="9"/>
      <name val="Gill Sans MT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gray125">
        <fgColor rgb="FF0000FF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theme="4" tint="0.39997558519241921"/>
      </right>
      <top style="thin">
        <color theme="8" tint="0.39997558519241921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2">
    <xf numFmtId="0" fontId="0" fillId="0" borderId="0" xfId="0"/>
    <xf numFmtId="165" fontId="5" fillId="0" borderId="2" xfId="0" quotePrefix="1" applyNumberFormat="1" applyFont="1" applyFill="1" applyBorder="1" applyAlignment="1">
      <alignment horizontal="left"/>
    </xf>
    <xf numFmtId="165" fontId="5" fillId="0" borderId="2" xfId="0" applyNumberFormat="1" applyFont="1" applyFill="1" applyBorder="1" applyAlignment="1" applyProtection="1">
      <alignment horizontal="left"/>
      <protection locked="0" hidden="1"/>
    </xf>
    <xf numFmtId="0" fontId="3" fillId="5" borderId="5" xfId="2" applyNumberFormat="1" applyFont="1" applyFill="1" applyBorder="1" applyAlignment="1" applyProtection="1">
      <alignment horizontal="left" vertical="top"/>
      <protection locked="0" hidden="1"/>
    </xf>
    <xf numFmtId="0" fontId="3" fillId="5" borderId="6" xfId="2" applyNumberFormat="1" applyFont="1" applyFill="1" applyBorder="1" applyAlignment="1" applyProtection="1">
      <alignment horizontal="left" vertical="top"/>
      <protection locked="0" hidden="1"/>
    </xf>
    <xf numFmtId="0" fontId="3" fillId="5" borderId="6" xfId="2" applyNumberFormat="1" applyFont="1" applyFill="1" applyBorder="1" applyAlignment="1" applyProtection="1">
      <alignment vertical="top" wrapText="1"/>
      <protection locked="0" hidden="1"/>
    </xf>
    <xf numFmtId="0" fontId="3" fillId="5" borderId="6" xfId="2" applyNumberFormat="1" applyFont="1" applyFill="1" applyBorder="1" applyAlignment="1" applyProtection="1">
      <alignment horizontal="left" vertical="top" wrapText="1"/>
      <protection locked="0" hidden="1"/>
    </xf>
    <xf numFmtId="49" fontId="3" fillId="5" borderId="6" xfId="2" applyNumberFormat="1" applyFont="1" applyFill="1" applyBorder="1" applyAlignment="1" applyProtection="1">
      <alignment horizontal="left" vertical="top" wrapText="1"/>
      <protection locked="0" hidden="1"/>
    </xf>
    <xf numFmtId="0" fontId="4" fillId="4" borderId="6" xfId="2" applyNumberFormat="1" applyFont="1" applyFill="1" applyBorder="1" applyAlignment="1" applyProtection="1">
      <alignment horizontal="left" vertical="top" wrapText="1"/>
      <protection locked="0" hidden="1"/>
    </xf>
    <xf numFmtId="0" fontId="3" fillId="3" borderId="6" xfId="2" applyNumberFormat="1" applyFont="1" applyFill="1" applyBorder="1" applyAlignment="1" applyProtection="1">
      <alignment horizontal="left" vertical="top" wrapText="1"/>
      <protection locked="0" hidden="1"/>
    </xf>
    <xf numFmtId="0" fontId="3" fillId="6" borderId="6" xfId="2" applyNumberFormat="1" applyFont="1" applyFill="1" applyBorder="1" applyAlignment="1" applyProtection="1">
      <alignment horizontal="left" vertical="top" wrapText="1"/>
      <protection locked="0" hidden="1"/>
    </xf>
    <xf numFmtId="0" fontId="4" fillId="7" borderId="6" xfId="2" applyNumberFormat="1" applyFont="1" applyFill="1" applyBorder="1" applyAlignment="1" applyProtection="1">
      <alignment horizontal="left" vertical="top" wrapText="1"/>
      <protection locked="0" hidden="1"/>
    </xf>
    <xf numFmtId="0" fontId="4" fillId="7" borderId="6" xfId="2" applyNumberFormat="1" applyFont="1" applyFill="1" applyBorder="1" applyAlignment="1" applyProtection="1">
      <alignment horizontal="left" vertical="top"/>
      <protection locked="0" hidden="1"/>
    </xf>
    <xf numFmtId="0" fontId="4" fillId="2" borderId="6" xfId="2" applyNumberFormat="1" applyFont="1" applyFill="1" applyBorder="1" applyAlignment="1" applyProtection="1">
      <alignment horizontal="left" vertical="top" wrapText="1"/>
      <protection locked="0" hidden="1"/>
    </xf>
    <xf numFmtId="0" fontId="7" fillId="0" borderId="4" xfId="2" applyNumberFormat="1" applyFont="1" applyFill="1" applyBorder="1" applyAlignment="1" applyProtection="1">
      <alignment horizontal="center" vertical="center"/>
      <protection locked="0" hidden="1"/>
    </xf>
    <xf numFmtId="0" fontId="6" fillId="0" borderId="4" xfId="2" applyNumberFormat="1" applyFont="1" applyFill="1" applyBorder="1" applyAlignment="1" applyProtection="1">
      <alignment horizontal="center" vertical="center"/>
      <protection locked="0" hidden="1"/>
    </xf>
    <xf numFmtId="0" fontId="6" fillId="0" borderId="4" xfId="2" applyNumberFormat="1" applyFont="1" applyFill="1" applyBorder="1" applyAlignment="1" applyProtection="1">
      <alignment vertical="center"/>
      <protection locked="0" hidden="1"/>
    </xf>
    <xf numFmtId="0" fontId="6" fillId="0" borderId="4" xfId="2" applyNumberFormat="1" applyFont="1" applyFill="1" applyBorder="1" applyAlignment="1" applyProtection="1">
      <alignment horizontal="left" vertical="center" wrapText="1"/>
      <protection locked="0" hidden="1"/>
    </xf>
    <xf numFmtId="49" fontId="6" fillId="0" borderId="4" xfId="2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4" xfId="0" applyFont="1" applyFill="1" applyBorder="1" applyAlignment="1" applyProtection="1">
      <alignment vertical="center"/>
      <protection locked="0" hidden="1"/>
    </xf>
    <xf numFmtId="0" fontId="7" fillId="0" borderId="3" xfId="2" applyNumberFormat="1" applyFont="1" applyFill="1" applyBorder="1" applyAlignment="1" applyProtection="1">
      <alignment horizontal="center" vertical="center"/>
      <protection locked="0" hidden="1"/>
    </xf>
    <xf numFmtId="0" fontId="6" fillId="0" borderId="3" xfId="2" applyNumberFormat="1" applyFont="1" applyFill="1" applyBorder="1" applyAlignment="1" applyProtection="1">
      <alignment horizontal="center" vertical="center"/>
      <protection locked="0" hidden="1"/>
    </xf>
    <xf numFmtId="0" fontId="6" fillId="0" borderId="3" xfId="2" applyNumberFormat="1" applyFont="1" applyFill="1" applyBorder="1" applyAlignment="1" applyProtection="1">
      <alignment vertical="center"/>
      <protection locked="0" hidden="1"/>
    </xf>
    <xf numFmtId="0" fontId="6" fillId="0" borderId="3" xfId="2" applyNumberFormat="1" applyFont="1" applyFill="1" applyBorder="1" applyAlignment="1" applyProtection="1">
      <alignment horizontal="left" vertical="center" wrapText="1"/>
      <protection locked="0" hidden="1"/>
    </xf>
    <xf numFmtId="49" fontId="6" fillId="0" borderId="3" xfId="2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3" xfId="0" applyFont="1" applyFill="1" applyBorder="1" applyAlignment="1" applyProtection="1">
      <alignment vertical="center"/>
      <protection locked="0" hidden="1"/>
    </xf>
    <xf numFmtId="0" fontId="6" fillId="0" borderId="3" xfId="0" applyFont="1" applyFill="1" applyBorder="1" applyAlignment="1" applyProtection="1">
      <alignment horizontal="left" vertical="center"/>
      <protection locked="0" hidden="1"/>
    </xf>
    <xf numFmtId="0" fontId="6" fillId="0" borderId="3" xfId="2" applyNumberFormat="1" applyFont="1" applyFill="1" applyBorder="1" applyAlignment="1" applyProtection="1">
      <alignment vertical="center" wrapText="1"/>
      <protection locked="0" hidden="1"/>
    </xf>
    <xf numFmtId="0" fontId="6" fillId="0" borderId="3" xfId="2" applyNumberFormat="1" applyFont="1" applyFill="1" applyBorder="1" applyAlignment="1" applyProtection="1">
      <alignment horizontal="center" vertical="center" wrapText="1"/>
      <protection locked="0" hidden="1"/>
    </xf>
    <xf numFmtId="166" fontId="6" fillId="0" borderId="3" xfId="0" applyNumberFormat="1" applyFont="1" applyFill="1" applyBorder="1" applyAlignment="1" applyProtection="1">
      <alignment vertical="center"/>
      <protection locked="0" hidden="1"/>
    </xf>
    <xf numFmtId="0" fontId="8" fillId="5" borderId="6" xfId="2" applyNumberFormat="1" applyFont="1" applyFill="1" applyBorder="1" applyAlignment="1" applyProtection="1">
      <alignment horizontal="left" vertical="top"/>
      <protection locked="0" hidden="1"/>
    </xf>
    <xf numFmtId="14" fontId="5" fillId="0" borderId="3" xfId="2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8" xfId="2" applyNumberFormat="1" applyFont="1" applyFill="1" applyBorder="1" applyAlignment="1" applyProtection="1">
      <alignment horizontal="center" vertical="center" wrapText="1"/>
      <protection locked="0" hidden="1"/>
    </xf>
    <xf numFmtId="14" fontId="10" fillId="0" borderId="8" xfId="2" applyNumberFormat="1" applyFont="1" applyFill="1" applyBorder="1" applyAlignment="1" applyProtection="1">
      <alignment horizontal="left" vertical="center" wrapText="1"/>
      <protection locked="0" hidden="1"/>
    </xf>
    <xf numFmtId="14" fontId="10" fillId="0" borderId="8" xfId="2" applyNumberFormat="1" applyFont="1" applyFill="1" applyBorder="1" applyAlignment="1" applyProtection="1">
      <alignment horizontal="center" vertical="center" wrapText="1"/>
      <protection locked="0" hidden="1"/>
    </xf>
    <xf numFmtId="14" fontId="5" fillId="0" borderId="4" xfId="2" applyNumberFormat="1" applyFont="1" applyFill="1" applyBorder="1" applyAlignment="1" applyProtection="1">
      <alignment horizontal="center" vertical="center" wrapText="1"/>
      <protection locked="0" hidden="1"/>
    </xf>
    <xf numFmtId="0" fontId="9" fillId="8" borderId="8" xfId="2" applyNumberFormat="1" applyFont="1" applyFill="1" applyBorder="1" applyAlignment="1" applyProtection="1">
      <alignment horizontal="left" vertical="top"/>
      <protection locked="0" hidden="1"/>
    </xf>
    <xf numFmtId="0" fontId="9" fillId="8" borderId="8" xfId="2" applyNumberFormat="1" applyFont="1" applyFill="1" applyBorder="1" applyAlignment="1" applyProtection="1">
      <alignment horizontal="left" vertical="top" wrapText="1"/>
      <protection locked="0" hidden="1"/>
    </xf>
    <xf numFmtId="0" fontId="9" fillId="8" borderId="8" xfId="0" applyNumberFormat="1" applyFont="1" applyFill="1" applyBorder="1" applyAlignment="1" applyProtection="1">
      <alignment horizontal="left" vertical="top" wrapText="1"/>
      <protection locked="0" hidden="1"/>
    </xf>
    <xf numFmtId="0" fontId="9" fillId="8" borderId="8" xfId="0" applyNumberFormat="1" applyFont="1" applyFill="1" applyBorder="1" applyAlignment="1" applyProtection="1">
      <alignment horizontal="left" vertical="top"/>
      <protection locked="0" hidden="1"/>
    </xf>
    <xf numFmtId="0" fontId="9" fillId="8" borderId="10" xfId="2" applyNumberFormat="1" applyFont="1" applyFill="1" applyBorder="1" applyAlignment="1" applyProtection="1">
      <alignment horizontal="left" vertical="top"/>
      <protection locked="0" hidden="1"/>
    </xf>
    <xf numFmtId="14" fontId="9" fillId="8" borderId="9" xfId="2" applyNumberFormat="1" applyFont="1" applyFill="1" applyBorder="1" applyAlignment="1" applyProtection="1">
      <alignment horizontal="left" vertical="center"/>
      <protection locked="0" hidden="1"/>
    </xf>
    <xf numFmtId="0" fontId="9" fillId="8" borderId="9" xfId="2" applyNumberFormat="1" applyFont="1" applyFill="1" applyBorder="1" applyAlignment="1" applyProtection="1">
      <alignment horizontal="left" vertical="top"/>
      <protection locked="0" hidden="1"/>
    </xf>
    <xf numFmtId="0" fontId="5" fillId="0" borderId="11" xfId="0" applyNumberFormat="1" applyFont="1" applyFill="1" applyBorder="1" applyAlignment="1">
      <alignment horizontal="center"/>
    </xf>
    <xf numFmtId="0" fontId="5" fillId="0" borderId="11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left"/>
    </xf>
    <xf numFmtId="0" fontId="5" fillId="0" borderId="11" xfId="0" applyNumberFormat="1" applyFont="1" applyFill="1" applyBorder="1" applyAlignment="1">
      <alignment horizontal="left"/>
    </xf>
    <xf numFmtId="0" fontId="5" fillId="0" borderId="11" xfId="0" applyNumberFormat="1" applyFont="1" applyFill="1" applyBorder="1" applyAlignment="1" applyProtection="1">
      <alignment horizontal="center" vertical="center"/>
      <protection locked="0" hidden="1"/>
    </xf>
    <xf numFmtId="164" fontId="5" fillId="0" borderId="11" xfId="0" applyNumberFormat="1" applyFont="1" applyFill="1" applyBorder="1" applyAlignment="1" applyProtection="1">
      <alignment horizontal="center"/>
      <protection locked="0" hidden="1"/>
    </xf>
    <xf numFmtId="0" fontId="5" fillId="0" borderId="11" xfId="0" applyNumberFormat="1" applyFont="1" applyFill="1" applyBorder="1" applyAlignment="1" applyProtection="1">
      <alignment horizontal="center"/>
      <protection locked="0" hidden="1"/>
    </xf>
    <xf numFmtId="0" fontId="5" fillId="0" borderId="11" xfId="0" applyNumberFormat="1" applyFont="1" applyFill="1" applyBorder="1" applyAlignment="1" applyProtection="1">
      <alignment horizontal="left"/>
      <protection locked="0" hidden="1"/>
    </xf>
    <xf numFmtId="0" fontId="11" fillId="0" borderId="8" xfId="2" applyNumberFormat="1" applyFont="1" applyFill="1" applyBorder="1" applyAlignment="1" applyProtection="1">
      <alignment horizontal="center" vertical="center"/>
      <protection locked="0" hidden="1"/>
    </xf>
    <xf numFmtId="0" fontId="3" fillId="9" borderId="7" xfId="2" applyNumberFormat="1" applyFont="1" applyFill="1" applyBorder="1" applyAlignment="1" applyProtection="1">
      <alignment horizontal="left" vertical="top" wrapText="1"/>
      <protection locked="0" hidden="1"/>
    </xf>
    <xf numFmtId="0" fontId="5" fillId="0" borderId="12" xfId="0" applyNumberFormat="1" applyFont="1" applyFill="1" applyBorder="1" applyAlignment="1" applyProtection="1">
      <alignment horizontal="center"/>
      <protection locked="0" hidden="1"/>
    </xf>
    <xf numFmtId="0" fontId="5" fillId="0" borderId="12" xfId="0" applyNumberFormat="1" applyFont="1" applyFill="1" applyBorder="1" applyAlignment="1" applyProtection="1">
      <alignment horizontal="center" vertical="center"/>
      <protection locked="0" hidden="1"/>
    </xf>
    <xf numFmtId="164" fontId="5" fillId="0" borderId="12" xfId="0" applyNumberFormat="1" applyFont="1" applyFill="1" applyBorder="1" applyAlignment="1" applyProtection="1">
      <alignment horizontal="center"/>
      <protection locked="0" hidden="1"/>
    </xf>
    <xf numFmtId="0" fontId="5" fillId="0" borderId="12" xfId="0" applyNumberFormat="1" applyFont="1" applyFill="1" applyBorder="1" applyAlignment="1" applyProtection="1">
      <alignment horizontal="left"/>
      <protection locked="0" hidden="1"/>
    </xf>
    <xf numFmtId="0" fontId="12" fillId="5" borderId="1" xfId="2" applyNumberFormat="1" applyFont="1" applyFill="1" applyBorder="1" applyAlignment="1">
      <alignment horizontal="left" vertical="top"/>
    </xf>
    <xf numFmtId="0" fontId="3" fillId="4" borderId="6" xfId="2" applyNumberFormat="1" applyFont="1" applyFill="1" applyBorder="1" applyAlignment="1" applyProtection="1">
      <alignment horizontal="left" vertical="top" wrapText="1"/>
      <protection locked="0" hidden="1"/>
    </xf>
    <xf numFmtId="0" fontId="12" fillId="4" borderId="1" xfId="2" applyNumberFormat="1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117">
    <dxf>
      <fill>
        <patternFill>
          <bgColor rgb="FF00CC66"/>
        </patternFill>
      </fill>
    </dxf>
    <dxf>
      <fill>
        <patternFill patternType="lightDown">
          <fgColor rgb="FF92D050"/>
          <bgColor auto="1"/>
        </patternFill>
      </fill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166" formatCode="0;;;@"/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l Sans M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B0F0"/>
        </left>
        <right/>
        <top style="thin">
          <color rgb="FF00B0F0"/>
        </top>
        <bottom style="thin">
          <color rgb="FF00B0F0"/>
        </bottom>
      </border>
      <protection locked="0" hidden="1"/>
    </dxf>
    <dxf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protection locked="0" hidden="1"/>
    </dxf>
    <dxf>
      <border>
        <bottom style="medium">
          <color indexed="64"/>
        </bottom>
      </border>
    </dxf>
    <dxf>
      <font>
        <b/>
      </font>
      <alignment horizontal="left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1"/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165" formatCode="0;;;@\ 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164" formatCode="ddd\ 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outline="0">
        <top style="medium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Gill Sans MT"/>
        <scheme val="none"/>
      </font>
      <numFmt numFmtId="0" formatCode="General"/>
      <fill>
        <patternFill patternType="solid">
          <fgColor indexed="64"/>
          <bgColor rgb="FF7030A0"/>
        </patternFill>
      </fill>
      <alignment horizontal="left" vertical="top" textRotation="0" wrapText="1" indent="0" justifyLastLine="0" shrinkToFit="0" readingOrder="0"/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ont>
        <color rgb="FF666633"/>
      </font>
      <fill>
        <gradientFill type="path" left="0.5" right="0.5" top="0.5" bottom="0.5">
          <stop position="0">
            <color theme="0"/>
          </stop>
          <stop position="1">
            <color rgb="FF666633"/>
          </stop>
        </gradientFill>
      </fill>
    </dxf>
    <dxf>
      <font>
        <color theme="0"/>
      </font>
    </dxf>
  </dxfs>
  <tableStyles count="1" defaultTableStyle="TableStyleMedium2" defaultPivotStyle="PivotStyleLight16">
    <tableStyle name="Style de tableau 1" pivot="0" count="0"/>
  </tableStyles>
  <colors>
    <mruColors>
      <color rgb="FFFF6699"/>
      <color rgb="FF0000FF"/>
      <color rgb="FFFFFF00"/>
      <color rgb="FF83FDD4"/>
      <color rgb="FF0033CC"/>
      <color rgb="FFFF66CC"/>
      <color rgb="FFD3715D"/>
      <color rgb="FF3399FF"/>
      <color rgb="FFFF330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289560</xdr:colOff>
      <xdr:row>1</xdr:row>
      <xdr:rowOff>121920</xdr:rowOff>
    </xdr:from>
    <xdr:to>
      <xdr:col>17</xdr:col>
      <xdr:colOff>504600</xdr:colOff>
      <xdr:row>3</xdr:row>
      <xdr:rowOff>121920</xdr:rowOff>
    </xdr:to>
    <xdr:sp macro="[0]!Impress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BEFD76A-DF3B-4FFC-A8CE-B33B09BFCE05}"/>
            </a:ext>
          </a:extLst>
        </xdr:cNvPr>
        <xdr:cNvSpPr/>
      </xdr:nvSpPr>
      <xdr:spPr>
        <a:xfrm>
          <a:off x="5715000" y="411480"/>
          <a:ext cx="1800000" cy="50292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Gill Sans MT" panose="020B0502020104020203" pitchFamily="34" charset="0"/>
            </a:rPr>
            <a:t>Impression</a:t>
          </a:r>
        </a:p>
      </xdr:txBody>
    </xdr:sp>
    <xdr:clientData/>
  </xdr:twoCellAnchor>
  <xdr:twoCellAnchor editAs="absolute">
    <xdr:from>
      <xdr:col>15</xdr:col>
      <xdr:colOff>289560</xdr:colOff>
      <xdr:row>4</xdr:row>
      <xdr:rowOff>91440</xdr:rowOff>
    </xdr:from>
    <xdr:to>
      <xdr:col>17</xdr:col>
      <xdr:colOff>504600</xdr:colOff>
      <xdr:row>6</xdr:row>
      <xdr:rowOff>91440</xdr:rowOff>
    </xdr:to>
    <xdr:sp macro="[0]!Ajout_colonn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200FE74-6FB5-402B-81CB-8876FBC6A985}"/>
            </a:ext>
          </a:extLst>
        </xdr:cNvPr>
        <xdr:cNvSpPr/>
      </xdr:nvSpPr>
      <xdr:spPr>
        <a:xfrm>
          <a:off x="5715000" y="1135380"/>
          <a:ext cx="1800000" cy="50292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Gill Sans MT" panose="020B0502020104020203" pitchFamily="34" charset="0"/>
            </a:rPr>
            <a:t>Ajout  colonne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Poteau" displayName="tblPoteau" ref="A2:AW20" totalsRowShown="0" headerRowDxfId="113" dataDxfId="112" tableBorderDxfId="111" headerRowCellStyle="Normal 3">
  <autoFilter ref="A2:AW20"/>
  <tableColumns count="49">
    <tableColumn id="1" name="Truc" dataDxfId="110"/>
    <tableColumn id="2" name="A" dataDxfId="109"/>
    <tableColumn id="3" name="B" dataDxfId="108"/>
    <tableColumn id="4" name="E" dataDxfId="107">
      <calculatedColumnFormula>VLOOKUP(tblPoteau[[#This Row],[A]],Tableau_basededonnée[],5,0)</calculatedColumnFormula>
    </tableColumn>
    <tableColumn id="5" name="F" dataDxfId="106">
      <calculatedColumnFormula>VLOOKUP(tblPoteau[[#This Row],[A]],Tableau_basededonnée[],6,0)</calculatedColumnFormula>
    </tableColumn>
    <tableColumn id="6" name="G" dataDxfId="105">
      <calculatedColumnFormula>VLOOKUP(tblPoteau[[#This Row],[A]],Tableau_basededonnée[],7,0)</calculatedColumnFormula>
    </tableColumn>
    <tableColumn id="7" name="H" dataDxfId="104">
      <calculatedColumnFormula>VLOOKUP(tblPoteau[[#This Row],[A]],Tableau_basededonnée[],8,0)</calculatedColumnFormula>
    </tableColumn>
    <tableColumn id="8" name="I" dataDxfId="103">
      <calculatedColumnFormula>VLOOKUP(tblPoteau[[#This Row],[A]],Tableau_basededonnée[],9,0)</calculatedColumnFormula>
    </tableColumn>
    <tableColumn id="9" name="J" dataDxfId="102">
      <calculatedColumnFormula>VLOOKUP(tblPoteau[[#This Row],[A]],Tableau_basededonnée[],10,0)</calculatedColumnFormula>
    </tableColumn>
    <tableColumn id="10" name="K" dataDxfId="101"/>
    <tableColumn id="11" name="L" dataDxfId="100">
      <calculatedColumnFormula>VLOOKUP(tblPoteau[[#This Row],[A]],Tableau_basededonnée[],12,0)</calculatedColumnFormula>
    </tableColumn>
    <tableColumn id="12" name="M" dataDxfId="99">
      <calculatedColumnFormula>VLOOKUP(tblPoteau[[#This Row],[A]],Tableau_basededonnée[],13,0)</calculatedColumnFormula>
    </tableColumn>
    <tableColumn id="13" name="N" dataDxfId="98">
      <calculatedColumnFormula>VLOOKUP(tblPoteau[[#This Row],[A]],Tableau_basededonnée[],14,0)</calculatedColumnFormula>
    </tableColumn>
    <tableColumn id="14" name="O" dataDxfId="97">
      <calculatedColumnFormula>VLOOKUP(tblPoteau[[#This Row],[A]],Tableau_basededonnée[],15,0)</calculatedColumnFormula>
    </tableColumn>
    <tableColumn id="15" name="P" dataDxfId="96">
      <calculatedColumnFormula>VLOOKUP(tblPoteau[[#This Row],[A]],Tableau_basededonnée[],16,0)</calculatedColumnFormula>
    </tableColumn>
    <tableColumn id="16" name="Q" dataDxfId="95">
      <calculatedColumnFormula>VLOOKUP(tblPoteau[[#This Row],[A]],Tableau_basededonnée[],17,0)</calculatedColumnFormula>
    </tableColumn>
    <tableColumn id="17" name="R" dataDxfId="94">
      <calculatedColumnFormula>VLOOKUP(tblPoteau[[#This Row],[A]],Tableau_basededonnée[],18,0)</calculatedColumnFormula>
    </tableColumn>
    <tableColumn id="18" name="S" dataDxfId="93">
      <calculatedColumnFormula>VLOOKUP(tblPoteau[[#This Row],[A]],Tableau_basededonnée[],19,0)</calculatedColumnFormula>
    </tableColumn>
    <tableColumn id="19" name="T" dataDxfId="92">
      <calculatedColumnFormula>VLOOKUP(tblPoteau[[#This Row],[A]],Tableau_basededonnée[],20,0)</calculatedColumnFormula>
    </tableColumn>
    <tableColumn id="20" name="U" dataDxfId="91">
      <calculatedColumnFormula>VLOOKUP(tblPoteau[[#This Row],[A]],Tableau_basededonnée[],21,0)</calculatedColumnFormula>
    </tableColumn>
    <tableColumn id="21" name="V" dataDxfId="90"/>
    <tableColumn id="22" name="W" dataDxfId="89">
      <calculatedColumnFormula>VLOOKUP(tblPoteau[[#This Row],[A]],Tableau_basededonnée[],23,0)</calculatedColumnFormula>
    </tableColumn>
    <tableColumn id="23" name="X" dataDxfId="88">
      <calculatedColumnFormula>VLOOKUP(tblPoteau[[#This Row],[A]],Tableau_basededonnée[],24,0)</calculatedColumnFormula>
    </tableColumn>
    <tableColumn id="24" name="Y" dataDxfId="87">
      <calculatedColumnFormula>VLOOKUP(tblPoteau[[#This Row],[A]],Tableau_basededonnée[],25,0)</calculatedColumnFormula>
    </tableColumn>
    <tableColumn id="25" name="Z" dataDxfId="86">
      <calculatedColumnFormula>VLOOKUP(tblPoteau[[#This Row],[A]],Tableau_basededonnée[],26,0)</calculatedColumnFormula>
    </tableColumn>
    <tableColumn id="26" name="AA" dataDxfId="85">
      <calculatedColumnFormula>VLOOKUP(tblPoteau[[#This Row],[A]],Tableau_basededonnée[],27,0)</calculatedColumnFormula>
    </tableColumn>
    <tableColumn id="27" name="AB" dataDxfId="84">
      <calculatedColumnFormula>VLOOKUP(tblPoteau[[#This Row],[A]],Tableau_basededonnée[],28,0)</calculatedColumnFormula>
    </tableColumn>
    <tableColumn id="28" name="AC" dataDxfId="83">
      <calculatedColumnFormula>VLOOKUP(tblPoteau[[#This Row],[A]],Tableau_basededonnée[],29,0)</calculatedColumnFormula>
    </tableColumn>
    <tableColumn id="29" name="AD" dataDxfId="82">
      <calculatedColumnFormula>VLOOKUP(tblPoteau[[#This Row],[A]],Tableau_basededonnée[],30,0)</calculatedColumnFormula>
    </tableColumn>
    <tableColumn id="30" name="AE" dataDxfId="81">
      <calculatedColumnFormula>VLOOKUP(tblPoteau[[#This Row],[A]],Tableau_basededonnée[],31,0)</calculatedColumnFormula>
    </tableColumn>
    <tableColumn id="31" name="AF" dataDxfId="80">
      <calculatedColumnFormula>VLOOKUP(tblPoteau[[#This Row],[A]],Tableau_basededonnée[],32,0)</calculatedColumnFormula>
    </tableColumn>
    <tableColumn id="32" name="AG" dataDxfId="79">
      <calculatedColumnFormula>VLOOKUP(tblPoteau[[#This Row],[A]],Tableau_basededonnée[],33,0)</calculatedColumnFormula>
    </tableColumn>
    <tableColumn id="33" name="AH" dataDxfId="78">
      <calculatedColumnFormula>VLOOKUP(tblPoteau[[#This Row],[A]],Tableau_basededonnée[],34,0)</calculatedColumnFormula>
    </tableColumn>
    <tableColumn id="34" name="AI" dataDxfId="77">
      <calculatedColumnFormula>VLOOKUP(tblPoteau[[#This Row],[A]],Tableau_basededonnée[],35,0)</calculatedColumnFormula>
    </tableColumn>
    <tableColumn id="35" name="AJ" dataDxfId="76">
      <calculatedColumnFormula>VLOOKUP(tblPoteau[[#This Row],[A]],Tableau_basededonnée[],36,0)</calculatedColumnFormula>
    </tableColumn>
    <tableColumn id="36" name="AK" dataDxfId="75">
      <calculatedColumnFormula>VLOOKUP(tblPoteau[[#This Row],[A]],Tableau_basededonnée[],37,0)</calculatedColumnFormula>
    </tableColumn>
    <tableColumn id="37" name="AL" dataDxfId="74">
      <calculatedColumnFormula>VLOOKUP(tblPoteau[[#This Row],[A]],Tableau_basededonnée[],38,0)</calculatedColumnFormula>
    </tableColumn>
    <tableColumn id="38" name="AM" dataDxfId="73">
      <calculatedColumnFormula>VLOOKUP(tblPoteau[[#This Row],[A]],Tableau_basededonnée[],39,0)</calculatedColumnFormula>
    </tableColumn>
    <tableColumn id="39" name="AN" dataDxfId="72">
      <calculatedColumnFormula>VLOOKUP(tblPoteau[[#This Row],[A]],Tableau_basededonnée[],40,0)</calculatedColumnFormula>
    </tableColumn>
    <tableColumn id="40" name="AO" dataDxfId="71">
      <calculatedColumnFormula>VLOOKUP(tblPoteau[[#This Row],[A]],Tableau_basededonnée[],41,0)</calculatedColumnFormula>
    </tableColumn>
    <tableColumn id="41" name="AP" dataDxfId="70">
      <calculatedColumnFormula>VLOOKUP(tblPoteau[[#This Row],[A]],Tableau_basededonnée[],42,0)</calculatedColumnFormula>
    </tableColumn>
    <tableColumn id="42" name="AQ" dataDxfId="69">
      <calculatedColumnFormula>VLOOKUP(tblPoteau[[#This Row],[A]],Tableau_basededonnée[],43,0)</calculatedColumnFormula>
    </tableColumn>
    <tableColumn id="43" name="AR" dataDxfId="68">
      <calculatedColumnFormula>VLOOKUP(tblPoteau[[#This Row],[A]],Tableau_basededonnée[],44,0)</calculatedColumnFormula>
    </tableColumn>
    <tableColumn id="44" name="AS" dataDxfId="67">
      <calculatedColumnFormula>VLOOKUP(tblPoteau[[#This Row],[A]],Tableau_basededonnée[],45,0)</calculatedColumnFormula>
    </tableColumn>
    <tableColumn id="45" name="AT" dataDxfId="66">
      <calculatedColumnFormula>VLOOKUP(tblPoteau[[#This Row],[A]],Tableau_basededonnée[],46,0)</calculatedColumnFormula>
    </tableColumn>
    <tableColumn id="46" name="AU" dataDxfId="65">
      <calculatedColumnFormula>VLOOKUP(tblPoteau[[#This Row],[A]],Tableau_basededonnée[],47,0)</calculatedColumnFormula>
    </tableColumn>
    <tableColumn id="47" name="AV" dataDxfId="64">
      <calculatedColumnFormula>VLOOKUP(tblPoteau[[#This Row],[A]],Tableau_basededonnée[],48,0)</calculatedColumnFormula>
    </tableColumn>
    <tableColumn id="48" name="AW" dataDxfId="63">
      <calculatedColumnFormula>VLOOKUP(tblPoteau[[#This Row],[A]],Tableau_basededonnée[],49,0)</calculatedColumnFormula>
    </tableColumn>
    <tableColumn id="49" name="AX" dataDxfId="6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_basededonnée" displayName="Tableau_basededonnée" ref="A1:AX7" totalsRowShown="0" headerRowDxfId="55" dataDxfId="53" headerRowBorderDxfId="54" tableBorderDxfId="52">
  <autoFilter ref="A1:AX7"/>
  <sortState ref="A2:AX7">
    <sortCondition ref="A1:A7"/>
  </sortState>
  <tableColumns count="50">
    <tableColumn id="1" name="A" dataDxfId="51" dataCellStyle="Normal 3"/>
    <tableColumn id="2" name="B" dataDxfId="50" dataCellStyle="Normal 3">
      <calculatedColumnFormula>_xlfn.AGGREGATE(14,6,(Poteau!$C$3:$C$20/(Poteau!$B$3:$B$20=A2)),1)*1</calculatedColumnFormula>
    </tableColumn>
    <tableColumn id="49" name="C" dataDxfId="49" dataCellStyle="Normal 3">
      <calculatedColumnFormula>PROPER(TEXT(B2,"mmmm"))</calculatedColumnFormula>
    </tableColumn>
    <tableColumn id="50" name="D" dataDxfId="48" dataCellStyle="Normal 3">
      <calculatedColumnFormula>YEAR(Tableau_basededonnée[[#This Row],[B]])</calculatedColumnFormula>
    </tableColumn>
    <tableColumn id="3" name="E" dataDxfId="47" dataCellStyle="Normal 3"/>
    <tableColumn id="4" name="F" dataDxfId="46" dataCellStyle="Normal 3"/>
    <tableColumn id="5" name="G" dataDxfId="45" dataCellStyle="Normal 3"/>
    <tableColumn id="6" name="H" dataDxfId="44"/>
    <tableColumn id="7" name="I" dataDxfId="43"/>
    <tableColumn id="8" name="J" dataDxfId="42" dataCellStyle="Normal 3"/>
    <tableColumn id="9" name="K" dataDxfId="41">
      <calculatedColumnFormula array="1">INDEX(tblPoteau[K],SUMPRODUCT((tblPoteau[A]=Tableau_basededonnée[[#This Row],[A]])*(tblPoteau[B]=MAX(IF(tblPoteau[A]=Tableau_basededonnée[[#This Row],[A]],tblPoteau[B])))*(ROW(tblPoteau[A])-2)))</calculatedColumnFormula>
    </tableColumn>
    <tableColumn id="10" name="L" dataDxfId="40"/>
    <tableColumn id="11" name="M" dataDxfId="39"/>
    <tableColumn id="12" name="N" dataDxfId="38"/>
    <tableColumn id="13" name="O" dataDxfId="37"/>
    <tableColumn id="14" name="P" dataDxfId="36"/>
    <tableColumn id="15" name="Q" dataDxfId="35"/>
    <tableColumn id="16" name="R" dataDxfId="34"/>
    <tableColumn id="17" name="S" dataDxfId="33"/>
    <tableColumn id="18" name="T" dataDxfId="32"/>
    <tableColumn id="19" name="U" dataDxfId="31"/>
    <tableColumn id="20" name="V" dataDxfId="30">
      <calculatedColumnFormula array="1">INDEX(tblPoteau[V],SUMPRODUCT((tblPoteau[A]=Tableau_basededonnée[[#This Row],[A]])*(tblPoteau[B]=MAX(IF(tblPoteau[A]=Tableau_basededonnée[[#This Row],[A]],tblPoteau[B])))*(ROW(tblPoteau[A])-2)))</calculatedColumnFormula>
    </tableColumn>
    <tableColumn id="21" name="W" dataDxfId="29"/>
    <tableColumn id="22" name="X" dataDxfId="28"/>
    <tableColumn id="23" name="Y" dataDxfId="27"/>
    <tableColumn id="24" name="Z" dataDxfId="26"/>
    <tableColumn id="25" name="AA" dataDxfId="25"/>
    <tableColumn id="26" name="AB" dataDxfId="24"/>
    <tableColumn id="27" name="AC" dataDxfId="23"/>
    <tableColumn id="28" name="AD" dataDxfId="22"/>
    <tableColumn id="29" name="AE" dataDxfId="21"/>
    <tableColumn id="30" name="AF" dataDxfId="20"/>
    <tableColumn id="31" name="AG" dataDxfId="19"/>
    <tableColumn id="32" name="AH" dataDxfId="18"/>
    <tableColumn id="33" name="AI" dataDxfId="17"/>
    <tableColumn id="34" name="AJ" dataDxfId="16"/>
    <tableColumn id="35" name="AK" dataDxfId="15"/>
    <tableColumn id="36" name="AL" dataDxfId="14"/>
    <tableColumn id="37" name="AM" dataDxfId="13"/>
    <tableColumn id="38" name="AN" dataDxfId="12"/>
    <tableColumn id="39" name="AO" dataDxfId="11"/>
    <tableColumn id="40" name="AP" dataDxfId="10"/>
    <tableColumn id="41" name="AQ" dataDxfId="9"/>
    <tableColumn id="42" name="AR" dataDxfId="8"/>
    <tableColumn id="43" name="AS" dataDxfId="7"/>
    <tableColumn id="44" name="AT" dataDxfId="6"/>
    <tableColumn id="45" name="AU" dataDxfId="5"/>
    <tableColumn id="46" name="AV" dataDxfId="4"/>
    <tableColumn id="47" name="AW" dataDxfId="3"/>
    <tableColumn id="48" name="AX" dataDxfId="2">
      <calculatedColumnFormula array="1">INDEX(tblPoteau[AX],SUMPRODUCT((tblPoteau[A]=Tableau_basededonnée[[#This Row],[A]])*(tblPoteau[B]=MAX(IF(tblPoteau[A]=Tableau_basededonnée[[#This Row],[A]],tblPoteau[B])))*(ROW(tblPoteau[A])-2)))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W20"/>
  <sheetViews>
    <sheetView showGridLines="0" zoomScaleNormal="100" zoomScalePageLayoutView="50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G27" sqref="G27"/>
    </sheetView>
  </sheetViews>
  <sheetFormatPr baseColWidth="10" defaultColWidth="11.5703125" defaultRowHeight="9" customHeight="1"/>
  <cols>
    <col min="1" max="1" width="7" customWidth="1"/>
    <col min="2" max="2" width="5.85546875" customWidth="1"/>
    <col min="3" max="3" width="9.7109375" customWidth="1"/>
    <col min="4" max="4" width="7.42578125" customWidth="1"/>
    <col min="5" max="5" width="7.85546875" customWidth="1"/>
    <col min="6" max="6" width="13" bestFit="1" customWidth="1"/>
    <col min="7" max="7" width="19.140625" bestFit="1" customWidth="1"/>
    <col min="8" max="8" width="9.42578125" bestFit="1" customWidth="1"/>
    <col min="9" max="9" width="7.85546875" customWidth="1"/>
    <col min="10" max="10" width="9" bestFit="1" customWidth="1"/>
    <col min="11" max="11" width="10.5703125" customWidth="1"/>
    <col min="12" max="12" width="11" customWidth="1"/>
    <col min="13" max="13" width="8.140625" customWidth="1"/>
    <col min="14" max="14" width="8.5703125" customWidth="1"/>
    <col min="15" max="15" width="7" customWidth="1"/>
    <col min="16" max="16" width="6.7109375" customWidth="1"/>
    <col min="17" max="17" width="7" customWidth="1"/>
    <col min="18" max="18" width="10.42578125" customWidth="1"/>
    <col min="19" max="19" width="6" customWidth="1"/>
    <col min="20" max="20" width="7.28515625" customWidth="1"/>
    <col min="21" max="21" width="11.5703125" customWidth="1"/>
    <col min="22" max="30" width="10.7109375" customWidth="1"/>
    <col min="31" max="31" width="12.5703125" bestFit="1" customWidth="1"/>
    <col min="32" max="34" width="10.7109375" customWidth="1"/>
    <col min="35" max="42" width="8.7109375" customWidth="1"/>
    <col min="43" max="43" width="10.85546875" customWidth="1"/>
    <col min="44" max="46" width="8.7109375" customWidth="1"/>
    <col min="47" max="47" width="9.5703125" customWidth="1"/>
    <col min="48" max="48" width="10.140625" bestFit="1" customWidth="1"/>
    <col min="49" max="49" width="53.140625" bestFit="1" customWidth="1"/>
  </cols>
  <sheetData>
    <row r="1" spans="1:49" ht="10.15" customHeight="1" thickBot="1"/>
    <row r="2" spans="1:49" ht="59.45" customHeight="1" thickTop="1">
      <c r="A2" s="59" t="s">
        <v>32</v>
      </c>
      <c r="B2" s="3" t="s">
        <v>23</v>
      </c>
      <c r="C2" s="30" t="s">
        <v>24</v>
      </c>
      <c r="D2" s="4" t="s">
        <v>27</v>
      </c>
      <c r="E2" s="5" t="s">
        <v>31</v>
      </c>
      <c r="F2" s="6" t="s">
        <v>28</v>
      </c>
      <c r="G2" s="6" t="s">
        <v>29</v>
      </c>
      <c r="H2" s="7" t="s">
        <v>9</v>
      </c>
      <c r="I2" s="4" t="s">
        <v>30</v>
      </c>
      <c r="J2" s="59" t="s">
        <v>33</v>
      </c>
      <c r="K2" s="60" t="s">
        <v>34</v>
      </c>
      <c r="L2" s="60" t="s">
        <v>35</v>
      </c>
      <c r="M2" s="60" t="s">
        <v>36</v>
      </c>
      <c r="N2" s="60" t="s">
        <v>37</v>
      </c>
      <c r="O2" s="60" t="s">
        <v>38</v>
      </c>
      <c r="P2" s="60" t="s">
        <v>39</v>
      </c>
      <c r="Q2" s="60" t="s">
        <v>40</v>
      </c>
      <c r="R2" s="60" t="s">
        <v>41</v>
      </c>
      <c r="S2" s="60" t="s">
        <v>42</v>
      </c>
      <c r="T2" s="60" t="s">
        <v>43</v>
      </c>
      <c r="U2" s="61" t="s">
        <v>44</v>
      </c>
      <c r="V2" s="10" t="s">
        <v>45</v>
      </c>
      <c r="W2" s="10" t="s">
        <v>46</v>
      </c>
      <c r="X2" s="10" t="s">
        <v>47</v>
      </c>
      <c r="Y2" s="10" t="s">
        <v>48</v>
      </c>
      <c r="Z2" s="10" t="s">
        <v>49</v>
      </c>
      <c r="AA2" s="10" t="s">
        <v>50</v>
      </c>
      <c r="AB2" s="10" t="s">
        <v>51</v>
      </c>
      <c r="AC2" s="10" t="s">
        <v>52</v>
      </c>
      <c r="AD2" s="10" t="s">
        <v>53</v>
      </c>
      <c r="AE2" s="11" t="s">
        <v>54</v>
      </c>
      <c r="AF2" s="12" t="s">
        <v>55</v>
      </c>
      <c r="AG2" s="11" t="s">
        <v>56</v>
      </c>
      <c r="AH2" s="11" t="s">
        <v>57</v>
      </c>
      <c r="AI2" s="11" t="s">
        <v>58</v>
      </c>
      <c r="AJ2" s="11" t="s">
        <v>59</v>
      </c>
      <c r="AK2" s="11" t="s">
        <v>60</v>
      </c>
      <c r="AL2" s="11" t="s">
        <v>61</v>
      </c>
      <c r="AM2" s="11" t="s">
        <v>62</v>
      </c>
      <c r="AN2" s="13" t="s">
        <v>63</v>
      </c>
      <c r="AO2" s="13" t="s">
        <v>64</v>
      </c>
      <c r="AP2" s="13" t="s">
        <v>65</v>
      </c>
      <c r="AQ2" s="11" t="s">
        <v>72</v>
      </c>
      <c r="AR2" s="12" t="s">
        <v>66</v>
      </c>
      <c r="AS2" s="11" t="s">
        <v>67</v>
      </c>
      <c r="AT2" s="11" t="s">
        <v>68</v>
      </c>
      <c r="AU2" s="11" t="s">
        <v>69</v>
      </c>
      <c r="AV2" s="11" t="s">
        <v>70</v>
      </c>
      <c r="AW2" s="54" t="s">
        <v>71</v>
      </c>
    </row>
    <row r="3" spans="1:49" ht="9" customHeight="1">
      <c r="A3" s="43" t="s">
        <v>7</v>
      </c>
      <c r="B3" s="44">
        <v>310</v>
      </c>
      <c r="C3" s="45">
        <v>42751</v>
      </c>
      <c r="D3" s="46">
        <f>VLOOKUP(tblPoteau[[#This Row],[A]],Tableau_basededonnée[],5,0)</f>
        <v>900</v>
      </c>
      <c r="E3" s="46" t="str">
        <f>VLOOKUP(tblPoteau[[#This Row],[A]],Tableau_basededonnée[],6,0)</f>
        <v>FLEURS</v>
      </c>
      <c r="F3" s="47" t="str">
        <f>VLOOKUP(tblPoteau[[#This Row],[A]],Tableau_basededonnée[],7,0)</f>
        <v>CERISE</v>
      </c>
      <c r="G3" s="47" t="str">
        <f>VLOOKUP(tblPoteau[[#This Row],[A]],Tableau_basededonnée[],8,0)</f>
        <v>LAVANDE</v>
      </c>
      <c r="H3" s="46">
        <f>VLOOKUP(tblPoteau[[#This Row],[A]],Tableau_basededonnée[],9,0)</f>
        <v>1</v>
      </c>
      <c r="I3" s="46">
        <f>VLOOKUP(tblPoteau[[#This Row],[A]],Tableau_basededonnée[],10,0)</f>
        <v>10</v>
      </c>
      <c r="J3" s="47" t="s">
        <v>5</v>
      </c>
      <c r="K3" s="47">
        <f>VLOOKUP(tblPoteau[[#This Row],[A]],Tableau_basededonnée[],12,0)</f>
        <v>4</v>
      </c>
      <c r="L3" s="47" t="str">
        <f>VLOOKUP(tblPoteau[[#This Row],[A]],Tableau_basededonnée[],13,0)</f>
        <v>POTEAU</v>
      </c>
      <c r="M3" s="47" t="str">
        <f>VLOOKUP(tblPoteau[[#This Row],[A]],Tableau_basededonnée[],14,0)</f>
        <v>FIL</v>
      </c>
      <c r="N3" s="47" t="str">
        <f>VLOOKUP(tblPoteau[[#This Row],[A]],Tableau_basededonnée[],15,0)</f>
        <v xml:space="preserve">Bonne(s) </v>
      </c>
      <c r="O3" s="47" t="str">
        <f>VLOOKUP(tblPoteau[[#This Row],[A]],Tableau_basededonnée[],16,0)</f>
        <v>Bonne</v>
      </c>
      <c r="P3" s="47" t="str">
        <f>VLOOKUP(tblPoteau[[#This Row],[A]],Tableau_basededonnée[],17,0)</f>
        <v>Moyenne(s)</v>
      </c>
      <c r="Q3" s="47" t="str">
        <f>VLOOKUP(tblPoteau[[#This Row],[A]],Tableau_basededonnée[],18,0)</f>
        <v>Bon</v>
      </c>
      <c r="R3" s="47" t="str">
        <f>VLOOKUP(tblPoteau[[#This Row],[A]],Tableau_basededonnée[],19,0)</f>
        <v>Moyenne(s)</v>
      </c>
      <c r="S3" s="47" t="str">
        <f>VLOOKUP(tblPoteau[[#This Row],[A]],Tableau_basededonnée[],20,0)</f>
        <v>Bon</v>
      </c>
      <c r="T3" s="47" t="str">
        <f>VLOOKUP(tblPoteau[[#This Row],[A]],Tableau_basededonnée[],21,0)</f>
        <v>Bonne(s)</v>
      </c>
      <c r="U3" s="47" t="s">
        <v>1</v>
      </c>
      <c r="V3" s="47" t="str">
        <f>VLOOKUP(tblPoteau[[#This Row],[A]],Tableau_basededonnée[],23,0)</f>
        <v xml:space="preserve">Bonne(s) </v>
      </c>
      <c r="W3" s="47" t="str">
        <f>VLOOKUP(tblPoteau[[#This Row],[A]],Tableau_basededonnée[],24,0)</f>
        <v>Moyen</v>
      </c>
      <c r="X3" s="47" t="str">
        <f>VLOOKUP(tblPoteau[[#This Row],[A]],Tableau_basededonnée[],25,0)</f>
        <v>Bonne(s)</v>
      </c>
      <c r="Y3" s="47" t="str">
        <f>VLOOKUP(tblPoteau[[#This Row],[A]],Tableau_basededonnée[],26,0)</f>
        <v>Bonne(s)</v>
      </c>
      <c r="Z3" s="47" t="str">
        <f>VLOOKUP(tblPoteau[[#This Row],[A]],Tableau_basededonnée[],27,0)</f>
        <v>Acier / Pvc</v>
      </c>
      <c r="AA3" s="47" t="str">
        <f>VLOOKUP(tblPoteau[[#This Row],[A]],Tableau_basededonnée[],28,0)</f>
        <v>Moyenne(s)</v>
      </c>
      <c r="AB3" s="47" t="str">
        <f>VLOOKUP(tblPoteau[[#This Row],[A]],Tableau_basededonnée[],29,0)</f>
        <v>Moyenne(s)</v>
      </c>
      <c r="AC3" s="47" t="str">
        <f>VLOOKUP(tblPoteau[[#This Row],[A]],Tableau_basededonnée[],30,0)</f>
        <v>Bon</v>
      </c>
      <c r="AD3" s="46" t="str">
        <f>VLOOKUP(tblPoteau[[#This Row],[A]],Tableau_basededonnée[],31,0)</f>
        <v>Oui</v>
      </c>
      <c r="AE3" s="47" t="str">
        <f>VLOOKUP(tblPoteau[[#This Row],[A]],Tableau_basededonnée[],32,0)</f>
        <v>BOBINE</v>
      </c>
      <c r="AF3" s="47">
        <f>VLOOKUP(tblPoteau[[#This Row],[A]],Tableau_basededonnée[],33,0)</f>
        <v>12</v>
      </c>
      <c r="AG3" s="47">
        <f>VLOOKUP(tblPoteau[[#This Row],[A]],Tableau_basededonnée[],34,0)</f>
        <v>21</v>
      </c>
      <c r="AH3" s="47">
        <f>VLOOKUP(tblPoteau[[#This Row],[A]],Tableau_basededonnée[],35,0)</f>
        <v>47</v>
      </c>
      <c r="AI3" s="46" t="str">
        <f>VLOOKUP(tblPoteau[[#This Row],[A]],Tableau_basededonnée[],36,0)</f>
        <v>Non</v>
      </c>
      <c r="AJ3" s="47" t="str">
        <f>VLOOKUP(tblPoteau[[#This Row],[A]],Tableau_basededonnée[],37,0)</f>
        <v>SANS</v>
      </c>
      <c r="AK3" s="47" t="str">
        <f>VLOOKUP(tblPoteau[[#This Row],[A]],Tableau_basededonnée[],38,0)</f>
        <v>Moyenne(s)</v>
      </c>
      <c r="AL3" s="47" t="str">
        <f>VLOOKUP(tblPoteau[[#This Row],[A]],Tableau_basededonnée[],39,0)</f>
        <v>Mauvaise(s)</v>
      </c>
      <c r="AM3" s="47" t="str">
        <f>VLOOKUP(tblPoteau[[#This Row],[A]],Tableau_basededonnée[],40,0)</f>
        <v>Oui</v>
      </c>
      <c r="AN3" s="47" t="str">
        <f>VLOOKUP(tblPoteau[[#This Row],[A]],Tableau_basededonnée[],41,0)</f>
        <v>Oui</v>
      </c>
      <c r="AO3" s="47" t="str">
        <f>VLOOKUP(tblPoteau[[#This Row],[A]],Tableau_basededonnée[],42,0)</f>
        <v>Sans objet</v>
      </c>
      <c r="AP3" s="47" t="str">
        <f>VLOOKUP(tblPoteau[[#This Row],[A]],Tableau_basededonnée[],43,0)</f>
        <v>Sans objet</v>
      </c>
      <c r="AQ3" s="47" t="str">
        <f>VLOOKUP(tblPoteau[[#This Row],[A]],Tableau_basededonnée[],44,0)</f>
        <v>Non</v>
      </c>
      <c r="AR3" s="47" t="str">
        <f>VLOOKUP(tblPoteau[[#This Row],[A]],Tableau_basededonnée[],45,0)</f>
        <v>Non</v>
      </c>
      <c r="AS3" s="47" t="str">
        <f>VLOOKUP(tblPoteau[[#This Row],[A]],Tableau_basededonnée[],46,0)</f>
        <v>Bon</v>
      </c>
      <c r="AT3" s="47" t="str">
        <f>VLOOKUP(tblPoteau[[#This Row],[A]],Tableau_basededonnée[],47,0)</f>
        <v>Oui (NS)</v>
      </c>
      <c r="AU3" s="47" t="str">
        <f>VLOOKUP(tblPoteau[[#This Row],[A]],Tableau_basededonnée[],48,0)</f>
        <v>RIEN</v>
      </c>
      <c r="AV3" s="47" t="str">
        <f>VLOOKUP(tblPoteau[[#This Row],[A]],Tableau_basededonnée[],49,0)</f>
        <v>OUI</v>
      </c>
      <c r="AW3" s="1"/>
    </row>
    <row r="4" spans="1:49" ht="9" customHeight="1">
      <c r="A4" s="43" t="s">
        <v>7</v>
      </c>
      <c r="B4" s="44">
        <v>320</v>
      </c>
      <c r="C4" s="45">
        <v>42025</v>
      </c>
      <c r="D4" s="46">
        <f>VLOOKUP(tblPoteau[[#This Row],[A]],Tableau_basededonnée[],5,0)</f>
        <v>900</v>
      </c>
      <c r="E4" s="46" t="str">
        <f>VLOOKUP(tblPoteau[[#This Row],[A]],Tableau_basededonnée[],6,0)</f>
        <v>ARBRE</v>
      </c>
      <c r="F4" s="47" t="str">
        <f>VLOOKUP(tblPoteau[[#This Row],[A]],Tableau_basededonnée[],7,0)</f>
        <v>PECHE</v>
      </c>
      <c r="G4" s="47" t="str">
        <f>VLOOKUP(tblPoteau[[#This Row],[A]],Tableau_basededonnée[],8,0)</f>
        <v>MUGUET</v>
      </c>
      <c r="H4" s="46">
        <f>VLOOKUP(tblPoteau[[#This Row],[A]],Tableau_basededonnée[],9,0)</f>
        <v>1</v>
      </c>
      <c r="I4" s="46">
        <f>VLOOKUP(tblPoteau[[#This Row],[A]],Tableau_basededonnée[],10,0)</f>
        <v>100</v>
      </c>
      <c r="J4" s="47" t="s">
        <v>5</v>
      </c>
      <c r="K4" s="47">
        <f>VLOOKUP(tblPoteau[[#This Row],[A]],Tableau_basededonnée[],12,0)</f>
        <v>4</v>
      </c>
      <c r="L4" s="47" t="str">
        <f>VLOOKUP(tblPoteau[[#This Row],[A]],Tableau_basededonnée[],13,0)</f>
        <v>POTEAU</v>
      </c>
      <c r="M4" s="47" t="str">
        <f>VLOOKUP(tblPoteau[[#This Row],[A]],Tableau_basededonnée[],14,0)</f>
        <v>FIL</v>
      </c>
      <c r="N4" s="47" t="str">
        <f>VLOOKUP(tblPoteau[[#This Row],[A]],Tableau_basededonnée[],15,0)</f>
        <v>Moyenne(s)</v>
      </c>
      <c r="O4" s="47" t="str">
        <f>VLOOKUP(tblPoteau[[#This Row],[A]],Tableau_basededonnée[],16,0)</f>
        <v>Sans</v>
      </c>
      <c r="P4" s="47" t="str">
        <f>VLOOKUP(tblPoteau[[#This Row],[A]],Tableau_basededonnée[],17,0)</f>
        <v>Moyenne(s)</v>
      </c>
      <c r="Q4" s="47" t="str">
        <f>VLOOKUP(tblPoteau[[#This Row],[A]],Tableau_basededonnée[],18,0)</f>
        <v>Bon</v>
      </c>
      <c r="R4" s="47" t="str">
        <f>VLOOKUP(tblPoteau[[#This Row],[A]],Tableau_basededonnée[],19,0)</f>
        <v xml:space="preserve">Bonne(s) </v>
      </c>
      <c r="S4" s="47" t="str">
        <f>VLOOKUP(tblPoteau[[#This Row],[A]],Tableau_basededonnée[],20,0)</f>
        <v>Moyen</v>
      </c>
      <c r="T4" s="47" t="str">
        <f>VLOOKUP(tblPoteau[[#This Row],[A]],Tableau_basededonnée[],21,0)</f>
        <v>Bonne(s)</v>
      </c>
      <c r="U4" s="47" t="s">
        <v>1</v>
      </c>
      <c r="V4" s="47" t="str">
        <f>VLOOKUP(tblPoteau[[#This Row],[A]],Tableau_basededonnée[],23,0)</f>
        <v>Bonne(s)</v>
      </c>
      <c r="W4" s="47" t="str">
        <f>VLOOKUP(tblPoteau[[#This Row],[A]],Tableau_basededonnée[],24,0)</f>
        <v>Bon</v>
      </c>
      <c r="X4" s="47" t="str">
        <f>VLOOKUP(tblPoteau[[#This Row],[A]],Tableau_basededonnée[],25,0)</f>
        <v>Bonne(s)</v>
      </c>
      <c r="Y4" s="47" t="str">
        <f>VLOOKUP(tblPoteau[[#This Row],[A]],Tableau_basededonnée[],26,0)</f>
        <v>Bonne(s)</v>
      </c>
      <c r="Z4" s="47" t="str">
        <f>VLOOKUP(tblPoteau[[#This Row],[A]],Tableau_basededonnée[],27,0)</f>
        <v>Acier</v>
      </c>
      <c r="AA4" s="47" t="str">
        <f>VLOOKUP(tblPoteau[[#This Row],[A]],Tableau_basededonnée[],28,0)</f>
        <v>Moyenne(s)</v>
      </c>
      <c r="AB4" s="47" t="str">
        <f>VLOOKUP(tblPoteau[[#This Row],[A]],Tableau_basededonnée[],29,0)</f>
        <v>Moyenne(s)</v>
      </c>
      <c r="AC4" s="47" t="str">
        <f>VLOOKUP(tblPoteau[[#This Row],[A]],Tableau_basededonnée[],30,0)</f>
        <v>Bon</v>
      </c>
      <c r="AD4" s="46" t="str">
        <f>VLOOKUP(tblPoteau[[#This Row],[A]],Tableau_basededonnée[],31,0)</f>
        <v>Oui</v>
      </c>
      <c r="AE4" s="47" t="str">
        <f>VLOOKUP(tblPoteau[[#This Row],[A]],Tableau_basededonnée[],32,0)</f>
        <v>En état</v>
      </c>
      <c r="AF4" s="47">
        <f>VLOOKUP(tblPoteau[[#This Row],[A]],Tableau_basededonnée[],33,0)</f>
        <v>16</v>
      </c>
      <c r="AG4" s="47">
        <f>VLOOKUP(tblPoteau[[#This Row],[A]],Tableau_basededonnée[],34,0)</f>
        <v>25</v>
      </c>
      <c r="AH4" s="47">
        <f>VLOOKUP(tblPoteau[[#This Row],[A]],Tableau_basededonnée[],35,0)</f>
        <v>55</v>
      </c>
      <c r="AI4" s="46" t="str">
        <f>VLOOKUP(tblPoteau[[#This Row],[A]],Tableau_basededonnée[],36,0)</f>
        <v>Non</v>
      </c>
      <c r="AJ4" s="47" t="str">
        <f>VLOOKUP(tblPoteau[[#This Row],[A]],Tableau_basededonnée[],37,0)</f>
        <v>SANS</v>
      </c>
      <c r="AK4" s="47" t="str">
        <f>VLOOKUP(tblPoteau[[#This Row],[A]],Tableau_basededonnée[],38,0)</f>
        <v>Moyenne(s)</v>
      </c>
      <c r="AL4" s="47" t="str">
        <f>VLOOKUP(tblPoteau[[#This Row],[A]],Tableau_basededonnée[],39,0)</f>
        <v>Mauvaise(s)</v>
      </c>
      <c r="AM4" s="47" t="str">
        <f>VLOOKUP(tblPoteau[[#This Row],[A]],Tableau_basededonnée[],40,0)</f>
        <v>Oui</v>
      </c>
      <c r="AN4" s="47" t="str">
        <f>VLOOKUP(tblPoteau[[#This Row],[A]],Tableau_basededonnée[],41,0)</f>
        <v>Oui</v>
      </c>
      <c r="AO4" s="47" t="str">
        <f>VLOOKUP(tblPoteau[[#This Row],[A]],Tableau_basededonnée[],42,0)</f>
        <v>Oui</v>
      </c>
      <c r="AP4" s="47" t="str">
        <f>VLOOKUP(tblPoteau[[#This Row],[A]],Tableau_basededonnée[],43,0)</f>
        <v>Oui</v>
      </c>
      <c r="AQ4" s="47" t="str">
        <f>VLOOKUP(tblPoteau[[#This Row],[A]],Tableau_basededonnée[],44,0)</f>
        <v>Non</v>
      </c>
      <c r="AR4" s="47" t="str">
        <f>VLOOKUP(tblPoteau[[#This Row],[A]],Tableau_basededonnée[],45,0)</f>
        <v>Non</v>
      </c>
      <c r="AS4" s="47" t="str">
        <f>VLOOKUP(tblPoteau[[#This Row],[A]],Tableau_basededonnée[],46,0)</f>
        <v>Bon</v>
      </c>
      <c r="AT4" s="47" t="str">
        <f>VLOOKUP(tblPoteau[[#This Row],[A]],Tableau_basededonnée[],47,0)</f>
        <v>Non</v>
      </c>
      <c r="AU4" s="47" t="str">
        <f>VLOOKUP(tblPoteau[[#This Row],[A]],Tableau_basededonnée[],48,0)</f>
        <v>RIEN</v>
      </c>
      <c r="AV4" s="47" t="str">
        <f>VLOOKUP(tblPoteau[[#This Row],[A]],Tableau_basededonnée[],49,0)</f>
        <v>SANS</v>
      </c>
      <c r="AW4" s="1" t="s">
        <v>13</v>
      </c>
    </row>
    <row r="5" spans="1:49" ht="9" customHeight="1">
      <c r="A5" s="43" t="s">
        <v>7</v>
      </c>
      <c r="B5" s="44">
        <v>312</v>
      </c>
      <c r="C5" s="45">
        <v>42779</v>
      </c>
      <c r="D5" s="46">
        <f>VLOOKUP(tblPoteau[[#This Row],[A]],Tableau_basededonnée[],5,0)</f>
        <v>900</v>
      </c>
      <c r="E5" s="46" t="str">
        <f>VLOOKUP(tblPoteau[[#This Row],[A]],Tableau_basededonnée[],6,0)</f>
        <v>FLEURS</v>
      </c>
      <c r="F5" s="47" t="str">
        <f>VLOOKUP(tblPoteau[[#This Row],[A]],Tableau_basededonnée[],7,0)</f>
        <v>POMME</v>
      </c>
      <c r="G5" s="47" t="str">
        <f>VLOOKUP(tblPoteau[[#This Row],[A]],Tableau_basededonnée[],8,0)</f>
        <v>PAQUERETTE</v>
      </c>
      <c r="H5" s="46">
        <f>VLOOKUP(tblPoteau[[#This Row],[A]],Tableau_basededonnée[],9,0)</f>
        <v>1</v>
      </c>
      <c r="I5" s="46">
        <f>VLOOKUP(tblPoteau[[#This Row],[A]],Tableau_basededonnée[],10,0)</f>
        <v>150</v>
      </c>
      <c r="J5" s="47" t="s">
        <v>5</v>
      </c>
      <c r="K5" s="47">
        <f>VLOOKUP(tblPoteau[[#This Row],[A]],Tableau_basededonnée[],12,0)</f>
        <v>7</v>
      </c>
      <c r="L5" s="47" t="str">
        <f>VLOOKUP(tblPoteau[[#This Row],[A]],Tableau_basededonnée[],13,0)</f>
        <v>POTEAU</v>
      </c>
      <c r="M5" s="47" t="str">
        <f>VLOOKUP(tblPoteau[[#This Row],[A]],Tableau_basededonnée[],14,0)</f>
        <v>FIL</v>
      </c>
      <c r="N5" s="47" t="str">
        <f>VLOOKUP(tblPoteau[[#This Row],[A]],Tableau_basededonnée[],15,0)</f>
        <v>Moyenne(s)</v>
      </c>
      <c r="O5" s="47" t="str">
        <f>VLOOKUP(tblPoteau[[#This Row],[A]],Tableau_basededonnée[],16,0)</f>
        <v>Sans</v>
      </c>
      <c r="P5" s="47" t="str">
        <f>VLOOKUP(tblPoteau[[#This Row],[A]],Tableau_basededonnée[],17,0)</f>
        <v>Moyenne(s)</v>
      </c>
      <c r="Q5" s="47" t="str">
        <f>VLOOKUP(tblPoteau[[#This Row],[A]],Tableau_basededonnée[],18,0)</f>
        <v>Moyen</v>
      </c>
      <c r="R5" s="47" t="str">
        <f>VLOOKUP(tblPoteau[[#This Row],[A]],Tableau_basededonnée[],19,0)</f>
        <v xml:space="preserve">Bonne(s) </v>
      </c>
      <c r="S5" s="47" t="str">
        <f>VLOOKUP(tblPoteau[[#This Row],[A]],Tableau_basededonnée[],20,0)</f>
        <v>Moyen</v>
      </c>
      <c r="T5" s="47" t="str">
        <f>VLOOKUP(tblPoteau[[#This Row],[A]],Tableau_basededonnée[],21,0)</f>
        <v>Bonne(s)</v>
      </c>
      <c r="U5" s="47" t="s">
        <v>1</v>
      </c>
      <c r="V5" s="47" t="str">
        <f>VLOOKUP(tblPoteau[[#This Row],[A]],Tableau_basededonnée[],23,0)</f>
        <v>Bonne(s)</v>
      </c>
      <c r="W5" s="47" t="str">
        <f>VLOOKUP(tblPoteau[[#This Row],[A]],Tableau_basededonnée[],24,0)</f>
        <v>Moyen</v>
      </c>
      <c r="X5" s="47" t="str">
        <f>VLOOKUP(tblPoteau[[#This Row],[A]],Tableau_basededonnée[],25,0)</f>
        <v>Bonne(s)</v>
      </c>
      <c r="Y5" s="47" t="str">
        <f>VLOOKUP(tblPoteau[[#This Row],[A]],Tableau_basededonnée[],26,0)</f>
        <v>Bonne(s)</v>
      </c>
      <c r="Z5" s="47" t="str">
        <f>VLOOKUP(tblPoteau[[#This Row],[A]],Tableau_basededonnée[],27,0)</f>
        <v>Acier / Inox</v>
      </c>
      <c r="AA5" s="47" t="str">
        <f>VLOOKUP(tblPoteau[[#This Row],[A]],Tableau_basededonnée[],28,0)</f>
        <v>Bonne(s)</v>
      </c>
      <c r="AB5" s="47" t="str">
        <f>VLOOKUP(tblPoteau[[#This Row],[A]],Tableau_basededonnée[],29,0)</f>
        <v xml:space="preserve">Bonne(s) </v>
      </c>
      <c r="AC5" s="47" t="str">
        <f>VLOOKUP(tblPoteau[[#This Row],[A]],Tableau_basededonnée[],30,0)</f>
        <v>Bon</v>
      </c>
      <c r="AD5" s="46" t="str">
        <f>VLOOKUP(tblPoteau[[#This Row],[A]],Tableau_basededonnée[],31,0)</f>
        <v>Oui</v>
      </c>
      <c r="AE5" s="47" t="str">
        <f>VLOOKUP(tblPoteau[[#This Row],[A]],Tableau_basededonnée[],32,0)</f>
        <v>En état</v>
      </c>
      <c r="AF5" s="47">
        <f>VLOOKUP(tblPoteau[[#This Row],[A]],Tableau_basededonnée[],33,0)</f>
        <v>14</v>
      </c>
      <c r="AG5" s="47">
        <f>VLOOKUP(tblPoteau[[#This Row],[A]],Tableau_basededonnée[],34,0)</f>
        <v>23</v>
      </c>
      <c r="AH5" s="47">
        <f>VLOOKUP(tblPoteau[[#This Row],[A]],Tableau_basededonnée[],35,0)</f>
        <v>55</v>
      </c>
      <c r="AI5" s="46" t="str">
        <f>VLOOKUP(tblPoteau[[#This Row],[A]],Tableau_basededonnée[],36,0)</f>
        <v>Non</v>
      </c>
      <c r="AJ5" s="47" t="str">
        <f>VLOOKUP(tblPoteau[[#This Row],[A]],Tableau_basededonnée[],37,0)</f>
        <v>SANS</v>
      </c>
      <c r="AK5" s="47" t="str">
        <f>VLOOKUP(tblPoteau[[#This Row],[A]],Tableau_basededonnée[],38,0)</f>
        <v>Moyenne(s)</v>
      </c>
      <c r="AL5" s="47" t="str">
        <f>VLOOKUP(tblPoteau[[#This Row],[A]],Tableau_basededonnée[],39,0)</f>
        <v>Mauvaise(s)</v>
      </c>
      <c r="AM5" s="47" t="str">
        <f>VLOOKUP(tblPoteau[[#This Row],[A]],Tableau_basededonnée[],40,0)</f>
        <v>Oui</v>
      </c>
      <c r="AN5" s="47" t="str">
        <f>VLOOKUP(tblPoteau[[#This Row],[A]],Tableau_basededonnée[],41,0)</f>
        <v>Oui</v>
      </c>
      <c r="AO5" s="47" t="str">
        <f>VLOOKUP(tblPoteau[[#This Row],[A]],Tableau_basededonnée[],42,0)</f>
        <v>Oui</v>
      </c>
      <c r="AP5" s="47" t="str">
        <f>VLOOKUP(tblPoteau[[#This Row],[A]],Tableau_basededonnée[],43,0)</f>
        <v>Oui</v>
      </c>
      <c r="AQ5" s="47" t="str">
        <f>VLOOKUP(tblPoteau[[#This Row],[A]],Tableau_basededonnée[],44,0)</f>
        <v>Oui</v>
      </c>
      <c r="AR5" s="47" t="str">
        <f>VLOOKUP(tblPoteau[[#This Row],[A]],Tableau_basededonnée[],45,0)</f>
        <v>Non</v>
      </c>
      <c r="AS5" s="47" t="str">
        <f>VLOOKUP(tblPoteau[[#This Row],[A]],Tableau_basededonnée[],46,0)</f>
        <v xml:space="preserve">Mauvais </v>
      </c>
      <c r="AT5" s="47" t="str">
        <f>VLOOKUP(tblPoteau[[#This Row],[A]],Tableau_basededonnée[],47,0)</f>
        <v>Non</v>
      </c>
      <c r="AU5" s="47" t="str">
        <f>VLOOKUP(tblPoteau[[#This Row],[A]],Tableau_basededonnée[],48,0)</f>
        <v>RIEN</v>
      </c>
      <c r="AV5" s="47" t="str">
        <f>VLOOKUP(tblPoteau[[#This Row],[A]],Tableau_basededonnée[],49,0)</f>
        <v>OUI</v>
      </c>
      <c r="AW5" s="1" t="s">
        <v>13</v>
      </c>
    </row>
    <row r="6" spans="1:49" ht="9" customHeight="1">
      <c r="A6" s="43" t="s">
        <v>7</v>
      </c>
      <c r="B6" s="44">
        <v>311</v>
      </c>
      <c r="C6" s="45">
        <v>43115</v>
      </c>
      <c r="D6" s="46">
        <f>VLOOKUP(tblPoteau[[#This Row],[A]],Tableau_basededonnée[],5,0)</f>
        <v>900</v>
      </c>
      <c r="E6" s="46" t="str">
        <f>VLOOKUP(tblPoteau[[#This Row],[A]],Tableau_basededonnée[],6,0)</f>
        <v>FLEURS</v>
      </c>
      <c r="F6" s="47" t="str">
        <f>VLOOKUP(tblPoteau[[#This Row],[A]],Tableau_basededonnée[],7,0)</f>
        <v>POIRE</v>
      </c>
      <c r="G6" s="47" t="str">
        <f>VLOOKUP(tblPoteau[[#This Row],[A]],Tableau_basededonnée[],8,0)</f>
        <v>ROSE</v>
      </c>
      <c r="H6" s="46">
        <f>VLOOKUP(tblPoteau[[#This Row],[A]],Tableau_basededonnée[],9,0)</f>
        <v>1</v>
      </c>
      <c r="I6" s="46">
        <f>VLOOKUP(tblPoteau[[#This Row],[A]],Tableau_basededonnée[],10,0)</f>
        <v>50</v>
      </c>
      <c r="J6" s="47" t="s">
        <v>6</v>
      </c>
      <c r="K6" s="47">
        <f>VLOOKUP(tblPoteau[[#This Row],[A]],Tableau_basededonnée[],12,0)</f>
        <v>6</v>
      </c>
      <c r="L6" s="47" t="str">
        <f>VLOOKUP(tblPoteau[[#This Row],[A]],Tableau_basededonnée[],13,0)</f>
        <v>POTEAU</v>
      </c>
      <c r="M6" s="47" t="str">
        <f>VLOOKUP(tblPoteau[[#This Row],[A]],Tableau_basededonnée[],14,0)</f>
        <v>FIL</v>
      </c>
      <c r="N6" s="47" t="str">
        <f>VLOOKUP(tblPoteau[[#This Row],[A]],Tableau_basededonnée[],15,0)</f>
        <v>Bonne(s)</v>
      </c>
      <c r="O6" s="47" t="str">
        <f>VLOOKUP(tblPoteau[[#This Row],[A]],Tableau_basededonnée[],16,0)</f>
        <v>Bonne</v>
      </c>
      <c r="P6" s="47" t="str">
        <f>VLOOKUP(tblPoteau[[#This Row],[A]],Tableau_basededonnée[],17,0)</f>
        <v>Moyenne(s)</v>
      </c>
      <c r="Q6" s="47" t="str">
        <f>VLOOKUP(tblPoteau[[#This Row],[A]],Tableau_basededonnée[],18,0)</f>
        <v>Bon</v>
      </c>
      <c r="R6" s="47" t="str">
        <f>VLOOKUP(tblPoteau[[#This Row],[A]],Tableau_basededonnée[],19,0)</f>
        <v xml:space="preserve">Bonne(s) </v>
      </c>
      <c r="S6" s="47" t="str">
        <f>VLOOKUP(tblPoteau[[#This Row],[A]],Tableau_basededonnée[],20,0)</f>
        <v>Moyen</v>
      </c>
      <c r="T6" s="47" t="str">
        <f>VLOOKUP(tblPoteau[[#This Row],[A]],Tableau_basededonnée[],21,0)</f>
        <v>Bonne(s)</v>
      </c>
      <c r="U6" s="47" t="s">
        <v>1</v>
      </c>
      <c r="V6" s="47" t="str">
        <f>VLOOKUP(tblPoteau[[#This Row],[A]],Tableau_basededonnée[],23,0)</f>
        <v>Moyenne(s)</v>
      </c>
      <c r="W6" s="47" t="str">
        <f>VLOOKUP(tblPoteau[[#This Row],[A]],Tableau_basededonnée[],24,0)</f>
        <v>Bon</v>
      </c>
      <c r="X6" s="47" t="str">
        <f>VLOOKUP(tblPoteau[[#This Row],[A]],Tableau_basededonnée[],25,0)</f>
        <v>Bonne(s)</v>
      </c>
      <c r="Y6" s="47" t="str">
        <f>VLOOKUP(tblPoteau[[#This Row],[A]],Tableau_basededonnée[],26,0)</f>
        <v>Bonne(s)</v>
      </c>
      <c r="Z6" s="47" t="str">
        <f>VLOOKUP(tblPoteau[[#This Row],[A]],Tableau_basededonnée[],27,0)</f>
        <v>Pvc</v>
      </c>
      <c r="AA6" s="47" t="str">
        <f>VLOOKUP(tblPoteau[[#This Row],[A]],Tableau_basededonnée[],28,0)</f>
        <v>Bonne(s)</v>
      </c>
      <c r="AB6" s="47" t="str">
        <f>VLOOKUP(tblPoteau[[#This Row],[A]],Tableau_basededonnée[],29,0)</f>
        <v xml:space="preserve">Bonne(s) </v>
      </c>
      <c r="AC6" s="47" t="str">
        <f>VLOOKUP(tblPoteau[[#This Row],[A]],Tableau_basededonnée[],30,0)</f>
        <v>Bon</v>
      </c>
      <c r="AD6" s="46" t="str">
        <f>VLOOKUP(tblPoteau[[#This Row],[A]],Tableau_basededonnée[],31,0)</f>
        <v>Oui</v>
      </c>
      <c r="AE6" s="47" t="str">
        <f>VLOOKUP(tblPoteau[[#This Row],[A]],Tableau_basededonnée[],32,0)</f>
        <v>En état</v>
      </c>
      <c r="AF6" s="47">
        <f>VLOOKUP(tblPoteau[[#This Row],[A]],Tableau_basededonnée[],33,0)</f>
        <v>13</v>
      </c>
      <c r="AG6" s="47">
        <f>VLOOKUP(tblPoteau[[#This Row],[A]],Tableau_basededonnée[],34,0)</f>
        <v>22</v>
      </c>
      <c r="AH6" s="47" t="str">
        <f>VLOOKUP(tblPoteau[[#This Row],[A]],Tableau_basededonnée[],35,0)</f>
        <v>Oui</v>
      </c>
      <c r="AI6" s="46" t="str">
        <f>VLOOKUP(tblPoteau[[#This Row],[A]],Tableau_basededonnée[],36,0)</f>
        <v>Non</v>
      </c>
      <c r="AJ6" s="47" t="str">
        <f>VLOOKUP(tblPoteau[[#This Row],[A]],Tableau_basededonnée[],37,0)</f>
        <v>SANS</v>
      </c>
      <c r="AK6" s="47" t="str">
        <f>VLOOKUP(tblPoteau[[#This Row],[A]],Tableau_basededonnée[],38,0)</f>
        <v>Moyenne(s)</v>
      </c>
      <c r="AL6" s="47" t="str">
        <f>VLOOKUP(tblPoteau[[#This Row],[A]],Tableau_basededonnée[],39,0)</f>
        <v>Mauvaise(s)</v>
      </c>
      <c r="AM6" s="47" t="str">
        <f>VLOOKUP(tblPoteau[[#This Row],[A]],Tableau_basededonnée[],40,0)</f>
        <v>Oui</v>
      </c>
      <c r="AN6" s="47" t="str">
        <f>VLOOKUP(tblPoteau[[#This Row],[A]],Tableau_basededonnée[],41,0)</f>
        <v>Oui</v>
      </c>
      <c r="AO6" s="47" t="str">
        <f>VLOOKUP(tblPoteau[[#This Row],[A]],Tableau_basededonnée[],42,0)</f>
        <v>Oui</v>
      </c>
      <c r="AP6" s="47" t="str">
        <f>VLOOKUP(tblPoteau[[#This Row],[A]],Tableau_basededonnée[],43,0)</f>
        <v>Oui</v>
      </c>
      <c r="AQ6" s="47" t="str">
        <f>VLOOKUP(tblPoteau[[#This Row],[A]],Tableau_basededonnée[],44,0)</f>
        <v>Non</v>
      </c>
      <c r="AR6" s="47" t="str">
        <f>VLOOKUP(tblPoteau[[#This Row],[A]],Tableau_basededonnée[],45,0)</f>
        <v>Non</v>
      </c>
      <c r="AS6" s="47" t="str">
        <f>VLOOKUP(tblPoteau[[#This Row],[A]],Tableau_basededonnée[],46,0)</f>
        <v>Bon</v>
      </c>
      <c r="AT6" s="47" t="str">
        <f>VLOOKUP(tblPoteau[[#This Row],[A]],Tableau_basededonnée[],47,0)</f>
        <v>Non</v>
      </c>
      <c r="AU6" s="47" t="str">
        <f>VLOOKUP(tblPoteau[[#This Row],[A]],Tableau_basededonnée[],48,0)</f>
        <v>RIEN</v>
      </c>
      <c r="AV6" s="47" t="str">
        <f>VLOOKUP(tblPoteau[[#This Row],[A]],Tableau_basededonnée[],49,0)</f>
        <v>OUI</v>
      </c>
      <c r="AW6" s="1" t="s">
        <v>13</v>
      </c>
    </row>
    <row r="7" spans="1:49" ht="9" customHeight="1">
      <c r="A7" s="43" t="s">
        <v>7</v>
      </c>
      <c r="B7" s="44">
        <v>312</v>
      </c>
      <c r="C7" s="45">
        <v>42403</v>
      </c>
      <c r="D7" s="46">
        <f>VLOOKUP(tblPoteau[[#This Row],[A]],Tableau_basededonnée[],5,0)</f>
        <v>900</v>
      </c>
      <c r="E7" s="46" t="str">
        <f>VLOOKUP(tblPoteau[[#This Row],[A]],Tableau_basededonnée[],6,0)</f>
        <v>FLEURS</v>
      </c>
      <c r="F7" s="47" t="str">
        <f>VLOOKUP(tblPoteau[[#This Row],[A]],Tableau_basededonnée[],7,0)</f>
        <v>POMME</v>
      </c>
      <c r="G7" s="47" t="str">
        <f>VLOOKUP(tblPoteau[[#This Row],[A]],Tableau_basededonnée[],8,0)</f>
        <v>PAQUERETTE</v>
      </c>
      <c r="H7" s="46">
        <f>VLOOKUP(tblPoteau[[#This Row],[A]],Tableau_basededonnée[],9,0)</f>
        <v>1</v>
      </c>
      <c r="I7" s="46">
        <f>VLOOKUP(tblPoteau[[#This Row],[A]],Tableau_basededonnée[],10,0)</f>
        <v>150</v>
      </c>
      <c r="J7" s="47" t="s">
        <v>5</v>
      </c>
      <c r="K7" s="47">
        <f>VLOOKUP(tblPoteau[[#This Row],[A]],Tableau_basededonnée[],12,0)</f>
        <v>7</v>
      </c>
      <c r="L7" s="47" t="str">
        <f>VLOOKUP(tblPoteau[[#This Row],[A]],Tableau_basededonnée[],13,0)</f>
        <v>POTEAU</v>
      </c>
      <c r="M7" s="47" t="str">
        <f>VLOOKUP(tblPoteau[[#This Row],[A]],Tableau_basededonnée[],14,0)</f>
        <v>FIL</v>
      </c>
      <c r="N7" s="47" t="str">
        <f>VLOOKUP(tblPoteau[[#This Row],[A]],Tableau_basededonnée[],15,0)</f>
        <v>Moyenne(s)</v>
      </c>
      <c r="O7" s="47" t="str">
        <f>VLOOKUP(tblPoteau[[#This Row],[A]],Tableau_basededonnée[],16,0)</f>
        <v>Sans</v>
      </c>
      <c r="P7" s="47" t="str">
        <f>VLOOKUP(tblPoteau[[#This Row],[A]],Tableau_basededonnée[],17,0)</f>
        <v>Moyenne(s)</v>
      </c>
      <c r="Q7" s="47" t="str">
        <f>VLOOKUP(tblPoteau[[#This Row],[A]],Tableau_basededonnée[],18,0)</f>
        <v>Moyen</v>
      </c>
      <c r="R7" s="47" t="str">
        <f>VLOOKUP(tblPoteau[[#This Row],[A]],Tableau_basededonnée[],19,0)</f>
        <v xml:space="preserve">Bonne(s) </v>
      </c>
      <c r="S7" s="47" t="str">
        <f>VLOOKUP(tblPoteau[[#This Row],[A]],Tableau_basededonnée[],20,0)</f>
        <v>Moyen</v>
      </c>
      <c r="T7" s="47" t="str">
        <f>VLOOKUP(tblPoteau[[#This Row],[A]],Tableau_basededonnée[],21,0)</f>
        <v>Bonne(s)</v>
      </c>
      <c r="U7" s="47" t="s">
        <v>1</v>
      </c>
      <c r="V7" s="47" t="str">
        <f>VLOOKUP(tblPoteau[[#This Row],[A]],Tableau_basededonnée[],23,0)</f>
        <v>Bonne(s)</v>
      </c>
      <c r="W7" s="47" t="str">
        <f>VLOOKUP(tblPoteau[[#This Row],[A]],Tableau_basededonnée[],24,0)</f>
        <v>Moyen</v>
      </c>
      <c r="X7" s="47" t="str">
        <f>VLOOKUP(tblPoteau[[#This Row],[A]],Tableau_basededonnée[],25,0)</f>
        <v>Bonne(s)</v>
      </c>
      <c r="Y7" s="47" t="str">
        <f>VLOOKUP(tblPoteau[[#This Row],[A]],Tableau_basededonnée[],26,0)</f>
        <v>Bonne(s)</v>
      </c>
      <c r="Z7" s="47" t="str">
        <f>VLOOKUP(tblPoteau[[#This Row],[A]],Tableau_basededonnée[],27,0)</f>
        <v>Acier / Inox</v>
      </c>
      <c r="AA7" s="47" t="str">
        <f>VLOOKUP(tblPoteau[[#This Row],[A]],Tableau_basededonnée[],28,0)</f>
        <v>Bonne(s)</v>
      </c>
      <c r="AB7" s="47" t="str">
        <f>VLOOKUP(tblPoteau[[#This Row],[A]],Tableau_basededonnée[],29,0)</f>
        <v xml:space="preserve">Bonne(s) </v>
      </c>
      <c r="AC7" s="47" t="str">
        <f>VLOOKUP(tblPoteau[[#This Row],[A]],Tableau_basededonnée[],30,0)</f>
        <v>Bon</v>
      </c>
      <c r="AD7" s="46" t="str">
        <f>VLOOKUP(tblPoteau[[#This Row],[A]],Tableau_basededonnée[],31,0)</f>
        <v>Oui</v>
      </c>
      <c r="AE7" s="47" t="str">
        <f>VLOOKUP(tblPoteau[[#This Row],[A]],Tableau_basededonnée[],32,0)</f>
        <v>En état</v>
      </c>
      <c r="AF7" s="47">
        <f>VLOOKUP(tblPoteau[[#This Row],[A]],Tableau_basededonnée[],33,0)</f>
        <v>14</v>
      </c>
      <c r="AG7" s="47">
        <f>VLOOKUP(tblPoteau[[#This Row],[A]],Tableau_basededonnée[],34,0)</f>
        <v>23</v>
      </c>
      <c r="AH7" s="47">
        <f>VLOOKUP(tblPoteau[[#This Row],[A]],Tableau_basededonnée[],35,0)</f>
        <v>55</v>
      </c>
      <c r="AI7" s="46" t="str">
        <f>VLOOKUP(tblPoteau[[#This Row],[A]],Tableau_basededonnée[],36,0)</f>
        <v>Non</v>
      </c>
      <c r="AJ7" s="47" t="str">
        <f>VLOOKUP(tblPoteau[[#This Row],[A]],Tableau_basededonnée[],37,0)</f>
        <v>SANS</v>
      </c>
      <c r="AK7" s="47" t="str">
        <f>VLOOKUP(tblPoteau[[#This Row],[A]],Tableau_basededonnée[],38,0)</f>
        <v>Moyenne(s)</v>
      </c>
      <c r="AL7" s="47" t="str">
        <f>VLOOKUP(tblPoteau[[#This Row],[A]],Tableau_basededonnée[],39,0)</f>
        <v>Mauvaise(s)</v>
      </c>
      <c r="AM7" s="47" t="str">
        <f>VLOOKUP(tblPoteau[[#This Row],[A]],Tableau_basededonnée[],40,0)</f>
        <v>Oui</v>
      </c>
      <c r="AN7" s="47" t="str">
        <f>VLOOKUP(tblPoteau[[#This Row],[A]],Tableau_basededonnée[],41,0)</f>
        <v>Oui</v>
      </c>
      <c r="AO7" s="47" t="str">
        <f>VLOOKUP(tblPoteau[[#This Row],[A]],Tableau_basededonnée[],42,0)</f>
        <v>Oui</v>
      </c>
      <c r="AP7" s="47" t="str">
        <f>VLOOKUP(tblPoteau[[#This Row],[A]],Tableau_basededonnée[],43,0)</f>
        <v>Oui</v>
      </c>
      <c r="AQ7" s="47" t="str">
        <f>VLOOKUP(tblPoteau[[#This Row],[A]],Tableau_basededonnée[],44,0)</f>
        <v>Oui</v>
      </c>
      <c r="AR7" s="47" t="str">
        <f>VLOOKUP(tblPoteau[[#This Row],[A]],Tableau_basededonnée[],45,0)</f>
        <v>Non</v>
      </c>
      <c r="AS7" s="47" t="str">
        <f>VLOOKUP(tblPoteau[[#This Row],[A]],Tableau_basededonnée[],46,0)</f>
        <v xml:space="preserve">Mauvais </v>
      </c>
      <c r="AT7" s="47" t="str">
        <f>VLOOKUP(tblPoteau[[#This Row],[A]],Tableau_basededonnée[],47,0)</f>
        <v>Non</v>
      </c>
      <c r="AU7" s="47" t="str">
        <f>VLOOKUP(tblPoteau[[#This Row],[A]],Tableau_basededonnée[],48,0)</f>
        <v>RIEN</v>
      </c>
      <c r="AV7" s="47" t="str">
        <f>VLOOKUP(tblPoteau[[#This Row],[A]],Tableau_basededonnée[],49,0)</f>
        <v>OUI</v>
      </c>
      <c r="AW7" s="1" t="s">
        <v>13</v>
      </c>
    </row>
    <row r="8" spans="1:49" ht="9" customHeight="1">
      <c r="A8" s="43" t="s">
        <v>7</v>
      </c>
      <c r="B8" s="44">
        <v>310</v>
      </c>
      <c r="C8" s="45">
        <v>42405</v>
      </c>
      <c r="D8" s="46">
        <f>VLOOKUP(tblPoteau[[#This Row],[A]],Tableau_basededonnée[],5,0)</f>
        <v>900</v>
      </c>
      <c r="E8" s="46" t="str">
        <f>VLOOKUP(tblPoteau[[#This Row],[A]],Tableau_basededonnée[],6,0)</f>
        <v>FLEURS</v>
      </c>
      <c r="F8" s="47" t="str">
        <f>VLOOKUP(tblPoteau[[#This Row],[A]],Tableau_basededonnée[],7,0)</f>
        <v>CERISE</v>
      </c>
      <c r="G8" s="47" t="str">
        <f>VLOOKUP(tblPoteau[[#This Row],[A]],Tableau_basededonnée[],8,0)</f>
        <v>LAVANDE</v>
      </c>
      <c r="H8" s="46">
        <f>VLOOKUP(tblPoteau[[#This Row],[A]],Tableau_basededonnée[],9,0)</f>
        <v>1</v>
      </c>
      <c r="I8" s="46">
        <f>VLOOKUP(tblPoteau[[#This Row],[A]],Tableau_basededonnée[],10,0)</f>
        <v>10</v>
      </c>
      <c r="J8" s="47" t="s">
        <v>5</v>
      </c>
      <c r="K8" s="47">
        <f>VLOOKUP(tblPoteau[[#This Row],[A]],Tableau_basededonnée[],12,0)</f>
        <v>4</v>
      </c>
      <c r="L8" s="47" t="str">
        <f>VLOOKUP(tblPoteau[[#This Row],[A]],Tableau_basededonnée[],13,0)</f>
        <v>POTEAU</v>
      </c>
      <c r="M8" s="47" t="str">
        <f>VLOOKUP(tblPoteau[[#This Row],[A]],Tableau_basededonnée[],14,0)</f>
        <v>FIL</v>
      </c>
      <c r="N8" s="47" t="str">
        <f>VLOOKUP(tblPoteau[[#This Row],[A]],Tableau_basededonnée[],15,0)</f>
        <v xml:space="preserve">Bonne(s) </v>
      </c>
      <c r="O8" s="47" t="str">
        <f>VLOOKUP(tblPoteau[[#This Row],[A]],Tableau_basededonnée[],16,0)</f>
        <v>Bonne</v>
      </c>
      <c r="P8" s="47" t="str">
        <f>VLOOKUP(tblPoteau[[#This Row],[A]],Tableau_basededonnée[],17,0)</f>
        <v>Moyenne(s)</v>
      </c>
      <c r="Q8" s="47" t="str">
        <f>VLOOKUP(tblPoteau[[#This Row],[A]],Tableau_basededonnée[],18,0)</f>
        <v>Bon</v>
      </c>
      <c r="R8" s="47" t="str">
        <f>VLOOKUP(tblPoteau[[#This Row],[A]],Tableau_basededonnée[],19,0)</f>
        <v>Moyenne(s)</v>
      </c>
      <c r="S8" s="47" t="str">
        <f>VLOOKUP(tblPoteau[[#This Row],[A]],Tableau_basededonnée[],20,0)</f>
        <v>Bon</v>
      </c>
      <c r="T8" s="47" t="str">
        <f>VLOOKUP(tblPoteau[[#This Row],[A]],Tableau_basededonnée[],21,0)</f>
        <v>Bonne(s)</v>
      </c>
      <c r="U8" s="47" t="s">
        <v>1</v>
      </c>
      <c r="V8" s="47" t="str">
        <f>VLOOKUP(tblPoteau[[#This Row],[A]],Tableau_basededonnée[],23,0)</f>
        <v xml:space="preserve">Bonne(s) </v>
      </c>
      <c r="W8" s="47" t="str">
        <f>VLOOKUP(tblPoteau[[#This Row],[A]],Tableau_basededonnée[],24,0)</f>
        <v>Moyen</v>
      </c>
      <c r="X8" s="47" t="str">
        <f>VLOOKUP(tblPoteau[[#This Row],[A]],Tableau_basededonnée[],25,0)</f>
        <v>Bonne(s)</v>
      </c>
      <c r="Y8" s="47" t="str">
        <f>VLOOKUP(tblPoteau[[#This Row],[A]],Tableau_basededonnée[],26,0)</f>
        <v>Bonne(s)</v>
      </c>
      <c r="Z8" s="47" t="str">
        <f>VLOOKUP(tblPoteau[[#This Row],[A]],Tableau_basededonnée[],27,0)</f>
        <v>Acier / Pvc</v>
      </c>
      <c r="AA8" s="47" t="str">
        <f>VLOOKUP(tblPoteau[[#This Row],[A]],Tableau_basededonnée[],28,0)</f>
        <v>Moyenne(s)</v>
      </c>
      <c r="AB8" s="47" t="str">
        <f>VLOOKUP(tblPoteau[[#This Row],[A]],Tableau_basededonnée[],29,0)</f>
        <v>Moyenne(s)</v>
      </c>
      <c r="AC8" s="47" t="str">
        <f>VLOOKUP(tblPoteau[[#This Row],[A]],Tableau_basededonnée[],30,0)</f>
        <v>Bon</v>
      </c>
      <c r="AD8" s="46" t="str">
        <f>VLOOKUP(tblPoteau[[#This Row],[A]],Tableau_basededonnée[],31,0)</f>
        <v>Oui</v>
      </c>
      <c r="AE8" s="47" t="str">
        <f>VLOOKUP(tblPoteau[[#This Row],[A]],Tableau_basededonnée[],32,0)</f>
        <v>BOBINE</v>
      </c>
      <c r="AF8" s="47">
        <f>VLOOKUP(tblPoteau[[#This Row],[A]],Tableau_basededonnée[],33,0)</f>
        <v>12</v>
      </c>
      <c r="AG8" s="47">
        <f>VLOOKUP(tblPoteau[[#This Row],[A]],Tableau_basededonnée[],34,0)</f>
        <v>21</v>
      </c>
      <c r="AH8" s="47">
        <f>VLOOKUP(tblPoteau[[#This Row],[A]],Tableau_basededonnée[],35,0)</f>
        <v>47</v>
      </c>
      <c r="AI8" s="46" t="str">
        <f>VLOOKUP(tblPoteau[[#This Row],[A]],Tableau_basededonnée[],36,0)</f>
        <v>Non</v>
      </c>
      <c r="AJ8" s="47" t="str">
        <f>VLOOKUP(tblPoteau[[#This Row],[A]],Tableau_basededonnée[],37,0)</f>
        <v>SANS</v>
      </c>
      <c r="AK8" s="47" t="str">
        <f>VLOOKUP(tblPoteau[[#This Row],[A]],Tableau_basededonnée[],38,0)</f>
        <v>Moyenne(s)</v>
      </c>
      <c r="AL8" s="47" t="str">
        <f>VLOOKUP(tblPoteau[[#This Row],[A]],Tableau_basededonnée[],39,0)</f>
        <v>Mauvaise(s)</v>
      </c>
      <c r="AM8" s="47" t="str">
        <f>VLOOKUP(tblPoteau[[#This Row],[A]],Tableau_basededonnée[],40,0)</f>
        <v>Oui</v>
      </c>
      <c r="AN8" s="47" t="str">
        <f>VLOOKUP(tblPoteau[[#This Row],[A]],Tableau_basededonnée[],41,0)</f>
        <v>Oui</v>
      </c>
      <c r="AO8" s="47" t="str">
        <f>VLOOKUP(tblPoteau[[#This Row],[A]],Tableau_basededonnée[],42,0)</f>
        <v>Sans objet</v>
      </c>
      <c r="AP8" s="47" t="str">
        <f>VLOOKUP(tblPoteau[[#This Row],[A]],Tableau_basededonnée[],43,0)</f>
        <v>Sans objet</v>
      </c>
      <c r="AQ8" s="47" t="str">
        <f>VLOOKUP(tblPoteau[[#This Row],[A]],Tableau_basededonnée[],44,0)</f>
        <v>Non</v>
      </c>
      <c r="AR8" s="47" t="str">
        <f>VLOOKUP(tblPoteau[[#This Row],[A]],Tableau_basededonnée[],45,0)</f>
        <v>Non</v>
      </c>
      <c r="AS8" s="47" t="str">
        <f>VLOOKUP(tblPoteau[[#This Row],[A]],Tableau_basededonnée[],46,0)</f>
        <v>Bon</v>
      </c>
      <c r="AT8" s="47" t="str">
        <f>VLOOKUP(tblPoteau[[#This Row],[A]],Tableau_basededonnée[],47,0)</f>
        <v>Oui (NS)</v>
      </c>
      <c r="AU8" s="47" t="str">
        <f>VLOOKUP(tblPoteau[[#This Row],[A]],Tableau_basededonnée[],48,0)</f>
        <v>RIEN</v>
      </c>
      <c r="AV8" s="47" t="str">
        <f>VLOOKUP(tblPoteau[[#This Row],[A]],Tableau_basededonnée[],49,0)</f>
        <v>OUI</v>
      </c>
      <c r="AW8" s="1" t="s">
        <v>13</v>
      </c>
    </row>
    <row r="9" spans="1:49" ht="9" customHeight="1">
      <c r="A9" s="43" t="s">
        <v>7</v>
      </c>
      <c r="B9" s="44">
        <v>319</v>
      </c>
      <c r="C9" s="45">
        <v>42410</v>
      </c>
      <c r="D9" s="46">
        <f>VLOOKUP(tblPoteau[[#This Row],[A]],Tableau_basededonnée[],5,0)</f>
        <v>900</v>
      </c>
      <c r="E9" s="46" t="str">
        <f>VLOOKUP(tblPoteau[[#This Row],[A]],Tableau_basededonnée[],6,0)</f>
        <v>ARBRE</v>
      </c>
      <c r="F9" s="47" t="str">
        <f>VLOOKUP(tblPoteau[[#This Row],[A]],Tableau_basededonnée[],7,0)</f>
        <v>PRUNE</v>
      </c>
      <c r="G9" s="47" t="str">
        <f>VLOOKUP(tblPoteau[[#This Row],[A]],Tableau_basededonnée[],8,0)</f>
        <v>JONQUILLES</v>
      </c>
      <c r="H9" s="46">
        <f>VLOOKUP(tblPoteau[[#This Row],[A]],Tableau_basededonnée[],9,0)</f>
        <v>1</v>
      </c>
      <c r="I9" s="46">
        <f>VLOOKUP(tblPoteau[[#This Row],[A]],Tableau_basededonnée[],10,0)</f>
        <v>100</v>
      </c>
      <c r="J9" s="47" t="s">
        <v>6</v>
      </c>
      <c r="K9" s="47">
        <f>VLOOKUP(tblPoteau[[#This Row],[A]],Tableau_basededonnée[],12,0)</f>
        <v>8</v>
      </c>
      <c r="L9" s="47" t="str">
        <f>VLOOKUP(tblPoteau[[#This Row],[A]],Tableau_basededonnée[],13,0)</f>
        <v>POTEAU</v>
      </c>
      <c r="M9" s="47" t="str">
        <f>VLOOKUP(tblPoteau[[#This Row],[A]],Tableau_basededonnée[],14,0)</f>
        <v>FIL</v>
      </c>
      <c r="N9" s="47" t="str">
        <f>VLOOKUP(tblPoteau[[#This Row],[A]],Tableau_basededonnée[],15,0)</f>
        <v>Moyenne(s)</v>
      </c>
      <c r="O9" s="47" t="str">
        <f>VLOOKUP(tblPoteau[[#This Row],[A]],Tableau_basededonnée[],16,0)</f>
        <v>Bonne</v>
      </c>
      <c r="P9" s="47" t="str">
        <f>VLOOKUP(tblPoteau[[#This Row],[A]],Tableau_basededonnée[],17,0)</f>
        <v>Moyenne(s)</v>
      </c>
      <c r="Q9" s="47" t="str">
        <f>VLOOKUP(tblPoteau[[#This Row],[A]],Tableau_basededonnée[],18,0)</f>
        <v>Bon</v>
      </c>
      <c r="R9" s="47" t="str">
        <f>VLOOKUP(tblPoteau[[#This Row],[A]],Tableau_basededonnée[],19,0)</f>
        <v xml:space="preserve">Bonne(s) </v>
      </c>
      <c r="S9" s="47" t="str">
        <f>VLOOKUP(tblPoteau[[#This Row],[A]],Tableau_basededonnée[],20,0)</f>
        <v>Moyen</v>
      </c>
      <c r="T9" s="47" t="str">
        <f>VLOOKUP(tblPoteau[[#This Row],[A]],Tableau_basededonnée[],21,0)</f>
        <v>Bonne(s)</v>
      </c>
      <c r="U9" s="47" t="s">
        <v>1</v>
      </c>
      <c r="V9" s="47" t="str">
        <f>VLOOKUP(tblPoteau[[#This Row],[A]],Tableau_basededonnée[],23,0)</f>
        <v xml:space="preserve">Bonne(s) </v>
      </c>
      <c r="W9" s="47" t="str">
        <f>VLOOKUP(tblPoteau[[#This Row],[A]],Tableau_basededonnée[],24,0)</f>
        <v>Bon</v>
      </c>
      <c r="X9" s="47" t="str">
        <f>VLOOKUP(tblPoteau[[#This Row],[A]],Tableau_basededonnée[],25,0)</f>
        <v>Bonne(s)</v>
      </c>
      <c r="Y9" s="47" t="str">
        <f>VLOOKUP(tblPoteau[[#This Row],[A]],Tableau_basededonnée[],26,0)</f>
        <v>Bonne(s)</v>
      </c>
      <c r="Z9" s="47" t="str">
        <f>VLOOKUP(tblPoteau[[#This Row],[A]],Tableau_basededonnée[],27,0)</f>
        <v>Acier</v>
      </c>
      <c r="AA9" s="47" t="str">
        <f>VLOOKUP(tblPoteau[[#This Row],[A]],Tableau_basededonnée[],28,0)</f>
        <v>Moyenne(s)</v>
      </c>
      <c r="AB9" s="47" t="str">
        <f>VLOOKUP(tblPoteau[[#This Row],[A]],Tableau_basededonnée[],29,0)</f>
        <v>Moyenne(s)</v>
      </c>
      <c r="AC9" s="47" t="str">
        <f>VLOOKUP(tblPoteau[[#This Row],[A]],Tableau_basededonnée[],30,0)</f>
        <v>Moyen</v>
      </c>
      <c r="AD9" s="46" t="str">
        <f>VLOOKUP(tblPoteau[[#This Row],[A]],Tableau_basededonnée[],31,0)</f>
        <v>Oui</v>
      </c>
      <c r="AE9" s="47" t="str">
        <f>VLOOKUP(tblPoteau[[#This Row],[A]],Tableau_basededonnée[],32,0)</f>
        <v>En état</v>
      </c>
      <c r="AF9" s="47">
        <f>VLOOKUP(tblPoteau[[#This Row],[A]],Tableau_basededonnée[],33,0)</f>
        <v>15</v>
      </c>
      <c r="AG9" s="47">
        <f>VLOOKUP(tblPoteau[[#This Row],[A]],Tableau_basededonnée[],34,0)</f>
        <v>24</v>
      </c>
      <c r="AH9" s="47">
        <f>VLOOKUP(tblPoteau[[#This Row],[A]],Tableau_basededonnée[],35,0)</f>
        <v>55</v>
      </c>
      <c r="AI9" s="46" t="str">
        <f>VLOOKUP(tblPoteau[[#This Row],[A]],Tableau_basededonnée[],36,0)</f>
        <v>Non</v>
      </c>
      <c r="AJ9" s="47" t="str">
        <f>VLOOKUP(tblPoteau[[#This Row],[A]],Tableau_basededonnée[],37,0)</f>
        <v>SANS</v>
      </c>
      <c r="AK9" s="47" t="str">
        <f>VLOOKUP(tblPoteau[[#This Row],[A]],Tableau_basededonnée[],38,0)</f>
        <v>Moyenne(s)</v>
      </c>
      <c r="AL9" s="47" t="str">
        <f>VLOOKUP(tblPoteau[[#This Row],[A]],Tableau_basededonnée[],39,0)</f>
        <v>Mauvaise(s)</v>
      </c>
      <c r="AM9" s="47" t="str">
        <f>VLOOKUP(tblPoteau[[#This Row],[A]],Tableau_basededonnée[],40,0)</f>
        <v>Oui</v>
      </c>
      <c r="AN9" s="47" t="str">
        <f>VLOOKUP(tblPoteau[[#This Row],[A]],Tableau_basededonnée[],41,0)</f>
        <v>Oui</v>
      </c>
      <c r="AO9" s="47" t="str">
        <f>VLOOKUP(tblPoteau[[#This Row],[A]],Tableau_basededonnée[],42,0)</f>
        <v>Oui</v>
      </c>
      <c r="AP9" s="47" t="str">
        <f>VLOOKUP(tblPoteau[[#This Row],[A]],Tableau_basededonnée[],43,0)</f>
        <v>Oui</v>
      </c>
      <c r="AQ9" s="47" t="str">
        <f>VLOOKUP(tblPoteau[[#This Row],[A]],Tableau_basededonnée[],44,0)</f>
        <v>Non</v>
      </c>
      <c r="AR9" s="47" t="str">
        <f>VLOOKUP(tblPoteau[[#This Row],[A]],Tableau_basededonnée[],45,0)</f>
        <v>Non</v>
      </c>
      <c r="AS9" s="47" t="str">
        <f>VLOOKUP(tblPoteau[[#This Row],[A]],Tableau_basededonnée[],46,0)</f>
        <v>Bon</v>
      </c>
      <c r="AT9" s="47" t="str">
        <f>VLOOKUP(tblPoteau[[#This Row],[A]],Tableau_basededonnée[],47,0)</f>
        <v>Non</v>
      </c>
      <c r="AU9" s="47" t="str">
        <f>VLOOKUP(tblPoteau[[#This Row],[A]],Tableau_basededonnée[],48,0)</f>
        <v>RIEN</v>
      </c>
      <c r="AV9" s="47" t="str">
        <f>VLOOKUP(tblPoteau[[#This Row],[A]],Tableau_basededonnée[],49,0)</f>
        <v>OUI</v>
      </c>
      <c r="AW9" s="1" t="s">
        <v>13</v>
      </c>
    </row>
    <row r="10" spans="1:49" ht="9" customHeight="1">
      <c r="A10" s="43" t="s">
        <v>7</v>
      </c>
      <c r="B10" s="44">
        <v>321</v>
      </c>
      <c r="C10" s="45">
        <v>42473</v>
      </c>
      <c r="D10" s="46">
        <f>VLOOKUP(tblPoteau[[#This Row],[A]],Tableau_basededonnée[],5,0)</f>
        <v>900</v>
      </c>
      <c r="E10" s="46" t="str">
        <f>VLOOKUP(tblPoteau[[#This Row],[A]],Tableau_basededonnée[],6,0)</f>
        <v>ARBRE</v>
      </c>
      <c r="F10" s="47" t="str">
        <f>VLOOKUP(tblPoteau[[#This Row],[A]],Tableau_basededonnée[],7,0)</f>
        <v>NOIX</v>
      </c>
      <c r="G10" s="47" t="str">
        <f>VLOOKUP(tblPoteau[[#This Row],[A]],Tableau_basededonnée[],8,0)</f>
        <v>NARCISSE</v>
      </c>
      <c r="H10" s="46">
        <f>VLOOKUP(tblPoteau[[#This Row],[A]],Tableau_basededonnée[],9,0)</f>
        <v>1</v>
      </c>
      <c r="I10" s="46">
        <f>VLOOKUP(tblPoteau[[#This Row],[A]],Tableau_basededonnée[],10,0)</f>
        <v>100</v>
      </c>
      <c r="J10" s="47" t="s">
        <v>6</v>
      </c>
      <c r="K10" s="47">
        <f>VLOOKUP(tblPoteau[[#This Row],[A]],Tableau_basededonnée[],12,0)</f>
        <v>5</v>
      </c>
      <c r="L10" s="47" t="str">
        <f>VLOOKUP(tblPoteau[[#This Row],[A]],Tableau_basededonnée[],13,0)</f>
        <v>POTEAU</v>
      </c>
      <c r="M10" s="47" t="str">
        <f>VLOOKUP(tblPoteau[[#This Row],[A]],Tableau_basededonnée[],14,0)</f>
        <v>FIL</v>
      </c>
      <c r="N10" s="47" t="str">
        <f>VLOOKUP(tblPoteau[[#This Row],[A]],Tableau_basededonnée[],15,0)</f>
        <v xml:space="preserve">Bonne(s) </v>
      </c>
      <c r="O10" s="47" t="str">
        <f>VLOOKUP(tblPoteau[[#This Row],[A]],Tableau_basededonnée[],16,0)</f>
        <v>Bonne</v>
      </c>
      <c r="P10" s="47" t="str">
        <f>VLOOKUP(tblPoteau[[#This Row],[A]],Tableau_basededonnée[],17,0)</f>
        <v>Moyenne(s)</v>
      </c>
      <c r="Q10" s="47" t="str">
        <f>VLOOKUP(tblPoteau[[#This Row],[A]],Tableau_basededonnée[],18,0)</f>
        <v>Bon</v>
      </c>
      <c r="R10" s="47" t="str">
        <f>VLOOKUP(tblPoteau[[#This Row],[A]],Tableau_basededonnée[],19,0)</f>
        <v xml:space="preserve">Bonne(s) </v>
      </c>
      <c r="S10" s="47" t="str">
        <f>VLOOKUP(tblPoteau[[#This Row],[A]],Tableau_basededonnée[],20,0)</f>
        <v>Bon</v>
      </c>
      <c r="T10" s="47" t="str">
        <f>VLOOKUP(tblPoteau[[#This Row],[A]],Tableau_basededonnée[],21,0)</f>
        <v>Bonne(s)</v>
      </c>
      <c r="U10" s="47" t="s">
        <v>1</v>
      </c>
      <c r="V10" s="47" t="str">
        <f>VLOOKUP(tblPoteau[[#This Row],[A]],Tableau_basededonnée[],23,0)</f>
        <v>Bonne(s)</v>
      </c>
      <c r="W10" s="47" t="str">
        <f>VLOOKUP(tblPoteau[[#This Row],[A]],Tableau_basededonnée[],24,0)</f>
        <v>Bon</v>
      </c>
      <c r="X10" s="47" t="str">
        <f>VLOOKUP(tblPoteau[[#This Row],[A]],Tableau_basededonnée[],25,0)</f>
        <v>Bonne(s)</v>
      </c>
      <c r="Y10" s="47" t="str">
        <f>VLOOKUP(tblPoteau[[#This Row],[A]],Tableau_basededonnée[],26,0)</f>
        <v>Bonne(s)</v>
      </c>
      <c r="Z10" s="47" t="str">
        <f>VLOOKUP(tblPoteau[[#This Row],[A]],Tableau_basededonnée[],27,0)</f>
        <v>Acier / Pvc</v>
      </c>
      <c r="AA10" s="47" t="str">
        <f>VLOOKUP(tblPoteau[[#This Row],[A]],Tableau_basededonnée[],28,0)</f>
        <v>Moyenne(s)</v>
      </c>
      <c r="AB10" s="47" t="str">
        <f>VLOOKUP(tblPoteau[[#This Row],[A]],Tableau_basededonnée[],29,0)</f>
        <v>Moyenne(s)</v>
      </c>
      <c r="AC10" s="47" t="str">
        <f>VLOOKUP(tblPoteau[[#This Row],[A]],Tableau_basededonnée[],30,0)</f>
        <v>Bon</v>
      </c>
      <c r="AD10" s="46" t="str">
        <f>VLOOKUP(tblPoteau[[#This Row],[A]],Tableau_basededonnée[],31,0)</f>
        <v>Oui</v>
      </c>
      <c r="AE10" s="47" t="str">
        <f>VLOOKUP(tblPoteau[[#This Row],[A]],Tableau_basededonnée[],32,0)</f>
        <v>En état</v>
      </c>
      <c r="AF10" s="47">
        <f>VLOOKUP(tblPoteau[[#This Row],[A]],Tableau_basededonnée[],33,0)</f>
        <v>17</v>
      </c>
      <c r="AG10" s="47">
        <f>VLOOKUP(tblPoteau[[#This Row],[A]],Tableau_basededonnée[],34,0)</f>
        <v>26</v>
      </c>
      <c r="AH10" s="47">
        <f>VLOOKUP(tblPoteau[[#This Row],[A]],Tableau_basededonnée[],35,0)</f>
        <v>55</v>
      </c>
      <c r="AI10" s="46" t="str">
        <f>VLOOKUP(tblPoteau[[#This Row],[A]],Tableau_basededonnée[],36,0)</f>
        <v>Non</v>
      </c>
      <c r="AJ10" s="47" t="str">
        <f>VLOOKUP(tblPoteau[[#This Row],[A]],Tableau_basededonnée[],37,0)</f>
        <v>SANS</v>
      </c>
      <c r="AK10" s="47" t="str">
        <f>VLOOKUP(tblPoteau[[#This Row],[A]],Tableau_basededonnée[],38,0)</f>
        <v>Moyenne(s)</v>
      </c>
      <c r="AL10" s="47" t="str">
        <f>VLOOKUP(tblPoteau[[#This Row],[A]],Tableau_basededonnée[],39,0)</f>
        <v>Mauvaise(s)</v>
      </c>
      <c r="AM10" s="47" t="str">
        <f>VLOOKUP(tblPoteau[[#This Row],[A]],Tableau_basededonnée[],40,0)</f>
        <v>Oui</v>
      </c>
      <c r="AN10" s="47" t="str">
        <f>VLOOKUP(tblPoteau[[#This Row],[A]],Tableau_basededonnée[],41,0)</f>
        <v>Oui</v>
      </c>
      <c r="AO10" s="47" t="str">
        <f>VLOOKUP(tblPoteau[[#This Row],[A]],Tableau_basededonnée[],42,0)</f>
        <v>Oui</v>
      </c>
      <c r="AP10" s="47" t="str">
        <f>VLOOKUP(tblPoteau[[#This Row],[A]],Tableau_basededonnée[],43,0)</f>
        <v>Non</v>
      </c>
      <c r="AQ10" s="47" t="str">
        <f>VLOOKUP(tblPoteau[[#This Row],[A]],Tableau_basededonnée[],44,0)</f>
        <v>Non</v>
      </c>
      <c r="AR10" s="47" t="str">
        <f>VLOOKUP(tblPoteau[[#This Row],[A]],Tableau_basededonnée[],45,0)</f>
        <v>Non</v>
      </c>
      <c r="AS10" s="47" t="str">
        <f>VLOOKUP(tblPoteau[[#This Row],[A]],Tableau_basededonnée[],46,0)</f>
        <v>Moyen</v>
      </c>
      <c r="AT10" s="47" t="str">
        <f>VLOOKUP(tblPoteau[[#This Row],[A]],Tableau_basededonnée[],47,0)</f>
        <v>Non</v>
      </c>
      <c r="AU10" s="47" t="str">
        <f>VLOOKUP(tblPoteau[[#This Row],[A]],Tableau_basededonnée[],48,0)</f>
        <v>RIEN</v>
      </c>
      <c r="AV10" s="47" t="str">
        <f>VLOOKUP(tblPoteau[[#This Row],[A]],Tableau_basededonnée[],49,0)</f>
        <v>OUI</v>
      </c>
      <c r="AW10" s="1" t="s">
        <v>13</v>
      </c>
    </row>
    <row r="11" spans="1:49" ht="9" customHeight="1">
      <c r="A11" s="43" t="s">
        <v>7</v>
      </c>
      <c r="B11" s="44">
        <v>320</v>
      </c>
      <c r="C11" s="45">
        <v>42661</v>
      </c>
      <c r="D11" s="46">
        <f>VLOOKUP(tblPoteau[[#This Row],[A]],Tableau_basededonnée[],5,0)</f>
        <v>900</v>
      </c>
      <c r="E11" s="46" t="str">
        <f>VLOOKUP(tblPoteau[[#This Row],[A]],Tableau_basededonnée[],6,0)</f>
        <v>ARBRE</v>
      </c>
      <c r="F11" s="47" t="str">
        <f>VLOOKUP(tblPoteau[[#This Row],[A]],Tableau_basededonnée[],7,0)</f>
        <v>PECHE</v>
      </c>
      <c r="G11" s="47" t="str">
        <f>VLOOKUP(tblPoteau[[#This Row],[A]],Tableau_basededonnée[],8,0)</f>
        <v>MUGUET</v>
      </c>
      <c r="H11" s="46">
        <f>VLOOKUP(tblPoteau[[#This Row],[A]],Tableau_basededonnée[],9,0)</f>
        <v>1</v>
      </c>
      <c r="I11" s="46">
        <f>VLOOKUP(tblPoteau[[#This Row],[A]],Tableau_basededonnée[],10,0)</f>
        <v>100</v>
      </c>
      <c r="J11" s="47" t="s">
        <v>5</v>
      </c>
      <c r="K11" s="47">
        <f>VLOOKUP(tblPoteau[[#This Row],[A]],Tableau_basededonnée[],12,0)</f>
        <v>4</v>
      </c>
      <c r="L11" s="47" t="str">
        <f>VLOOKUP(tblPoteau[[#This Row],[A]],Tableau_basededonnée[],13,0)</f>
        <v>POTEAU</v>
      </c>
      <c r="M11" s="47" t="str">
        <f>VLOOKUP(tblPoteau[[#This Row],[A]],Tableau_basededonnée[],14,0)</f>
        <v>FIL</v>
      </c>
      <c r="N11" s="47" t="str">
        <f>VLOOKUP(tblPoteau[[#This Row],[A]],Tableau_basededonnée[],15,0)</f>
        <v>Moyenne(s)</v>
      </c>
      <c r="O11" s="47" t="str">
        <f>VLOOKUP(tblPoteau[[#This Row],[A]],Tableau_basededonnée[],16,0)</f>
        <v>Sans</v>
      </c>
      <c r="P11" s="47" t="str">
        <f>VLOOKUP(tblPoteau[[#This Row],[A]],Tableau_basededonnée[],17,0)</f>
        <v>Moyenne(s)</v>
      </c>
      <c r="Q11" s="47" t="str">
        <f>VLOOKUP(tblPoteau[[#This Row],[A]],Tableau_basededonnée[],18,0)</f>
        <v>Bon</v>
      </c>
      <c r="R11" s="47" t="str">
        <f>VLOOKUP(tblPoteau[[#This Row],[A]],Tableau_basededonnée[],19,0)</f>
        <v xml:space="preserve">Bonne(s) </v>
      </c>
      <c r="S11" s="47" t="str">
        <f>VLOOKUP(tblPoteau[[#This Row],[A]],Tableau_basededonnée[],20,0)</f>
        <v>Moyen</v>
      </c>
      <c r="T11" s="47" t="str">
        <f>VLOOKUP(tblPoteau[[#This Row],[A]],Tableau_basededonnée[],21,0)</f>
        <v>Bonne(s)</v>
      </c>
      <c r="U11" s="47" t="s">
        <v>1</v>
      </c>
      <c r="V11" s="47" t="str">
        <f>VLOOKUP(tblPoteau[[#This Row],[A]],Tableau_basededonnée[],23,0)</f>
        <v>Bonne(s)</v>
      </c>
      <c r="W11" s="47" t="str">
        <f>VLOOKUP(tblPoteau[[#This Row],[A]],Tableau_basededonnée[],24,0)</f>
        <v>Bon</v>
      </c>
      <c r="X11" s="47" t="str">
        <f>VLOOKUP(tblPoteau[[#This Row],[A]],Tableau_basededonnée[],25,0)</f>
        <v>Bonne(s)</v>
      </c>
      <c r="Y11" s="47" t="str">
        <f>VLOOKUP(tblPoteau[[#This Row],[A]],Tableau_basededonnée[],26,0)</f>
        <v>Bonne(s)</v>
      </c>
      <c r="Z11" s="47" t="str">
        <f>VLOOKUP(tblPoteau[[#This Row],[A]],Tableau_basededonnée[],27,0)</f>
        <v>Acier</v>
      </c>
      <c r="AA11" s="47" t="str">
        <f>VLOOKUP(tblPoteau[[#This Row],[A]],Tableau_basededonnée[],28,0)</f>
        <v>Moyenne(s)</v>
      </c>
      <c r="AB11" s="47" t="str">
        <f>VLOOKUP(tblPoteau[[#This Row],[A]],Tableau_basededonnée[],29,0)</f>
        <v>Moyenne(s)</v>
      </c>
      <c r="AC11" s="47" t="str">
        <f>VLOOKUP(tblPoteau[[#This Row],[A]],Tableau_basededonnée[],30,0)</f>
        <v>Bon</v>
      </c>
      <c r="AD11" s="46" t="str">
        <f>VLOOKUP(tblPoteau[[#This Row],[A]],Tableau_basededonnée[],31,0)</f>
        <v>Oui</v>
      </c>
      <c r="AE11" s="47" t="str">
        <f>VLOOKUP(tblPoteau[[#This Row],[A]],Tableau_basededonnée[],32,0)</f>
        <v>En état</v>
      </c>
      <c r="AF11" s="47">
        <f>VLOOKUP(tblPoteau[[#This Row],[A]],Tableau_basededonnée[],33,0)</f>
        <v>16</v>
      </c>
      <c r="AG11" s="47">
        <f>VLOOKUP(tblPoteau[[#This Row],[A]],Tableau_basededonnée[],34,0)</f>
        <v>25</v>
      </c>
      <c r="AH11" s="47">
        <f>VLOOKUP(tblPoteau[[#This Row],[A]],Tableau_basededonnée[],35,0)</f>
        <v>55</v>
      </c>
      <c r="AI11" s="46" t="str">
        <f>VLOOKUP(tblPoteau[[#This Row],[A]],Tableau_basededonnée[],36,0)</f>
        <v>Non</v>
      </c>
      <c r="AJ11" s="47" t="str">
        <f>VLOOKUP(tblPoteau[[#This Row],[A]],Tableau_basededonnée[],37,0)</f>
        <v>SANS</v>
      </c>
      <c r="AK11" s="47" t="str">
        <f>VLOOKUP(tblPoteau[[#This Row],[A]],Tableau_basededonnée[],38,0)</f>
        <v>Moyenne(s)</v>
      </c>
      <c r="AL11" s="47" t="str">
        <f>VLOOKUP(tblPoteau[[#This Row],[A]],Tableau_basededonnée[],39,0)</f>
        <v>Mauvaise(s)</v>
      </c>
      <c r="AM11" s="47" t="str">
        <f>VLOOKUP(tblPoteau[[#This Row],[A]],Tableau_basededonnée[],40,0)</f>
        <v>Oui</v>
      </c>
      <c r="AN11" s="47" t="str">
        <f>VLOOKUP(tblPoteau[[#This Row],[A]],Tableau_basededonnée[],41,0)</f>
        <v>Oui</v>
      </c>
      <c r="AO11" s="47" t="str">
        <f>VLOOKUP(tblPoteau[[#This Row],[A]],Tableau_basededonnée[],42,0)</f>
        <v>Oui</v>
      </c>
      <c r="AP11" s="47" t="str">
        <f>VLOOKUP(tblPoteau[[#This Row],[A]],Tableau_basededonnée[],43,0)</f>
        <v>Oui</v>
      </c>
      <c r="AQ11" s="47" t="str">
        <f>VLOOKUP(tblPoteau[[#This Row],[A]],Tableau_basededonnée[],44,0)</f>
        <v>Non</v>
      </c>
      <c r="AR11" s="47" t="str">
        <f>VLOOKUP(tblPoteau[[#This Row],[A]],Tableau_basededonnée[],45,0)</f>
        <v>Non</v>
      </c>
      <c r="AS11" s="47" t="str">
        <f>VLOOKUP(tblPoteau[[#This Row],[A]],Tableau_basededonnée[],46,0)</f>
        <v>Bon</v>
      </c>
      <c r="AT11" s="47" t="str">
        <f>VLOOKUP(tblPoteau[[#This Row],[A]],Tableau_basededonnée[],47,0)</f>
        <v>Non</v>
      </c>
      <c r="AU11" s="47" t="str">
        <f>VLOOKUP(tblPoteau[[#This Row],[A]],Tableau_basededonnée[],48,0)</f>
        <v>RIEN</v>
      </c>
      <c r="AV11" s="47" t="str">
        <f>VLOOKUP(tblPoteau[[#This Row],[A]],Tableau_basededonnée[],49,0)</f>
        <v>SANS</v>
      </c>
      <c r="AW11" s="1" t="s">
        <v>13</v>
      </c>
    </row>
    <row r="12" spans="1:49" ht="9" customHeight="1">
      <c r="A12" s="43" t="s">
        <v>7</v>
      </c>
      <c r="B12" s="44">
        <v>311</v>
      </c>
      <c r="C12" s="45">
        <v>42746</v>
      </c>
      <c r="D12" s="46">
        <f>VLOOKUP(tblPoteau[[#This Row],[A]],Tableau_basededonnée[],5,0)</f>
        <v>900</v>
      </c>
      <c r="E12" s="46" t="str">
        <f>VLOOKUP(tblPoteau[[#This Row],[A]],Tableau_basededonnée[],6,0)</f>
        <v>FLEURS</v>
      </c>
      <c r="F12" s="47" t="str">
        <f>VLOOKUP(tblPoteau[[#This Row],[A]],Tableau_basededonnée[],7,0)</f>
        <v>POIRE</v>
      </c>
      <c r="G12" s="47" t="str">
        <f>VLOOKUP(tblPoteau[[#This Row],[A]],Tableau_basededonnée[],8,0)</f>
        <v>ROSE</v>
      </c>
      <c r="H12" s="46">
        <f>VLOOKUP(tblPoteau[[#This Row],[A]],Tableau_basededonnée[],9,0)</f>
        <v>1</v>
      </c>
      <c r="I12" s="46">
        <f>VLOOKUP(tblPoteau[[#This Row],[A]],Tableau_basededonnée[],10,0)</f>
        <v>50</v>
      </c>
      <c r="J12" s="47" t="s">
        <v>6</v>
      </c>
      <c r="K12" s="47">
        <f>VLOOKUP(tblPoteau[[#This Row],[A]],Tableau_basededonnée[],12,0)</f>
        <v>6</v>
      </c>
      <c r="L12" s="47" t="str">
        <f>VLOOKUP(tblPoteau[[#This Row],[A]],Tableau_basededonnée[],13,0)</f>
        <v>POTEAU</v>
      </c>
      <c r="M12" s="47" t="str">
        <f>VLOOKUP(tblPoteau[[#This Row],[A]],Tableau_basededonnée[],14,0)</f>
        <v>FIL</v>
      </c>
      <c r="N12" s="47" t="str">
        <f>VLOOKUP(tblPoteau[[#This Row],[A]],Tableau_basededonnée[],15,0)</f>
        <v>Bonne(s)</v>
      </c>
      <c r="O12" s="47" t="str">
        <f>VLOOKUP(tblPoteau[[#This Row],[A]],Tableau_basededonnée[],16,0)</f>
        <v>Bonne</v>
      </c>
      <c r="P12" s="47" t="str">
        <f>VLOOKUP(tblPoteau[[#This Row],[A]],Tableau_basededonnée[],17,0)</f>
        <v>Moyenne(s)</v>
      </c>
      <c r="Q12" s="47" t="str">
        <f>VLOOKUP(tblPoteau[[#This Row],[A]],Tableau_basededonnée[],18,0)</f>
        <v>Bon</v>
      </c>
      <c r="R12" s="47" t="str">
        <f>VLOOKUP(tblPoteau[[#This Row],[A]],Tableau_basededonnée[],19,0)</f>
        <v xml:space="preserve">Bonne(s) </v>
      </c>
      <c r="S12" s="47" t="str">
        <f>VLOOKUP(tblPoteau[[#This Row],[A]],Tableau_basededonnée[],20,0)</f>
        <v>Moyen</v>
      </c>
      <c r="T12" s="47" t="str">
        <f>VLOOKUP(tblPoteau[[#This Row],[A]],Tableau_basededonnée[],21,0)</f>
        <v>Bonne(s)</v>
      </c>
      <c r="U12" s="47" t="s">
        <v>1</v>
      </c>
      <c r="V12" s="47" t="str">
        <f>VLOOKUP(tblPoteau[[#This Row],[A]],Tableau_basededonnée[],23,0)</f>
        <v>Moyenne(s)</v>
      </c>
      <c r="W12" s="47" t="str">
        <f>VLOOKUP(tblPoteau[[#This Row],[A]],Tableau_basededonnée[],24,0)</f>
        <v>Bon</v>
      </c>
      <c r="X12" s="47" t="str">
        <f>VLOOKUP(tblPoteau[[#This Row],[A]],Tableau_basededonnée[],25,0)</f>
        <v>Bonne(s)</v>
      </c>
      <c r="Y12" s="47" t="str">
        <f>VLOOKUP(tblPoteau[[#This Row],[A]],Tableau_basededonnée[],26,0)</f>
        <v>Bonne(s)</v>
      </c>
      <c r="Z12" s="47" t="str">
        <f>VLOOKUP(tblPoteau[[#This Row],[A]],Tableau_basededonnée[],27,0)</f>
        <v>Pvc</v>
      </c>
      <c r="AA12" s="47" t="str">
        <f>VLOOKUP(tblPoteau[[#This Row],[A]],Tableau_basededonnée[],28,0)</f>
        <v>Bonne(s)</v>
      </c>
      <c r="AB12" s="47" t="str">
        <f>VLOOKUP(tblPoteau[[#This Row],[A]],Tableau_basededonnée[],29,0)</f>
        <v xml:space="preserve">Bonne(s) </v>
      </c>
      <c r="AC12" s="47" t="str">
        <f>VLOOKUP(tblPoteau[[#This Row],[A]],Tableau_basededonnée[],30,0)</f>
        <v>Bon</v>
      </c>
      <c r="AD12" s="46" t="str">
        <f>VLOOKUP(tblPoteau[[#This Row],[A]],Tableau_basededonnée[],31,0)</f>
        <v>Oui</v>
      </c>
      <c r="AE12" s="47" t="str">
        <f>VLOOKUP(tblPoteau[[#This Row],[A]],Tableau_basededonnée[],32,0)</f>
        <v>En état</v>
      </c>
      <c r="AF12" s="47">
        <f>VLOOKUP(tblPoteau[[#This Row],[A]],Tableau_basededonnée[],33,0)</f>
        <v>13</v>
      </c>
      <c r="AG12" s="47">
        <f>VLOOKUP(tblPoteau[[#This Row],[A]],Tableau_basededonnée[],34,0)</f>
        <v>22</v>
      </c>
      <c r="AH12" s="47" t="str">
        <f>VLOOKUP(tblPoteau[[#This Row],[A]],Tableau_basededonnée[],35,0)</f>
        <v>Oui</v>
      </c>
      <c r="AI12" s="46" t="str">
        <f>VLOOKUP(tblPoteau[[#This Row],[A]],Tableau_basededonnée[],36,0)</f>
        <v>Non</v>
      </c>
      <c r="AJ12" s="47" t="str">
        <f>VLOOKUP(tblPoteau[[#This Row],[A]],Tableau_basededonnée[],37,0)</f>
        <v>SANS</v>
      </c>
      <c r="AK12" s="47" t="str">
        <f>VLOOKUP(tblPoteau[[#This Row],[A]],Tableau_basededonnée[],38,0)</f>
        <v>Moyenne(s)</v>
      </c>
      <c r="AL12" s="47" t="str">
        <f>VLOOKUP(tblPoteau[[#This Row],[A]],Tableau_basededonnée[],39,0)</f>
        <v>Mauvaise(s)</v>
      </c>
      <c r="AM12" s="47" t="str">
        <f>VLOOKUP(tblPoteau[[#This Row],[A]],Tableau_basededonnée[],40,0)</f>
        <v>Oui</v>
      </c>
      <c r="AN12" s="47" t="str">
        <f>VLOOKUP(tblPoteau[[#This Row],[A]],Tableau_basededonnée[],41,0)</f>
        <v>Oui</v>
      </c>
      <c r="AO12" s="48" t="str">
        <f>VLOOKUP(tblPoteau[[#This Row],[A]],Tableau_basededonnée[],42,0)</f>
        <v>Oui</v>
      </c>
      <c r="AP12" s="48" t="str">
        <f>VLOOKUP(tblPoteau[[#This Row],[A]],Tableau_basededonnée[],43,0)</f>
        <v>Oui</v>
      </c>
      <c r="AQ12" s="48" t="str">
        <f>VLOOKUP(tblPoteau[[#This Row],[A]],Tableau_basededonnée[],44,0)</f>
        <v>Non</v>
      </c>
      <c r="AR12" s="48" t="str">
        <f>VLOOKUP(tblPoteau[[#This Row],[A]],Tableau_basededonnée[],45,0)</f>
        <v>Non</v>
      </c>
      <c r="AS12" s="48" t="str">
        <f>VLOOKUP(tblPoteau[[#This Row],[A]],Tableau_basededonnée[],46,0)</f>
        <v>Bon</v>
      </c>
      <c r="AT12" s="48" t="str">
        <f>VLOOKUP(tblPoteau[[#This Row],[A]],Tableau_basededonnée[],47,0)</f>
        <v>Non</v>
      </c>
      <c r="AU12" s="48" t="str">
        <f>VLOOKUP(tblPoteau[[#This Row],[A]],Tableau_basededonnée[],48,0)</f>
        <v>RIEN</v>
      </c>
      <c r="AV12" s="48" t="str">
        <f>VLOOKUP(tblPoteau[[#This Row],[A]],Tableau_basededonnée[],49,0)</f>
        <v>OUI</v>
      </c>
      <c r="AW12" s="1" t="s">
        <v>13</v>
      </c>
    </row>
    <row r="13" spans="1:49" ht="9" customHeight="1">
      <c r="A13" s="43" t="s">
        <v>7</v>
      </c>
      <c r="B13" s="44">
        <v>310</v>
      </c>
      <c r="C13" s="45">
        <v>42748</v>
      </c>
      <c r="D13" s="46">
        <f>VLOOKUP(tblPoteau[[#This Row],[A]],Tableau_basededonnée[],5,0)</f>
        <v>900</v>
      </c>
      <c r="E13" s="46" t="str">
        <f>VLOOKUP(tblPoteau[[#This Row],[A]],Tableau_basededonnée[],6,0)</f>
        <v>FLEURS</v>
      </c>
      <c r="F13" s="47" t="str">
        <f>VLOOKUP(tblPoteau[[#This Row],[A]],Tableau_basededonnée[],7,0)</f>
        <v>CERISE</v>
      </c>
      <c r="G13" s="47" t="str">
        <f>VLOOKUP(tblPoteau[[#This Row],[A]],Tableau_basededonnée[],8,0)</f>
        <v>LAVANDE</v>
      </c>
      <c r="H13" s="46">
        <f>VLOOKUP(tblPoteau[[#This Row],[A]],Tableau_basededonnée[],9,0)</f>
        <v>1</v>
      </c>
      <c r="I13" s="46">
        <f>VLOOKUP(tblPoteau[[#This Row],[A]],Tableau_basededonnée[],10,0)</f>
        <v>10</v>
      </c>
      <c r="J13" s="47" t="s">
        <v>5</v>
      </c>
      <c r="K13" s="47">
        <f>VLOOKUP(tblPoteau[[#This Row],[A]],Tableau_basededonnée[],12,0)</f>
        <v>4</v>
      </c>
      <c r="L13" s="47" t="str">
        <f>VLOOKUP(tblPoteau[[#This Row],[A]],Tableau_basededonnée[],13,0)</f>
        <v>POTEAU</v>
      </c>
      <c r="M13" s="47" t="str">
        <f>VLOOKUP(tblPoteau[[#This Row],[A]],Tableau_basededonnée[],14,0)</f>
        <v>FIL</v>
      </c>
      <c r="N13" s="47" t="str">
        <f>VLOOKUP(tblPoteau[[#This Row],[A]],Tableau_basededonnée[],15,0)</f>
        <v xml:space="preserve">Bonne(s) </v>
      </c>
      <c r="O13" s="47" t="str">
        <f>VLOOKUP(tblPoteau[[#This Row],[A]],Tableau_basededonnée[],16,0)</f>
        <v>Bonne</v>
      </c>
      <c r="P13" s="47" t="str">
        <f>VLOOKUP(tblPoteau[[#This Row],[A]],Tableau_basededonnée[],17,0)</f>
        <v>Moyenne(s)</v>
      </c>
      <c r="Q13" s="47" t="str">
        <f>VLOOKUP(tblPoteau[[#This Row],[A]],Tableau_basededonnée[],18,0)</f>
        <v>Bon</v>
      </c>
      <c r="R13" s="47" t="str">
        <f>VLOOKUP(tblPoteau[[#This Row],[A]],Tableau_basededonnée[],19,0)</f>
        <v>Moyenne(s)</v>
      </c>
      <c r="S13" s="47" t="str">
        <f>VLOOKUP(tblPoteau[[#This Row],[A]],Tableau_basededonnée[],20,0)</f>
        <v>Bon</v>
      </c>
      <c r="T13" s="47" t="str">
        <f>VLOOKUP(tblPoteau[[#This Row],[A]],Tableau_basededonnée[],21,0)</f>
        <v>Bonne(s)</v>
      </c>
      <c r="U13" s="47" t="s">
        <v>1</v>
      </c>
      <c r="V13" s="47" t="str">
        <f>VLOOKUP(tblPoteau[[#This Row],[A]],Tableau_basededonnée[],23,0)</f>
        <v xml:space="preserve">Bonne(s) </v>
      </c>
      <c r="W13" s="47" t="str">
        <f>VLOOKUP(tblPoteau[[#This Row],[A]],Tableau_basededonnée[],24,0)</f>
        <v>Moyen</v>
      </c>
      <c r="X13" s="47" t="str">
        <f>VLOOKUP(tblPoteau[[#This Row],[A]],Tableau_basededonnée[],25,0)</f>
        <v>Bonne(s)</v>
      </c>
      <c r="Y13" s="47" t="str">
        <f>VLOOKUP(tblPoteau[[#This Row],[A]],Tableau_basededonnée[],26,0)</f>
        <v>Bonne(s)</v>
      </c>
      <c r="Z13" s="47" t="str">
        <f>VLOOKUP(tblPoteau[[#This Row],[A]],Tableau_basededonnée[],27,0)</f>
        <v>Acier / Pvc</v>
      </c>
      <c r="AA13" s="47" t="str">
        <f>VLOOKUP(tblPoteau[[#This Row],[A]],Tableau_basededonnée[],28,0)</f>
        <v>Moyenne(s)</v>
      </c>
      <c r="AB13" s="47" t="str">
        <f>VLOOKUP(tblPoteau[[#This Row],[A]],Tableau_basededonnée[],29,0)</f>
        <v>Moyenne(s)</v>
      </c>
      <c r="AC13" s="47" t="str">
        <f>VLOOKUP(tblPoteau[[#This Row],[A]],Tableau_basededonnée[],30,0)</f>
        <v>Bon</v>
      </c>
      <c r="AD13" s="46" t="str">
        <f>VLOOKUP(tblPoteau[[#This Row],[A]],Tableau_basededonnée[],31,0)</f>
        <v>Oui</v>
      </c>
      <c r="AE13" s="47" t="str">
        <f>VLOOKUP(tblPoteau[[#This Row],[A]],Tableau_basededonnée[],32,0)</f>
        <v>BOBINE</v>
      </c>
      <c r="AF13" s="47">
        <f>VLOOKUP(tblPoteau[[#This Row],[A]],Tableau_basededonnée[],33,0)</f>
        <v>12</v>
      </c>
      <c r="AG13" s="47">
        <f>VLOOKUP(tblPoteau[[#This Row],[A]],Tableau_basededonnée[],34,0)</f>
        <v>21</v>
      </c>
      <c r="AH13" s="47">
        <f>VLOOKUP(tblPoteau[[#This Row],[A]],Tableau_basededonnée[],35,0)</f>
        <v>47</v>
      </c>
      <c r="AI13" s="46" t="str">
        <f>VLOOKUP(tblPoteau[[#This Row],[A]],Tableau_basededonnée[],36,0)</f>
        <v>Non</v>
      </c>
      <c r="AJ13" s="47" t="str">
        <f>VLOOKUP(tblPoteau[[#This Row],[A]],Tableau_basededonnée[],37,0)</f>
        <v>SANS</v>
      </c>
      <c r="AK13" s="47" t="str">
        <f>VLOOKUP(tblPoteau[[#This Row],[A]],Tableau_basededonnée[],38,0)</f>
        <v>Moyenne(s)</v>
      </c>
      <c r="AL13" s="47" t="str">
        <f>VLOOKUP(tblPoteau[[#This Row],[A]],Tableau_basededonnée[],39,0)</f>
        <v>Mauvaise(s)</v>
      </c>
      <c r="AM13" s="47" t="str">
        <f>VLOOKUP(tblPoteau[[#This Row],[A]],Tableau_basededonnée[],40,0)</f>
        <v>Oui</v>
      </c>
      <c r="AN13" s="47" t="str">
        <f>VLOOKUP(tblPoteau[[#This Row],[A]],Tableau_basededonnée[],41,0)</f>
        <v>Oui</v>
      </c>
      <c r="AO13" s="48" t="str">
        <f>VLOOKUP(tblPoteau[[#This Row],[A]],Tableau_basededonnée[],42,0)</f>
        <v>Sans objet</v>
      </c>
      <c r="AP13" s="48" t="str">
        <f>VLOOKUP(tblPoteau[[#This Row],[A]],Tableau_basededonnée[],43,0)</f>
        <v>Sans objet</v>
      </c>
      <c r="AQ13" s="48" t="str">
        <f>VLOOKUP(tblPoteau[[#This Row],[A]],Tableau_basededonnée[],44,0)</f>
        <v>Non</v>
      </c>
      <c r="AR13" s="48" t="str">
        <f>VLOOKUP(tblPoteau[[#This Row],[A]],Tableau_basededonnée[],45,0)</f>
        <v>Non</v>
      </c>
      <c r="AS13" s="48" t="str">
        <f>VLOOKUP(tblPoteau[[#This Row],[A]],Tableau_basededonnée[],46,0)</f>
        <v>Bon</v>
      </c>
      <c r="AT13" s="48" t="str">
        <f>VLOOKUP(tblPoteau[[#This Row],[A]],Tableau_basededonnée[],47,0)</f>
        <v>Oui (NS)</v>
      </c>
      <c r="AU13" s="48" t="str">
        <f>VLOOKUP(tblPoteau[[#This Row],[A]],Tableau_basededonnée[],48,0)</f>
        <v>RIEN</v>
      </c>
      <c r="AV13" s="48" t="str">
        <f>VLOOKUP(tblPoteau[[#This Row],[A]],Tableau_basededonnée[],49,0)</f>
        <v>OUI</v>
      </c>
      <c r="AW13" s="1" t="s">
        <v>13</v>
      </c>
    </row>
    <row r="14" spans="1:49" ht="9" customHeight="1">
      <c r="A14" s="43" t="s">
        <v>7</v>
      </c>
      <c r="B14" s="44">
        <v>312</v>
      </c>
      <c r="C14" s="45">
        <v>42880</v>
      </c>
      <c r="D14" s="46">
        <f>VLOOKUP(tblPoteau[[#This Row],[A]],Tableau_basededonnée[],5,0)</f>
        <v>900</v>
      </c>
      <c r="E14" s="46" t="str">
        <f>VLOOKUP(tblPoteau[[#This Row],[A]],Tableau_basededonnée[],6,0)</f>
        <v>FLEURS</v>
      </c>
      <c r="F14" s="47" t="str">
        <f>VLOOKUP(tblPoteau[[#This Row],[A]],Tableau_basededonnée[],7,0)</f>
        <v>POMME</v>
      </c>
      <c r="G14" s="47" t="str">
        <f>VLOOKUP(tblPoteau[[#This Row],[A]],Tableau_basededonnée[],8,0)</f>
        <v>PAQUERETTE</v>
      </c>
      <c r="H14" s="46">
        <f>VLOOKUP(tblPoteau[[#This Row],[A]],Tableau_basededonnée[],9,0)</f>
        <v>1</v>
      </c>
      <c r="I14" s="46">
        <f>VLOOKUP(tblPoteau[[#This Row],[A]],Tableau_basededonnée[],10,0)</f>
        <v>150</v>
      </c>
      <c r="J14" s="47" t="s">
        <v>5</v>
      </c>
      <c r="K14" s="47">
        <f>VLOOKUP(tblPoteau[[#This Row],[A]],Tableau_basededonnée[],12,0)</f>
        <v>7</v>
      </c>
      <c r="L14" s="47" t="str">
        <f>VLOOKUP(tblPoteau[[#This Row],[A]],Tableau_basededonnée[],13,0)</f>
        <v>POTEAU</v>
      </c>
      <c r="M14" s="47" t="str">
        <f>VLOOKUP(tblPoteau[[#This Row],[A]],Tableau_basededonnée[],14,0)</f>
        <v>FIL</v>
      </c>
      <c r="N14" s="47" t="str">
        <f>VLOOKUP(tblPoteau[[#This Row],[A]],Tableau_basededonnée[],15,0)</f>
        <v>Moyenne(s)</v>
      </c>
      <c r="O14" s="47" t="str">
        <f>VLOOKUP(tblPoteau[[#This Row],[A]],Tableau_basededonnée[],16,0)</f>
        <v>Sans</v>
      </c>
      <c r="P14" s="47" t="str">
        <f>VLOOKUP(tblPoteau[[#This Row],[A]],Tableau_basededonnée[],17,0)</f>
        <v>Moyenne(s)</v>
      </c>
      <c r="Q14" s="47" t="str">
        <f>VLOOKUP(tblPoteau[[#This Row],[A]],Tableau_basededonnée[],18,0)</f>
        <v>Moyen</v>
      </c>
      <c r="R14" s="47" t="str">
        <f>VLOOKUP(tblPoteau[[#This Row],[A]],Tableau_basededonnée[],19,0)</f>
        <v xml:space="preserve">Bonne(s) </v>
      </c>
      <c r="S14" s="47" t="str">
        <f>VLOOKUP(tblPoteau[[#This Row],[A]],Tableau_basededonnée[],20,0)</f>
        <v>Moyen</v>
      </c>
      <c r="T14" s="47" t="str">
        <f>VLOOKUP(tblPoteau[[#This Row],[A]],Tableau_basededonnée[],21,0)</f>
        <v>Bonne(s)</v>
      </c>
      <c r="U14" s="47" t="s">
        <v>1</v>
      </c>
      <c r="V14" s="47" t="str">
        <f>VLOOKUP(tblPoteau[[#This Row],[A]],Tableau_basededonnée[],23,0)</f>
        <v>Bonne(s)</v>
      </c>
      <c r="W14" s="47" t="str">
        <f>VLOOKUP(tblPoteau[[#This Row],[A]],Tableau_basededonnée[],24,0)</f>
        <v>Moyen</v>
      </c>
      <c r="X14" s="47" t="str">
        <f>VLOOKUP(tblPoteau[[#This Row],[A]],Tableau_basededonnée[],25,0)</f>
        <v>Bonne(s)</v>
      </c>
      <c r="Y14" s="47" t="str">
        <f>VLOOKUP(tblPoteau[[#This Row],[A]],Tableau_basededonnée[],26,0)</f>
        <v>Bonne(s)</v>
      </c>
      <c r="Z14" s="47" t="str">
        <f>VLOOKUP(tblPoteau[[#This Row],[A]],Tableau_basededonnée[],27,0)</f>
        <v>Acier / Inox</v>
      </c>
      <c r="AA14" s="47" t="str">
        <f>VLOOKUP(tblPoteau[[#This Row],[A]],Tableau_basededonnée[],28,0)</f>
        <v>Bonne(s)</v>
      </c>
      <c r="AB14" s="47" t="str">
        <f>VLOOKUP(tblPoteau[[#This Row],[A]],Tableau_basededonnée[],29,0)</f>
        <v xml:space="preserve">Bonne(s) </v>
      </c>
      <c r="AC14" s="47" t="str">
        <f>VLOOKUP(tblPoteau[[#This Row],[A]],Tableau_basededonnée[],30,0)</f>
        <v>Bon</v>
      </c>
      <c r="AD14" s="46" t="str">
        <f>VLOOKUP(tblPoteau[[#This Row],[A]],Tableau_basededonnée[],31,0)</f>
        <v>Oui</v>
      </c>
      <c r="AE14" s="47" t="str">
        <f>VLOOKUP(tblPoteau[[#This Row],[A]],Tableau_basededonnée[],32,0)</f>
        <v>En état</v>
      </c>
      <c r="AF14" s="47">
        <f>VLOOKUP(tblPoteau[[#This Row],[A]],Tableau_basededonnée[],33,0)</f>
        <v>14</v>
      </c>
      <c r="AG14" s="47">
        <f>VLOOKUP(tblPoteau[[#This Row],[A]],Tableau_basededonnée[],34,0)</f>
        <v>23</v>
      </c>
      <c r="AH14" s="47">
        <f>VLOOKUP(tblPoteau[[#This Row],[A]],Tableau_basededonnée[],35,0)</f>
        <v>55</v>
      </c>
      <c r="AI14" s="46" t="str">
        <f>VLOOKUP(tblPoteau[[#This Row],[A]],Tableau_basededonnée[],36,0)</f>
        <v>Non</v>
      </c>
      <c r="AJ14" s="47" t="str">
        <f>VLOOKUP(tblPoteau[[#This Row],[A]],Tableau_basededonnée[],37,0)</f>
        <v>SANS</v>
      </c>
      <c r="AK14" s="47" t="str">
        <f>VLOOKUP(tblPoteau[[#This Row],[A]],Tableau_basededonnée[],38,0)</f>
        <v>Moyenne(s)</v>
      </c>
      <c r="AL14" s="47" t="str">
        <f>VLOOKUP(tblPoteau[[#This Row],[A]],Tableau_basededonnée[],39,0)</f>
        <v>Mauvaise(s)</v>
      </c>
      <c r="AM14" s="47" t="str">
        <f>VLOOKUP(tblPoteau[[#This Row],[A]],Tableau_basededonnée[],40,0)</f>
        <v>Oui</v>
      </c>
      <c r="AN14" s="47" t="str">
        <f>VLOOKUP(tblPoteau[[#This Row],[A]],Tableau_basededonnée[],41,0)</f>
        <v>Oui</v>
      </c>
      <c r="AO14" s="48" t="str">
        <f>VLOOKUP(tblPoteau[[#This Row],[A]],Tableau_basededonnée[],42,0)</f>
        <v>Oui</v>
      </c>
      <c r="AP14" s="48" t="str">
        <f>VLOOKUP(tblPoteau[[#This Row],[A]],Tableau_basededonnée[],43,0)</f>
        <v>Oui</v>
      </c>
      <c r="AQ14" s="48" t="str">
        <f>VLOOKUP(tblPoteau[[#This Row],[A]],Tableau_basededonnée[],44,0)</f>
        <v>Oui</v>
      </c>
      <c r="AR14" s="48" t="str">
        <f>VLOOKUP(tblPoteau[[#This Row],[A]],Tableau_basededonnée[],45,0)</f>
        <v>Non</v>
      </c>
      <c r="AS14" s="48" t="str">
        <f>VLOOKUP(tblPoteau[[#This Row],[A]],Tableau_basededonnée[],46,0)</f>
        <v xml:space="preserve">Mauvais </v>
      </c>
      <c r="AT14" s="48" t="str">
        <f>VLOOKUP(tblPoteau[[#This Row],[A]],Tableau_basededonnée[],47,0)</f>
        <v>Non</v>
      </c>
      <c r="AU14" s="48" t="str">
        <f>VLOOKUP(tblPoteau[[#This Row],[A]],Tableau_basededonnée[],48,0)</f>
        <v>RIEN</v>
      </c>
      <c r="AV14" s="48" t="str">
        <f>VLOOKUP(tblPoteau[[#This Row],[A]],Tableau_basededonnée[],49,0)</f>
        <v>OUI</v>
      </c>
      <c r="AW14" s="1" t="s">
        <v>13</v>
      </c>
    </row>
    <row r="15" spans="1:49" ht="9" customHeight="1">
      <c r="A15" s="43" t="s">
        <v>7</v>
      </c>
      <c r="B15" s="44">
        <v>321</v>
      </c>
      <c r="C15" s="45">
        <v>42845</v>
      </c>
      <c r="D15" s="46">
        <f>VLOOKUP(tblPoteau[[#This Row],[A]],Tableau_basededonnée[],5,0)</f>
        <v>900</v>
      </c>
      <c r="E15" s="46" t="str">
        <f>VLOOKUP(tblPoteau[[#This Row],[A]],Tableau_basededonnée[],6,0)</f>
        <v>ARBRE</v>
      </c>
      <c r="F15" s="47" t="str">
        <f>VLOOKUP(tblPoteau[[#This Row],[A]],Tableau_basededonnée[],7,0)</f>
        <v>NOIX</v>
      </c>
      <c r="G15" s="47" t="str">
        <f>VLOOKUP(tblPoteau[[#This Row],[A]],Tableau_basededonnée[],8,0)</f>
        <v>NARCISSE</v>
      </c>
      <c r="H15" s="46">
        <f>VLOOKUP(tblPoteau[[#This Row],[A]],Tableau_basededonnée[],9,0)</f>
        <v>1</v>
      </c>
      <c r="I15" s="46">
        <f>VLOOKUP(tblPoteau[[#This Row],[A]],Tableau_basededonnée[],10,0)</f>
        <v>100</v>
      </c>
      <c r="J15" s="47" t="s">
        <v>6</v>
      </c>
      <c r="K15" s="47">
        <f>VLOOKUP(tblPoteau[[#This Row],[A]],Tableau_basededonnée[],12,0)</f>
        <v>5</v>
      </c>
      <c r="L15" s="47" t="str">
        <f>VLOOKUP(tblPoteau[[#This Row],[A]],Tableau_basededonnée[],13,0)</f>
        <v>POTEAU</v>
      </c>
      <c r="M15" s="47" t="str">
        <f>VLOOKUP(tblPoteau[[#This Row],[A]],Tableau_basededonnée[],14,0)</f>
        <v>FIL</v>
      </c>
      <c r="N15" s="47" t="str">
        <f>VLOOKUP(tblPoteau[[#This Row],[A]],Tableau_basededonnée[],15,0)</f>
        <v xml:space="preserve">Bonne(s) </v>
      </c>
      <c r="O15" s="47" t="str">
        <f>VLOOKUP(tblPoteau[[#This Row],[A]],Tableau_basededonnée[],16,0)</f>
        <v>Bonne</v>
      </c>
      <c r="P15" s="47" t="str">
        <f>VLOOKUP(tblPoteau[[#This Row],[A]],Tableau_basededonnée[],17,0)</f>
        <v>Moyenne(s)</v>
      </c>
      <c r="Q15" s="47" t="str">
        <f>VLOOKUP(tblPoteau[[#This Row],[A]],Tableau_basededonnée[],18,0)</f>
        <v>Bon</v>
      </c>
      <c r="R15" s="47" t="str">
        <f>VLOOKUP(tblPoteau[[#This Row],[A]],Tableau_basededonnée[],19,0)</f>
        <v xml:space="preserve">Bonne(s) </v>
      </c>
      <c r="S15" s="47" t="str">
        <f>VLOOKUP(tblPoteau[[#This Row],[A]],Tableau_basededonnée[],20,0)</f>
        <v>Bon</v>
      </c>
      <c r="T15" s="47" t="str">
        <f>VLOOKUP(tblPoteau[[#This Row],[A]],Tableau_basededonnée[],21,0)</f>
        <v>Bonne(s)</v>
      </c>
      <c r="U15" s="47" t="s">
        <v>1</v>
      </c>
      <c r="V15" s="47" t="str">
        <f>VLOOKUP(tblPoteau[[#This Row],[A]],Tableau_basededonnée[],23,0)</f>
        <v>Bonne(s)</v>
      </c>
      <c r="W15" s="47" t="str">
        <f>VLOOKUP(tblPoteau[[#This Row],[A]],Tableau_basededonnée[],24,0)</f>
        <v>Bon</v>
      </c>
      <c r="X15" s="47" t="str">
        <f>VLOOKUP(tblPoteau[[#This Row],[A]],Tableau_basededonnée[],25,0)</f>
        <v>Bonne(s)</v>
      </c>
      <c r="Y15" s="47" t="str">
        <f>VLOOKUP(tblPoteau[[#This Row],[A]],Tableau_basededonnée[],26,0)</f>
        <v>Bonne(s)</v>
      </c>
      <c r="Z15" s="47" t="str">
        <f>VLOOKUP(tblPoteau[[#This Row],[A]],Tableau_basededonnée[],27,0)</f>
        <v>Acier / Pvc</v>
      </c>
      <c r="AA15" s="47" t="str">
        <f>VLOOKUP(tblPoteau[[#This Row],[A]],Tableau_basededonnée[],28,0)</f>
        <v>Moyenne(s)</v>
      </c>
      <c r="AB15" s="47" t="str">
        <f>VLOOKUP(tblPoteau[[#This Row],[A]],Tableau_basededonnée[],29,0)</f>
        <v>Moyenne(s)</v>
      </c>
      <c r="AC15" s="47" t="str">
        <f>VLOOKUP(tblPoteau[[#This Row],[A]],Tableau_basededonnée[],30,0)</f>
        <v>Bon</v>
      </c>
      <c r="AD15" s="46" t="str">
        <f>VLOOKUP(tblPoteau[[#This Row],[A]],Tableau_basededonnée[],31,0)</f>
        <v>Oui</v>
      </c>
      <c r="AE15" s="47" t="str">
        <f>VLOOKUP(tblPoteau[[#This Row],[A]],Tableau_basededonnée[],32,0)</f>
        <v>En état</v>
      </c>
      <c r="AF15" s="47">
        <f>VLOOKUP(tblPoteau[[#This Row],[A]],Tableau_basededonnée[],33,0)</f>
        <v>17</v>
      </c>
      <c r="AG15" s="47">
        <f>VLOOKUP(tblPoteau[[#This Row],[A]],Tableau_basededonnée[],34,0)</f>
        <v>26</v>
      </c>
      <c r="AH15" s="47">
        <f>VLOOKUP(tblPoteau[[#This Row],[A]],Tableau_basededonnée[],35,0)</f>
        <v>55</v>
      </c>
      <c r="AI15" s="46" t="str">
        <f>VLOOKUP(tblPoteau[[#This Row],[A]],Tableau_basededonnée[],36,0)</f>
        <v>Non</v>
      </c>
      <c r="AJ15" s="47" t="str">
        <f>VLOOKUP(tblPoteau[[#This Row],[A]],Tableau_basededonnée[],37,0)</f>
        <v>SANS</v>
      </c>
      <c r="AK15" s="47" t="str">
        <f>VLOOKUP(tblPoteau[[#This Row],[A]],Tableau_basededonnée[],38,0)</f>
        <v>Moyenne(s)</v>
      </c>
      <c r="AL15" s="47" t="str">
        <f>VLOOKUP(tblPoteau[[#This Row],[A]],Tableau_basededonnée[],39,0)</f>
        <v>Mauvaise(s)</v>
      </c>
      <c r="AM15" s="47" t="str">
        <f>VLOOKUP(tblPoteau[[#This Row],[A]],Tableau_basededonnée[],40,0)</f>
        <v>Oui</v>
      </c>
      <c r="AN15" s="47" t="str">
        <f>VLOOKUP(tblPoteau[[#This Row],[A]],Tableau_basededonnée[],41,0)</f>
        <v>Oui</v>
      </c>
      <c r="AO15" s="48" t="str">
        <f>VLOOKUP(tblPoteau[[#This Row],[A]],Tableau_basededonnée[],42,0)</f>
        <v>Oui</v>
      </c>
      <c r="AP15" s="48" t="str">
        <f>VLOOKUP(tblPoteau[[#This Row],[A]],Tableau_basededonnée[],43,0)</f>
        <v>Non</v>
      </c>
      <c r="AQ15" s="48" t="str">
        <f>VLOOKUP(tblPoteau[[#This Row],[A]],Tableau_basededonnée[],44,0)</f>
        <v>Non</v>
      </c>
      <c r="AR15" s="48" t="str">
        <f>VLOOKUP(tblPoteau[[#This Row],[A]],Tableau_basededonnée[],45,0)</f>
        <v>Non</v>
      </c>
      <c r="AS15" s="48" t="str">
        <f>VLOOKUP(tblPoteau[[#This Row],[A]],Tableau_basededonnée[],46,0)</f>
        <v>Moyen</v>
      </c>
      <c r="AT15" s="48" t="str">
        <f>VLOOKUP(tblPoteau[[#This Row],[A]],Tableau_basededonnée[],47,0)</f>
        <v>Non</v>
      </c>
      <c r="AU15" s="48" t="str">
        <f>VLOOKUP(tblPoteau[[#This Row],[A]],Tableau_basededonnée[],48,0)</f>
        <v>RIEN</v>
      </c>
      <c r="AV15" s="48" t="str">
        <f>VLOOKUP(tblPoteau[[#This Row],[A]],Tableau_basededonnée[],49,0)</f>
        <v>OUI</v>
      </c>
      <c r="AW15" s="1"/>
    </row>
    <row r="16" spans="1:49" ht="9" customHeight="1">
      <c r="A16" s="43" t="s">
        <v>7</v>
      </c>
      <c r="B16" s="49">
        <v>310</v>
      </c>
      <c r="C16" s="50">
        <v>43104</v>
      </c>
      <c r="D16" s="51">
        <f>VLOOKUP(tblPoteau[[#This Row],[A]],Tableau_basededonnée[],5,0)</f>
        <v>900</v>
      </c>
      <c r="E16" s="51" t="str">
        <f>VLOOKUP(tblPoteau[[#This Row],[A]],Tableau_basededonnée[],6,0)</f>
        <v>FLEURS</v>
      </c>
      <c r="F16" s="52" t="str">
        <f>VLOOKUP(tblPoteau[[#This Row],[A]],Tableau_basededonnée[],7,0)</f>
        <v>CERISE</v>
      </c>
      <c r="G16" s="52" t="str">
        <f>VLOOKUP(tblPoteau[[#This Row],[A]],Tableau_basededonnée[],8,0)</f>
        <v>LAVANDE</v>
      </c>
      <c r="H16" s="51">
        <f>VLOOKUP(tblPoteau[[#This Row],[A]],Tableau_basededonnée[],9,0)</f>
        <v>1</v>
      </c>
      <c r="I16" s="51">
        <f>VLOOKUP(tblPoteau[[#This Row],[A]],Tableau_basededonnée[],10,0)</f>
        <v>10</v>
      </c>
      <c r="J16" s="52" t="s">
        <v>5</v>
      </c>
      <c r="K16" s="52">
        <f>VLOOKUP(tblPoteau[[#This Row],[A]],Tableau_basededonnée[],12,0)</f>
        <v>4</v>
      </c>
      <c r="L16" s="52" t="str">
        <f>VLOOKUP(tblPoteau[[#This Row],[A]],Tableau_basededonnée[],13,0)</f>
        <v>POTEAU</v>
      </c>
      <c r="M16" s="52" t="str">
        <f>VLOOKUP(tblPoteau[[#This Row],[A]],Tableau_basededonnée[],14,0)</f>
        <v>FIL</v>
      </c>
      <c r="N16" s="52" t="str">
        <f>VLOOKUP(tblPoteau[[#This Row],[A]],Tableau_basededonnée[],15,0)</f>
        <v xml:space="preserve">Bonne(s) </v>
      </c>
      <c r="O16" s="52" t="str">
        <f>VLOOKUP(tblPoteau[[#This Row],[A]],Tableau_basededonnée[],16,0)</f>
        <v>Bonne</v>
      </c>
      <c r="P16" s="52" t="str">
        <f>VLOOKUP(tblPoteau[[#This Row],[A]],Tableau_basededonnée[],17,0)</f>
        <v>Moyenne(s)</v>
      </c>
      <c r="Q16" s="52" t="str">
        <f>VLOOKUP(tblPoteau[[#This Row],[A]],Tableau_basededonnée[],18,0)</f>
        <v>Bon</v>
      </c>
      <c r="R16" s="52" t="str">
        <f>VLOOKUP(tblPoteau[[#This Row],[A]],Tableau_basededonnée[],19,0)</f>
        <v>Moyenne(s)</v>
      </c>
      <c r="S16" s="52" t="str">
        <f>VLOOKUP(tblPoteau[[#This Row],[A]],Tableau_basededonnée[],20,0)</f>
        <v>Bon</v>
      </c>
      <c r="T16" s="52" t="str">
        <f>VLOOKUP(tblPoteau[[#This Row],[A]],Tableau_basededonnée[],21,0)</f>
        <v>Bonne(s)</v>
      </c>
      <c r="U16" s="52" t="s">
        <v>1</v>
      </c>
      <c r="V16" s="52" t="str">
        <f>VLOOKUP(tblPoteau[[#This Row],[A]],Tableau_basededonnée[],23,0)</f>
        <v xml:space="preserve">Bonne(s) </v>
      </c>
      <c r="W16" s="52" t="str">
        <f>VLOOKUP(tblPoteau[[#This Row],[A]],Tableau_basededonnée[],24,0)</f>
        <v>Moyen</v>
      </c>
      <c r="X16" s="52" t="str">
        <f>VLOOKUP(tblPoteau[[#This Row],[A]],Tableau_basededonnée[],25,0)</f>
        <v>Bonne(s)</v>
      </c>
      <c r="Y16" s="52" t="str">
        <f>VLOOKUP(tblPoteau[[#This Row],[A]],Tableau_basededonnée[],26,0)</f>
        <v>Bonne(s)</v>
      </c>
      <c r="Z16" s="52" t="str">
        <f>VLOOKUP(tblPoteau[[#This Row],[A]],Tableau_basededonnée[],27,0)</f>
        <v>Acier / Pvc</v>
      </c>
      <c r="AA16" s="52" t="str">
        <f>VLOOKUP(tblPoteau[[#This Row],[A]],Tableau_basededonnée[],28,0)</f>
        <v>Moyenne(s)</v>
      </c>
      <c r="AB16" s="52" t="str">
        <f>VLOOKUP(tblPoteau[[#This Row],[A]],Tableau_basededonnée[],29,0)</f>
        <v>Moyenne(s)</v>
      </c>
      <c r="AC16" s="52" t="str">
        <f>VLOOKUP(tblPoteau[[#This Row],[A]],Tableau_basededonnée[],30,0)</f>
        <v>Bon</v>
      </c>
      <c r="AD16" s="51" t="str">
        <f>VLOOKUP(tblPoteau[[#This Row],[A]],Tableau_basededonnée[],31,0)</f>
        <v>Oui</v>
      </c>
      <c r="AE16" s="52" t="str">
        <f>VLOOKUP(tblPoteau[[#This Row],[A]],Tableau_basededonnée[],32,0)</f>
        <v>BOBINE</v>
      </c>
      <c r="AF16" s="52">
        <f>VLOOKUP(tblPoteau[[#This Row],[A]],Tableau_basededonnée[],33,0)</f>
        <v>12</v>
      </c>
      <c r="AG16" s="52">
        <f>VLOOKUP(tblPoteau[[#This Row],[A]],Tableau_basededonnée[],34,0)</f>
        <v>21</v>
      </c>
      <c r="AH16" s="52">
        <f>VLOOKUP(tblPoteau[[#This Row],[A]],Tableau_basededonnée[],35,0)</f>
        <v>47</v>
      </c>
      <c r="AI16" s="51" t="str">
        <f>VLOOKUP(tblPoteau[[#This Row],[A]],Tableau_basededonnée[],36,0)</f>
        <v>Non</v>
      </c>
      <c r="AJ16" s="52" t="str">
        <f>VLOOKUP(tblPoteau[[#This Row],[A]],Tableau_basededonnée[],37,0)</f>
        <v>SANS</v>
      </c>
      <c r="AK16" s="52" t="str">
        <f>VLOOKUP(tblPoteau[[#This Row],[A]],Tableau_basededonnée[],38,0)</f>
        <v>Moyenne(s)</v>
      </c>
      <c r="AL16" s="52" t="str">
        <f>VLOOKUP(tblPoteau[[#This Row],[A]],Tableau_basededonnée[],39,0)</f>
        <v>Mauvaise(s)</v>
      </c>
      <c r="AM16" s="52" t="str">
        <f>VLOOKUP(tblPoteau[[#This Row],[A]],Tableau_basededonnée[],40,0)</f>
        <v>Oui</v>
      </c>
      <c r="AN16" s="52" t="str">
        <f>VLOOKUP(tblPoteau[[#This Row],[A]],Tableau_basededonnée[],41,0)</f>
        <v>Oui</v>
      </c>
      <c r="AO16" s="52" t="str">
        <f>VLOOKUP(tblPoteau[[#This Row],[A]],Tableau_basededonnée[],42,0)</f>
        <v>Sans objet</v>
      </c>
      <c r="AP16" s="52" t="str">
        <f>VLOOKUP(tblPoteau[[#This Row],[A]],Tableau_basededonnée[],43,0)</f>
        <v>Sans objet</v>
      </c>
      <c r="AQ16" s="52" t="str">
        <f>VLOOKUP(tblPoteau[[#This Row],[A]],Tableau_basededonnée[],44,0)</f>
        <v>Non</v>
      </c>
      <c r="AR16" s="52" t="str">
        <f>VLOOKUP(tblPoteau[[#This Row],[A]],Tableau_basededonnée[],45,0)</f>
        <v>Non</v>
      </c>
      <c r="AS16" s="52" t="str">
        <f>VLOOKUP(tblPoteau[[#This Row],[A]],Tableau_basededonnée[],46,0)</f>
        <v>Bon</v>
      </c>
      <c r="AT16" s="52" t="str">
        <f>VLOOKUP(tblPoteau[[#This Row],[A]],Tableau_basededonnée[],47,0)</f>
        <v>Oui (NS)</v>
      </c>
      <c r="AU16" s="52" t="str">
        <f>VLOOKUP(tblPoteau[[#This Row],[A]],Tableau_basededonnée[],48,0)</f>
        <v>RIEN</v>
      </c>
      <c r="AV16" s="52" t="str">
        <f>VLOOKUP(tblPoteau[[#This Row],[A]],Tableau_basededonnée[],49,0)</f>
        <v>OUI</v>
      </c>
      <c r="AW16" s="2"/>
    </row>
    <row r="17" spans="1:49" ht="9" customHeight="1">
      <c r="A17" s="43" t="s">
        <v>7</v>
      </c>
      <c r="B17" s="44">
        <v>311</v>
      </c>
      <c r="C17" s="45">
        <v>43118</v>
      </c>
      <c r="D17" s="46">
        <f>VLOOKUP(tblPoteau[[#This Row],[A]],Tableau_basededonnée[],5,0)</f>
        <v>900</v>
      </c>
      <c r="E17" s="46" t="str">
        <f>VLOOKUP(tblPoteau[[#This Row],[A]],Tableau_basededonnée[],6,0)</f>
        <v>FLEURS</v>
      </c>
      <c r="F17" s="47" t="str">
        <f>VLOOKUP(tblPoteau[[#This Row],[A]],Tableau_basededonnée[],7,0)</f>
        <v>POIRE</v>
      </c>
      <c r="G17" s="47" t="str">
        <f>VLOOKUP(tblPoteau[[#This Row],[A]],Tableau_basededonnée[],8,0)</f>
        <v>ROSE</v>
      </c>
      <c r="H17" s="46">
        <f>VLOOKUP(tblPoteau[[#This Row],[A]],Tableau_basededonnée[],9,0)</f>
        <v>1</v>
      </c>
      <c r="I17" s="46">
        <f>VLOOKUP(tblPoteau[[#This Row],[A]],Tableau_basededonnée[],10,0)</f>
        <v>50</v>
      </c>
      <c r="J17" s="47" t="s">
        <v>6</v>
      </c>
      <c r="K17" s="47">
        <f>VLOOKUP(tblPoteau[[#This Row],[A]],Tableau_basededonnée[],12,0)</f>
        <v>6</v>
      </c>
      <c r="L17" s="47" t="str">
        <f>VLOOKUP(tblPoteau[[#This Row],[A]],Tableau_basededonnée[],13,0)</f>
        <v>POTEAU</v>
      </c>
      <c r="M17" s="47" t="str">
        <f>VLOOKUP(tblPoteau[[#This Row],[A]],Tableau_basededonnée[],14,0)</f>
        <v>FIL</v>
      </c>
      <c r="N17" s="47" t="str">
        <f>VLOOKUP(tblPoteau[[#This Row],[A]],Tableau_basededonnée[],15,0)</f>
        <v>Bonne(s)</v>
      </c>
      <c r="O17" s="47" t="str">
        <f>VLOOKUP(tblPoteau[[#This Row],[A]],Tableau_basededonnée[],16,0)</f>
        <v>Bonne</v>
      </c>
      <c r="P17" s="47" t="str">
        <f>VLOOKUP(tblPoteau[[#This Row],[A]],Tableau_basededonnée[],17,0)</f>
        <v>Moyenne(s)</v>
      </c>
      <c r="Q17" s="47" t="str">
        <f>VLOOKUP(tblPoteau[[#This Row],[A]],Tableau_basededonnée[],18,0)</f>
        <v>Bon</v>
      </c>
      <c r="R17" s="47" t="str">
        <f>VLOOKUP(tblPoteau[[#This Row],[A]],Tableau_basededonnée[],19,0)</f>
        <v xml:space="preserve">Bonne(s) </v>
      </c>
      <c r="S17" s="47" t="str">
        <f>VLOOKUP(tblPoteau[[#This Row],[A]],Tableau_basededonnée[],20,0)</f>
        <v>Moyen</v>
      </c>
      <c r="T17" s="47" t="str">
        <f>VLOOKUP(tblPoteau[[#This Row],[A]],Tableau_basededonnée[],21,0)</f>
        <v>Bonne(s)</v>
      </c>
      <c r="U17" s="47" t="s">
        <v>1</v>
      </c>
      <c r="V17" s="47" t="str">
        <f>VLOOKUP(tblPoteau[[#This Row],[A]],Tableau_basededonnée[],23,0)</f>
        <v>Moyenne(s)</v>
      </c>
      <c r="W17" s="47" t="str">
        <f>VLOOKUP(tblPoteau[[#This Row],[A]],Tableau_basededonnée[],24,0)</f>
        <v>Bon</v>
      </c>
      <c r="X17" s="47" t="str">
        <f>VLOOKUP(tblPoteau[[#This Row],[A]],Tableau_basededonnée[],25,0)</f>
        <v>Bonne(s)</v>
      </c>
      <c r="Y17" s="47" t="str">
        <f>VLOOKUP(tblPoteau[[#This Row],[A]],Tableau_basededonnée[],26,0)</f>
        <v>Bonne(s)</v>
      </c>
      <c r="Z17" s="47" t="str">
        <f>VLOOKUP(tblPoteau[[#This Row],[A]],Tableau_basededonnée[],27,0)</f>
        <v>Pvc</v>
      </c>
      <c r="AA17" s="47" t="str">
        <f>VLOOKUP(tblPoteau[[#This Row],[A]],Tableau_basededonnée[],28,0)</f>
        <v>Bonne(s)</v>
      </c>
      <c r="AB17" s="47" t="str">
        <f>VLOOKUP(tblPoteau[[#This Row],[A]],Tableau_basededonnée[],29,0)</f>
        <v xml:space="preserve">Bonne(s) </v>
      </c>
      <c r="AC17" s="47" t="str">
        <f>VLOOKUP(tblPoteau[[#This Row],[A]],Tableau_basededonnée[],30,0)</f>
        <v>Bon</v>
      </c>
      <c r="AD17" s="46" t="str">
        <f>VLOOKUP(tblPoteau[[#This Row],[A]],Tableau_basededonnée[],31,0)</f>
        <v>Oui</v>
      </c>
      <c r="AE17" s="47" t="str">
        <f>VLOOKUP(tblPoteau[[#This Row],[A]],Tableau_basededonnée[],32,0)</f>
        <v>En état</v>
      </c>
      <c r="AF17" s="47">
        <f>VLOOKUP(tblPoteau[[#This Row],[A]],Tableau_basededonnée[],33,0)</f>
        <v>13</v>
      </c>
      <c r="AG17" s="47">
        <f>VLOOKUP(tblPoteau[[#This Row],[A]],Tableau_basededonnée[],34,0)</f>
        <v>22</v>
      </c>
      <c r="AH17" s="47" t="str">
        <f>VLOOKUP(tblPoteau[[#This Row],[A]],Tableau_basededonnée[],35,0)</f>
        <v>Oui</v>
      </c>
      <c r="AI17" s="46" t="str">
        <f>VLOOKUP(tblPoteau[[#This Row],[A]],Tableau_basededonnée[],36,0)</f>
        <v>Non</v>
      </c>
      <c r="AJ17" s="47" t="str">
        <f>VLOOKUP(tblPoteau[[#This Row],[A]],Tableau_basededonnée[],37,0)</f>
        <v>SANS</v>
      </c>
      <c r="AK17" s="47" t="str">
        <f>VLOOKUP(tblPoteau[[#This Row],[A]],Tableau_basededonnée[],38,0)</f>
        <v>Moyenne(s)</v>
      </c>
      <c r="AL17" s="47" t="str">
        <f>VLOOKUP(tblPoteau[[#This Row],[A]],Tableau_basededonnée[],39,0)</f>
        <v>Mauvaise(s)</v>
      </c>
      <c r="AM17" s="47" t="str">
        <f>VLOOKUP(tblPoteau[[#This Row],[A]],Tableau_basededonnée[],40,0)</f>
        <v>Oui</v>
      </c>
      <c r="AN17" s="47" t="str">
        <f>VLOOKUP(tblPoteau[[#This Row],[A]],Tableau_basededonnée[],41,0)</f>
        <v>Oui</v>
      </c>
      <c r="AO17" s="48" t="str">
        <f>VLOOKUP(tblPoteau[[#This Row],[A]],Tableau_basededonnée[],42,0)</f>
        <v>Oui</v>
      </c>
      <c r="AP17" s="48" t="str">
        <f>VLOOKUP(tblPoteau[[#This Row],[A]],Tableau_basededonnée[],43,0)</f>
        <v>Oui</v>
      </c>
      <c r="AQ17" s="48" t="str">
        <f>VLOOKUP(tblPoteau[[#This Row],[A]],Tableau_basededonnée[],44,0)</f>
        <v>Non</v>
      </c>
      <c r="AR17" s="48" t="str">
        <f>VLOOKUP(tblPoteau[[#This Row],[A]],Tableau_basededonnée[],45,0)</f>
        <v>Non</v>
      </c>
      <c r="AS17" s="48" t="str">
        <f>VLOOKUP(tblPoteau[[#This Row],[A]],Tableau_basededonnée[],46,0)</f>
        <v>Bon</v>
      </c>
      <c r="AT17" s="48" t="str">
        <f>VLOOKUP(tblPoteau[[#This Row],[A]],Tableau_basededonnée[],47,0)</f>
        <v>Non</v>
      </c>
      <c r="AU17" s="48" t="str">
        <f>VLOOKUP(tblPoteau[[#This Row],[A]],Tableau_basededonnée[],48,0)</f>
        <v>RIEN</v>
      </c>
      <c r="AV17" s="48" t="str">
        <f>VLOOKUP(tblPoteau[[#This Row],[A]],Tableau_basededonnée[],49,0)</f>
        <v>OUI</v>
      </c>
      <c r="AW17" s="1"/>
    </row>
    <row r="18" spans="1:49" ht="9" customHeight="1">
      <c r="A18" s="43" t="s">
        <v>7</v>
      </c>
      <c r="B18" s="44">
        <v>312</v>
      </c>
      <c r="C18" s="45">
        <v>43181</v>
      </c>
      <c r="D18" s="46">
        <f>VLOOKUP(tblPoteau[[#This Row],[A]],Tableau_basededonnée[],5,0)</f>
        <v>900</v>
      </c>
      <c r="E18" s="46" t="str">
        <f>VLOOKUP(tblPoteau[[#This Row],[A]],Tableau_basededonnée[],6,0)</f>
        <v>FLEURS</v>
      </c>
      <c r="F18" s="47" t="str">
        <f>VLOOKUP(tblPoteau[[#This Row],[A]],Tableau_basededonnée[],7,0)</f>
        <v>POMME</v>
      </c>
      <c r="G18" s="47" t="str">
        <f>VLOOKUP(tblPoteau[[#This Row],[A]],Tableau_basededonnée[],8,0)</f>
        <v>PAQUERETTE</v>
      </c>
      <c r="H18" s="46">
        <f>VLOOKUP(tblPoteau[[#This Row],[A]],Tableau_basededonnée[],9,0)</f>
        <v>1</v>
      </c>
      <c r="I18" s="46">
        <f>VLOOKUP(tblPoteau[[#This Row],[A]],Tableau_basededonnée[],10,0)</f>
        <v>150</v>
      </c>
      <c r="J18" s="47" t="s">
        <v>5</v>
      </c>
      <c r="K18" s="47">
        <f>VLOOKUP(tblPoteau[[#This Row],[A]],Tableau_basededonnée[],12,0)</f>
        <v>7</v>
      </c>
      <c r="L18" s="47" t="str">
        <f>VLOOKUP(tblPoteau[[#This Row],[A]],Tableau_basededonnée[],13,0)</f>
        <v>POTEAU</v>
      </c>
      <c r="M18" s="47" t="str">
        <f>VLOOKUP(tblPoteau[[#This Row],[A]],Tableau_basededonnée[],14,0)</f>
        <v>FIL</v>
      </c>
      <c r="N18" s="47" t="str">
        <f>VLOOKUP(tblPoteau[[#This Row],[A]],Tableau_basededonnée[],15,0)</f>
        <v>Moyenne(s)</v>
      </c>
      <c r="O18" s="47" t="str">
        <f>VLOOKUP(tblPoteau[[#This Row],[A]],Tableau_basededonnée[],16,0)</f>
        <v>Sans</v>
      </c>
      <c r="P18" s="47" t="str">
        <f>VLOOKUP(tblPoteau[[#This Row],[A]],Tableau_basededonnée[],17,0)</f>
        <v>Moyenne(s)</v>
      </c>
      <c r="Q18" s="47" t="str">
        <f>VLOOKUP(tblPoteau[[#This Row],[A]],Tableau_basededonnée[],18,0)</f>
        <v>Moyen</v>
      </c>
      <c r="R18" s="47" t="str">
        <f>VLOOKUP(tblPoteau[[#This Row],[A]],Tableau_basededonnée[],19,0)</f>
        <v xml:space="preserve">Bonne(s) </v>
      </c>
      <c r="S18" s="47" t="str">
        <f>VLOOKUP(tblPoteau[[#This Row],[A]],Tableau_basededonnée[],20,0)</f>
        <v>Moyen</v>
      </c>
      <c r="T18" s="47" t="str">
        <f>VLOOKUP(tblPoteau[[#This Row],[A]],Tableau_basededonnée[],21,0)</f>
        <v>Bonne(s)</v>
      </c>
      <c r="U18" s="47" t="s">
        <v>1</v>
      </c>
      <c r="V18" s="47" t="str">
        <f>VLOOKUP(tblPoteau[[#This Row],[A]],Tableau_basededonnée[],23,0)</f>
        <v>Bonne(s)</v>
      </c>
      <c r="W18" s="47" t="str">
        <f>VLOOKUP(tblPoteau[[#This Row],[A]],Tableau_basededonnée[],24,0)</f>
        <v>Moyen</v>
      </c>
      <c r="X18" s="47" t="str">
        <f>VLOOKUP(tblPoteau[[#This Row],[A]],Tableau_basededonnée[],25,0)</f>
        <v>Bonne(s)</v>
      </c>
      <c r="Y18" s="47" t="str">
        <f>VLOOKUP(tblPoteau[[#This Row],[A]],Tableau_basededonnée[],26,0)</f>
        <v>Bonne(s)</v>
      </c>
      <c r="Z18" s="47" t="str">
        <f>VLOOKUP(tblPoteau[[#This Row],[A]],Tableau_basededonnée[],27,0)</f>
        <v>Acier / Inox</v>
      </c>
      <c r="AA18" s="47" t="str">
        <f>VLOOKUP(tblPoteau[[#This Row],[A]],Tableau_basededonnée[],28,0)</f>
        <v>Bonne(s)</v>
      </c>
      <c r="AB18" s="47" t="str">
        <f>VLOOKUP(tblPoteau[[#This Row],[A]],Tableau_basededonnée[],29,0)</f>
        <v xml:space="preserve">Bonne(s) </v>
      </c>
      <c r="AC18" s="47" t="str">
        <f>VLOOKUP(tblPoteau[[#This Row],[A]],Tableau_basededonnée[],30,0)</f>
        <v>Bon</v>
      </c>
      <c r="AD18" s="46" t="str">
        <f>VLOOKUP(tblPoteau[[#This Row],[A]],Tableau_basededonnée[],31,0)</f>
        <v>Oui</v>
      </c>
      <c r="AE18" s="47" t="str">
        <f>VLOOKUP(tblPoteau[[#This Row],[A]],Tableau_basededonnée[],32,0)</f>
        <v>En état</v>
      </c>
      <c r="AF18" s="47">
        <f>VLOOKUP(tblPoteau[[#This Row],[A]],Tableau_basededonnée[],33,0)</f>
        <v>14</v>
      </c>
      <c r="AG18" s="47">
        <f>VLOOKUP(tblPoteau[[#This Row],[A]],Tableau_basededonnée[],34,0)</f>
        <v>23</v>
      </c>
      <c r="AH18" s="47">
        <f>VLOOKUP(tblPoteau[[#This Row],[A]],Tableau_basededonnée[],35,0)</f>
        <v>55</v>
      </c>
      <c r="AI18" s="46" t="str">
        <f>VLOOKUP(tblPoteau[[#This Row],[A]],Tableau_basededonnée[],36,0)</f>
        <v>Non</v>
      </c>
      <c r="AJ18" s="47" t="str">
        <f>VLOOKUP(tblPoteau[[#This Row],[A]],Tableau_basededonnée[],37,0)</f>
        <v>SANS</v>
      </c>
      <c r="AK18" s="47" t="str">
        <f>VLOOKUP(tblPoteau[[#This Row],[A]],Tableau_basededonnée[],38,0)</f>
        <v>Moyenne(s)</v>
      </c>
      <c r="AL18" s="47" t="str">
        <f>VLOOKUP(tblPoteau[[#This Row],[A]],Tableau_basededonnée[],39,0)</f>
        <v>Mauvaise(s)</v>
      </c>
      <c r="AM18" s="47" t="str">
        <f>VLOOKUP(tblPoteau[[#This Row],[A]],Tableau_basededonnée[],40,0)</f>
        <v>Oui</v>
      </c>
      <c r="AN18" s="47" t="str">
        <f>VLOOKUP(tblPoteau[[#This Row],[A]],Tableau_basededonnée[],41,0)</f>
        <v>Oui</v>
      </c>
      <c r="AO18" s="48" t="str">
        <f>VLOOKUP(tblPoteau[[#This Row],[A]],Tableau_basededonnée[],42,0)</f>
        <v>Oui</v>
      </c>
      <c r="AP18" s="48" t="str">
        <f>VLOOKUP(tblPoteau[[#This Row],[A]],Tableau_basededonnée[],43,0)</f>
        <v>Oui</v>
      </c>
      <c r="AQ18" s="48" t="str">
        <f>VLOOKUP(tblPoteau[[#This Row],[A]],Tableau_basededonnée[],44,0)</f>
        <v>Oui</v>
      </c>
      <c r="AR18" s="48" t="str">
        <f>VLOOKUP(tblPoteau[[#This Row],[A]],Tableau_basededonnée[],45,0)</f>
        <v>Non</v>
      </c>
      <c r="AS18" s="48" t="str">
        <f>VLOOKUP(tblPoteau[[#This Row],[A]],Tableau_basededonnée[],46,0)</f>
        <v xml:space="preserve">Mauvais </v>
      </c>
      <c r="AT18" s="48" t="str">
        <f>VLOOKUP(tblPoteau[[#This Row],[A]],Tableau_basededonnée[],47,0)</f>
        <v>Non</v>
      </c>
      <c r="AU18" s="48" t="str">
        <f>VLOOKUP(tblPoteau[[#This Row],[A]],Tableau_basededonnée[],48,0)</f>
        <v>RIEN</v>
      </c>
      <c r="AV18" s="48" t="str">
        <f>VLOOKUP(tblPoteau[[#This Row],[A]],Tableau_basededonnée[],49,0)</f>
        <v>OUI</v>
      </c>
      <c r="AW18" s="1" t="s">
        <v>13</v>
      </c>
    </row>
    <row r="19" spans="1:49" ht="9" customHeight="1">
      <c r="A19" s="43" t="s">
        <v>7</v>
      </c>
      <c r="B19" s="49">
        <v>321</v>
      </c>
      <c r="C19" s="50">
        <v>43215</v>
      </c>
      <c r="D19" s="51">
        <f>VLOOKUP(tblPoteau[[#This Row],[A]],Tableau_basededonnée[],5,0)</f>
        <v>900</v>
      </c>
      <c r="E19" s="51" t="str">
        <f>VLOOKUP(tblPoteau[[#This Row],[A]],Tableau_basededonnée[],6,0)</f>
        <v>ARBRE</v>
      </c>
      <c r="F19" s="52" t="str">
        <f>VLOOKUP(tblPoteau[[#This Row],[A]],Tableau_basededonnée[],7,0)</f>
        <v>NOIX</v>
      </c>
      <c r="G19" s="52" t="str">
        <f>VLOOKUP(tblPoteau[[#This Row],[A]],Tableau_basededonnée[],8,0)</f>
        <v>NARCISSE</v>
      </c>
      <c r="H19" s="51">
        <f>VLOOKUP(tblPoteau[[#This Row],[A]],Tableau_basededonnée[],9,0)</f>
        <v>1</v>
      </c>
      <c r="I19" s="51">
        <f>VLOOKUP(tblPoteau[[#This Row],[A]],Tableau_basededonnée[],10,0)</f>
        <v>100</v>
      </c>
      <c r="J19" s="47" t="s">
        <v>6</v>
      </c>
      <c r="K19" s="52">
        <f>VLOOKUP(tblPoteau[[#This Row],[A]],Tableau_basededonnée[],12,0)</f>
        <v>5</v>
      </c>
      <c r="L19" s="52" t="str">
        <f>VLOOKUP(tblPoteau[[#This Row],[A]],Tableau_basededonnée[],13,0)</f>
        <v>POTEAU</v>
      </c>
      <c r="M19" s="52" t="str">
        <f>VLOOKUP(tblPoteau[[#This Row],[A]],Tableau_basededonnée[],14,0)</f>
        <v>FIL</v>
      </c>
      <c r="N19" s="52" t="str">
        <f>VLOOKUP(tblPoteau[[#This Row],[A]],Tableau_basededonnée[],15,0)</f>
        <v xml:space="preserve">Bonne(s) </v>
      </c>
      <c r="O19" s="52" t="str">
        <f>VLOOKUP(tblPoteau[[#This Row],[A]],Tableau_basededonnée[],16,0)</f>
        <v>Bonne</v>
      </c>
      <c r="P19" s="52" t="str">
        <f>VLOOKUP(tblPoteau[[#This Row],[A]],Tableau_basededonnée[],17,0)</f>
        <v>Moyenne(s)</v>
      </c>
      <c r="Q19" s="52" t="str">
        <f>VLOOKUP(tblPoteau[[#This Row],[A]],Tableau_basededonnée[],18,0)</f>
        <v>Bon</v>
      </c>
      <c r="R19" s="52" t="str">
        <f>VLOOKUP(tblPoteau[[#This Row],[A]],Tableau_basededonnée[],19,0)</f>
        <v xml:space="preserve">Bonne(s) </v>
      </c>
      <c r="S19" s="52" t="str">
        <f>VLOOKUP(tblPoteau[[#This Row],[A]],Tableau_basededonnée[],20,0)</f>
        <v>Bon</v>
      </c>
      <c r="T19" s="52" t="str">
        <f>VLOOKUP(tblPoteau[[#This Row],[A]],Tableau_basededonnée[],21,0)</f>
        <v>Bonne(s)</v>
      </c>
      <c r="U19" s="47" t="s">
        <v>1</v>
      </c>
      <c r="V19" s="52" t="str">
        <f>VLOOKUP(tblPoteau[[#This Row],[A]],Tableau_basededonnée[],23,0)</f>
        <v>Bonne(s)</v>
      </c>
      <c r="W19" s="52" t="str">
        <f>VLOOKUP(tblPoteau[[#This Row],[A]],Tableau_basededonnée[],24,0)</f>
        <v>Bon</v>
      </c>
      <c r="X19" s="52" t="str">
        <f>VLOOKUP(tblPoteau[[#This Row],[A]],Tableau_basededonnée[],25,0)</f>
        <v>Bonne(s)</v>
      </c>
      <c r="Y19" s="52" t="str">
        <f>VLOOKUP(tblPoteau[[#This Row],[A]],Tableau_basededonnée[],26,0)</f>
        <v>Bonne(s)</v>
      </c>
      <c r="Z19" s="52" t="str">
        <f>VLOOKUP(tblPoteau[[#This Row],[A]],Tableau_basededonnée[],27,0)</f>
        <v>Acier / Pvc</v>
      </c>
      <c r="AA19" s="52" t="str">
        <f>VLOOKUP(tblPoteau[[#This Row],[A]],Tableau_basededonnée[],28,0)</f>
        <v>Moyenne(s)</v>
      </c>
      <c r="AB19" s="52" t="str">
        <f>VLOOKUP(tblPoteau[[#This Row],[A]],Tableau_basededonnée[],29,0)</f>
        <v>Moyenne(s)</v>
      </c>
      <c r="AC19" s="52" t="str">
        <f>VLOOKUP(tblPoteau[[#This Row],[A]],Tableau_basededonnée[],30,0)</f>
        <v>Bon</v>
      </c>
      <c r="AD19" s="51" t="str">
        <f>VLOOKUP(tblPoteau[[#This Row],[A]],Tableau_basededonnée[],31,0)</f>
        <v>Oui</v>
      </c>
      <c r="AE19" s="52" t="str">
        <f>VLOOKUP(tblPoteau[[#This Row],[A]],Tableau_basededonnée[],32,0)</f>
        <v>En état</v>
      </c>
      <c r="AF19" s="52">
        <f>VLOOKUP(tblPoteau[[#This Row],[A]],Tableau_basededonnée[],33,0)</f>
        <v>17</v>
      </c>
      <c r="AG19" s="52">
        <f>VLOOKUP(tblPoteau[[#This Row],[A]],Tableau_basededonnée[],34,0)</f>
        <v>26</v>
      </c>
      <c r="AH19" s="52">
        <f>VLOOKUP(tblPoteau[[#This Row],[A]],Tableau_basededonnée[],35,0)</f>
        <v>55</v>
      </c>
      <c r="AI19" s="51" t="str">
        <f>VLOOKUP(tblPoteau[[#This Row],[A]],Tableau_basededonnée[],36,0)</f>
        <v>Non</v>
      </c>
      <c r="AJ19" s="52" t="str">
        <f>VLOOKUP(tblPoteau[[#This Row],[A]],Tableau_basededonnée[],37,0)</f>
        <v>SANS</v>
      </c>
      <c r="AK19" s="52" t="str">
        <f>VLOOKUP(tblPoteau[[#This Row],[A]],Tableau_basededonnée[],38,0)</f>
        <v>Moyenne(s)</v>
      </c>
      <c r="AL19" s="52" t="str">
        <f>VLOOKUP(tblPoteau[[#This Row],[A]],Tableau_basededonnée[],39,0)</f>
        <v>Mauvaise(s)</v>
      </c>
      <c r="AM19" s="52" t="str">
        <f>VLOOKUP(tblPoteau[[#This Row],[A]],Tableau_basededonnée[],40,0)</f>
        <v>Oui</v>
      </c>
      <c r="AN19" s="52" t="str">
        <f>VLOOKUP(tblPoteau[[#This Row],[A]],Tableau_basededonnée[],41,0)</f>
        <v>Oui</v>
      </c>
      <c r="AO19" s="52" t="str">
        <f>VLOOKUP(tblPoteau[[#This Row],[A]],Tableau_basededonnée[],42,0)</f>
        <v>Oui</v>
      </c>
      <c r="AP19" s="52" t="str">
        <f>VLOOKUP(tblPoteau[[#This Row],[A]],Tableau_basededonnée[],43,0)</f>
        <v>Non</v>
      </c>
      <c r="AQ19" s="52" t="str">
        <f>VLOOKUP(tblPoteau[[#This Row],[A]],Tableau_basededonnée[],44,0)</f>
        <v>Non</v>
      </c>
      <c r="AR19" s="52" t="str">
        <f>VLOOKUP(tblPoteau[[#This Row],[A]],Tableau_basededonnée[],45,0)</f>
        <v>Non</v>
      </c>
      <c r="AS19" s="52" t="str">
        <f>VLOOKUP(tblPoteau[[#This Row],[A]],Tableau_basededonnée[],46,0)</f>
        <v>Moyen</v>
      </c>
      <c r="AT19" s="52" t="str">
        <f>VLOOKUP(tblPoteau[[#This Row],[A]],Tableau_basededonnée[],47,0)</f>
        <v>Non</v>
      </c>
      <c r="AU19" s="52" t="str">
        <f>VLOOKUP(tblPoteau[[#This Row],[A]],Tableau_basededonnée[],48,0)</f>
        <v>RIEN</v>
      </c>
      <c r="AV19" s="52" t="str">
        <f>VLOOKUP(tblPoteau[[#This Row],[A]],Tableau_basededonnée[],49,0)</f>
        <v>OUI</v>
      </c>
      <c r="AW19" s="2"/>
    </row>
    <row r="20" spans="1:49" ht="9" customHeight="1">
      <c r="A20" s="43" t="s">
        <v>7</v>
      </c>
      <c r="B20" s="56">
        <v>319</v>
      </c>
      <c r="C20" s="57">
        <v>43602</v>
      </c>
      <c r="D20" s="55">
        <f>VLOOKUP(tblPoteau[[#This Row],[A]],Tableau_basededonnée[],5,0)</f>
        <v>900</v>
      </c>
      <c r="E20" s="55" t="str">
        <f>VLOOKUP(tblPoteau[[#This Row],[A]],Tableau_basededonnée[],6,0)</f>
        <v>ARBRE</v>
      </c>
      <c r="F20" s="58" t="str">
        <f>VLOOKUP(tblPoteau[[#This Row],[A]],Tableau_basededonnée[],7,0)</f>
        <v>PRUNE</v>
      </c>
      <c r="G20" s="58" t="str">
        <f>VLOOKUP(tblPoteau[[#This Row],[A]],Tableau_basededonnée[],8,0)</f>
        <v>JONQUILLES</v>
      </c>
      <c r="H20" s="55">
        <f>VLOOKUP(tblPoteau[[#This Row],[A]],Tableau_basededonnée[],9,0)</f>
        <v>1</v>
      </c>
      <c r="I20" s="55">
        <f>VLOOKUP(tblPoteau[[#This Row],[A]],Tableau_basededonnée[],10,0)</f>
        <v>100</v>
      </c>
      <c r="J20" s="58" t="s">
        <v>5</v>
      </c>
      <c r="K20" s="58">
        <f>VLOOKUP(tblPoteau[[#This Row],[A]],Tableau_basededonnée[],12,0)</f>
        <v>8</v>
      </c>
      <c r="L20" s="58" t="str">
        <f>VLOOKUP(tblPoteau[[#This Row],[A]],Tableau_basededonnée[],13,0)</f>
        <v>POTEAU</v>
      </c>
      <c r="M20" s="58" t="str">
        <f>VLOOKUP(tblPoteau[[#This Row],[A]],Tableau_basededonnée[],14,0)</f>
        <v>FIL</v>
      </c>
      <c r="N20" s="58" t="str">
        <f>VLOOKUP(tblPoteau[[#This Row],[A]],Tableau_basededonnée[],15,0)</f>
        <v>Moyenne(s)</v>
      </c>
      <c r="O20" s="58" t="str">
        <f>VLOOKUP(tblPoteau[[#This Row],[A]],Tableau_basededonnée[],16,0)</f>
        <v>Bonne</v>
      </c>
      <c r="P20" s="58" t="str">
        <f>VLOOKUP(tblPoteau[[#This Row],[A]],Tableau_basededonnée[],17,0)</f>
        <v>Moyenne(s)</v>
      </c>
      <c r="Q20" s="58" t="str">
        <f>VLOOKUP(tblPoteau[[#This Row],[A]],Tableau_basededonnée[],18,0)</f>
        <v>Bon</v>
      </c>
      <c r="R20" s="58" t="str">
        <f>VLOOKUP(tblPoteau[[#This Row],[A]],Tableau_basededonnée[],19,0)</f>
        <v xml:space="preserve">Bonne(s) </v>
      </c>
      <c r="S20" s="58" t="str">
        <f>VLOOKUP(tblPoteau[[#This Row],[A]],Tableau_basededonnée[],20,0)</f>
        <v>Moyen</v>
      </c>
      <c r="T20" s="58" t="str">
        <f>VLOOKUP(tblPoteau[[#This Row],[A]],Tableau_basededonnée[],21,0)</f>
        <v>Bonne(s)</v>
      </c>
      <c r="U20" s="58" t="s">
        <v>1</v>
      </c>
      <c r="V20" s="58" t="str">
        <f>VLOOKUP(tblPoteau[[#This Row],[A]],Tableau_basededonnée[],23,0)</f>
        <v xml:space="preserve">Bonne(s) </v>
      </c>
      <c r="W20" s="58" t="str">
        <f>VLOOKUP(tblPoteau[[#This Row],[A]],Tableau_basededonnée[],24,0)</f>
        <v>Bon</v>
      </c>
      <c r="X20" s="58" t="str">
        <f>VLOOKUP(tblPoteau[[#This Row],[A]],Tableau_basededonnée[],25,0)</f>
        <v>Bonne(s)</v>
      </c>
      <c r="Y20" s="58" t="str">
        <f>VLOOKUP(tblPoteau[[#This Row],[A]],Tableau_basededonnée[],26,0)</f>
        <v>Bonne(s)</v>
      </c>
      <c r="Z20" s="58" t="str">
        <f>VLOOKUP(tblPoteau[[#This Row],[A]],Tableau_basededonnée[],27,0)</f>
        <v>Acier</v>
      </c>
      <c r="AA20" s="58" t="str">
        <f>VLOOKUP(tblPoteau[[#This Row],[A]],Tableau_basededonnée[],28,0)</f>
        <v>Moyenne(s)</v>
      </c>
      <c r="AB20" s="58" t="str">
        <f>VLOOKUP(tblPoteau[[#This Row],[A]],Tableau_basededonnée[],29,0)</f>
        <v>Moyenne(s)</v>
      </c>
      <c r="AC20" s="58" t="str">
        <f>VLOOKUP(tblPoteau[[#This Row],[A]],Tableau_basededonnée[],30,0)</f>
        <v>Moyen</v>
      </c>
      <c r="AD20" s="55" t="str">
        <f>VLOOKUP(tblPoteau[[#This Row],[A]],Tableau_basededonnée[],31,0)</f>
        <v>Oui</v>
      </c>
      <c r="AE20" s="58" t="str">
        <f>VLOOKUP(tblPoteau[[#This Row],[A]],Tableau_basededonnée[],32,0)</f>
        <v>En état</v>
      </c>
      <c r="AF20" s="58">
        <f>VLOOKUP(tblPoteau[[#This Row],[A]],Tableau_basededonnée[],33,0)</f>
        <v>15</v>
      </c>
      <c r="AG20" s="58">
        <f>VLOOKUP(tblPoteau[[#This Row],[A]],Tableau_basededonnée[],34,0)</f>
        <v>24</v>
      </c>
      <c r="AH20" s="58">
        <f>VLOOKUP(tblPoteau[[#This Row],[A]],Tableau_basededonnée[],35,0)</f>
        <v>55</v>
      </c>
      <c r="AI20" s="55" t="str">
        <f>VLOOKUP(tblPoteau[[#This Row],[A]],Tableau_basededonnée[],36,0)</f>
        <v>Non</v>
      </c>
      <c r="AJ20" s="58" t="str">
        <f>VLOOKUP(tblPoteau[[#This Row],[A]],Tableau_basededonnée[],37,0)</f>
        <v>SANS</v>
      </c>
      <c r="AK20" s="58" t="str">
        <f>VLOOKUP(tblPoteau[[#This Row],[A]],Tableau_basededonnée[],38,0)</f>
        <v>Moyenne(s)</v>
      </c>
      <c r="AL20" s="58" t="str">
        <f>VLOOKUP(tblPoteau[[#This Row],[A]],Tableau_basededonnée[],39,0)</f>
        <v>Mauvaise(s)</v>
      </c>
      <c r="AM20" s="58" t="str">
        <f>VLOOKUP(tblPoteau[[#This Row],[A]],Tableau_basededonnée[],40,0)</f>
        <v>Oui</v>
      </c>
      <c r="AN20" s="58" t="str">
        <f>VLOOKUP(tblPoteau[[#This Row],[A]],Tableau_basededonnée[],41,0)</f>
        <v>Oui</v>
      </c>
      <c r="AO20" s="58" t="str">
        <f>VLOOKUP(tblPoteau[[#This Row],[A]],Tableau_basededonnée[],42,0)</f>
        <v>Oui</v>
      </c>
      <c r="AP20" s="58" t="str">
        <f>VLOOKUP(tblPoteau[[#This Row],[A]],Tableau_basededonnée[],43,0)</f>
        <v>Oui</v>
      </c>
      <c r="AQ20" s="58" t="str">
        <f>VLOOKUP(tblPoteau[[#This Row],[A]],Tableau_basededonnée[],44,0)</f>
        <v>Non</v>
      </c>
      <c r="AR20" s="58" t="str">
        <f>VLOOKUP(tblPoteau[[#This Row],[A]],Tableau_basededonnée[],45,0)</f>
        <v>Non</v>
      </c>
      <c r="AS20" s="58" t="str">
        <f>VLOOKUP(tblPoteau[[#This Row],[A]],Tableau_basededonnée[],46,0)</f>
        <v>Bon</v>
      </c>
      <c r="AT20" s="58" t="str">
        <f>VLOOKUP(tblPoteau[[#This Row],[A]],Tableau_basededonnée[],47,0)</f>
        <v>Non</v>
      </c>
      <c r="AU20" s="58" t="str">
        <f>VLOOKUP(tblPoteau[[#This Row],[A]],Tableau_basededonnée[],48,0)</f>
        <v>RIEN</v>
      </c>
      <c r="AV20" s="58" t="str">
        <f>VLOOKUP(tblPoteau[[#This Row],[A]],Tableau_basededonnée[],49,0)</f>
        <v>OUI</v>
      </c>
      <c r="AW20" s="2"/>
    </row>
  </sheetData>
  <sheetProtection autoFilter="0"/>
  <sortState ref="A3:AW19">
    <sortCondition ref="C2"/>
  </sortState>
  <conditionalFormatting sqref="A2:A20">
    <cfRule type="containsText" dxfId="114" priority="4" operator="containsText" text="Oui">
      <formula>NOT(ISERROR(SEARCH("Oui",A2)))</formula>
    </cfRule>
  </conditionalFormatting>
  <printOptions horizontalCentered="1" gridLines="1"/>
  <pageMargins left="0.19685039370078741" right="0.19685039370078741" top="1.9685039370078741" bottom="0.19685039370078741" header="0.78740157480314965" footer="0"/>
  <pageSetup paperSize="9" fitToHeight="0" orientation="landscape" r:id="rId1"/>
  <headerFooter>
    <oddHeader>&amp;L&amp;G&amp;C&amp;"Times New Roman,Gras"&amp;18
Fiche de Lavage</oddHeader>
    <oddFooter>&amp;C&amp;P</oddFoot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3399FF"/>
  </sheetPr>
  <dimension ref="A1:AX7"/>
  <sheetViews>
    <sheetView showGridLines="0" zoomScaleNormal="100" zoomScalePageLayoutView="50" workbookViewId="0">
      <pane xSplit="8" ySplit="1" topLeftCell="AF2" activePane="bottomRight" state="frozen"/>
      <selection activeCell="D2" sqref="D2:D429"/>
      <selection pane="topRight" activeCell="D2" sqref="D2:D429"/>
      <selection pane="bottomLeft" activeCell="D2" sqref="D2:D429"/>
      <selection pane="bottomRight" activeCell="AA17" sqref="AA17"/>
    </sheetView>
  </sheetViews>
  <sheetFormatPr baseColWidth="10" defaultColWidth="11.5703125" defaultRowHeight="9" customHeight="1"/>
  <cols>
    <col min="1" max="1" width="4" bestFit="1" customWidth="1"/>
    <col min="2" max="2" width="6.5703125" bestFit="1" customWidth="1"/>
    <col min="3" max="3" width="5" bestFit="1" customWidth="1"/>
    <col min="4" max="4" width="4.140625" bestFit="1" customWidth="1"/>
    <col min="5" max="5" width="3.85546875" bestFit="1" customWidth="1"/>
    <col min="6" max="6" width="5.140625" bestFit="1" customWidth="1"/>
    <col min="7" max="7" width="4.85546875" bestFit="1" customWidth="1"/>
    <col min="8" max="8" width="8.140625" bestFit="1" customWidth="1"/>
    <col min="9" max="10" width="3.42578125" bestFit="1" customWidth="1"/>
    <col min="11" max="11" width="5.5703125" bestFit="1" customWidth="1"/>
    <col min="12" max="12" width="3.7109375" bestFit="1" customWidth="1"/>
    <col min="13" max="13" width="5.28515625" bestFit="1" customWidth="1"/>
    <col min="14" max="14" width="4.140625" bestFit="1" customWidth="1"/>
    <col min="15" max="15" width="6.7109375" bestFit="1" customWidth="1"/>
    <col min="16" max="16" width="4.28515625" bestFit="1" customWidth="1"/>
    <col min="17" max="17" width="6.7109375" bestFit="1" customWidth="1"/>
    <col min="18" max="18" width="4.28515625" bestFit="1" customWidth="1"/>
    <col min="19" max="19" width="6.7109375" bestFit="1" customWidth="1"/>
    <col min="20" max="20" width="4.28515625" bestFit="1" customWidth="1"/>
    <col min="21" max="21" width="5.42578125" bestFit="1" customWidth="1"/>
    <col min="22" max="22" width="4.28515625" bestFit="1" customWidth="1"/>
    <col min="23" max="23" width="6.7109375" bestFit="1" customWidth="1"/>
    <col min="24" max="24" width="4.28515625" bestFit="1" customWidth="1"/>
    <col min="25" max="26" width="5.42578125" bestFit="1" customWidth="1"/>
    <col min="27" max="27" width="6.28515625" bestFit="1" customWidth="1"/>
    <col min="28" max="29" width="6.7109375" bestFit="1" customWidth="1"/>
    <col min="30" max="30" width="5.140625" bestFit="1" customWidth="1"/>
    <col min="31" max="32" width="4.85546875" bestFit="1" customWidth="1"/>
    <col min="33" max="34" width="5.140625" bestFit="1" customWidth="1"/>
    <col min="35" max="36" width="4.42578125" bestFit="1" customWidth="1"/>
    <col min="37" max="37" width="5" bestFit="1" customWidth="1"/>
    <col min="38" max="38" width="6.7109375" bestFit="1" customWidth="1"/>
    <col min="39" max="39" width="6.85546875" bestFit="1" customWidth="1"/>
    <col min="40" max="40" width="5.140625" bestFit="1" customWidth="1"/>
    <col min="41" max="41" width="5.28515625" bestFit="1" customWidth="1"/>
    <col min="42" max="43" width="6.28515625" bestFit="1" customWidth="1"/>
    <col min="44" max="44" width="4.85546875" bestFit="1" customWidth="1"/>
    <col min="45" max="45" width="4.7109375" bestFit="1" customWidth="1"/>
    <col min="46" max="46" width="5.28515625" bestFit="1" customWidth="1"/>
    <col min="47" max="47" width="5.140625" bestFit="1" customWidth="1"/>
    <col min="48" max="48" width="5" bestFit="1" customWidth="1"/>
    <col min="49" max="49" width="5.5703125" bestFit="1" customWidth="1"/>
    <col min="50" max="50" width="5.140625" bestFit="1" customWidth="1"/>
  </cols>
  <sheetData>
    <row r="1" spans="1:50" ht="60" customHeight="1" thickTop="1" thickBot="1">
      <c r="A1" s="3" t="s">
        <v>23</v>
      </c>
      <c r="B1" s="30" t="s">
        <v>24</v>
      </c>
      <c r="C1" s="6" t="s">
        <v>25</v>
      </c>
      <c r="D1" s="6" t="s">
        <v>26</v>
      </c>
      <c r="E1" s="4" t="s">
        <v>27</v>
      </c>
      <c r="F1" s="5" t="s">
        <v>31</v>
      </c>
      <c r="G1" s="6" t="s">
        <v>28</v>
      </c>
      <c r="H1" s="6" t="s">
        <v>29</v>
      </c>
      <c r="I1" s="7" t="s">
        <v>9</v>
      </c>
      <c r="J1" s="4" t="s">
        <v>30</v>
      </c>
      <c r="K1" s="4" t="s">
        <v>33</v>
      </c>
      <c r="L1" s="8" t="s">
        <v>34</v>
      </c>
      <c r="M1" s="8" t="s">
        <v>35</v>
      </c>
      <c r="N1" s="8" t="s">
        <v>36</v>
      </c>
      <c r="O1" s="8" t="s">
        <v>37</v>
      </c>
      <c r="P1" s="8" t="s">
        <v>38</v>
      </c>
      <c r="Q1" s="8" t="s">
        <v>39</v>
      </c>
      <c r="R1" s="8" t="s">
        <v>40</v>
      </c>
      <c r="S1" s="8" t="s">
        <v>41</v>
      </c>
      <c r="T1" s="8" t="s">
        <v>42</v>
      </c>
      <c r="U1" s="8" t="s">
        <v>43</v>
      </c>
      <c r="V1" s="9" t="s">
        <v>44</v>
      </c>
      <c r="W1" s="10" t="s">
        <v>45</v>
      </c>
      <c r="X1" s="10" t="s">
        <v>46</v>
      </c>
      <c r="Y1" s="10" t="s">
        <v>47</v>
      </c>
      <c r="Z1" s="10" t="s">
        <v>48</v>
      </c>
      <c r="AA1" s="10" t="s">
        <v>49</v>
      </c>
      <c r="AB1" s="10" t="s">
        <v>50</v>
      </c>
      <c r="AC1" s="10" t="s">
        <v>51</v>
      </c>
      <c r="AD1" s="10" t="s">
        <v>52</v>
      </c>
      <c r="AE1" s="10" t="s">
        <v>53</v>
      </c>
      <c r="AF1" s="11" t="s">
        <v>54</v>
      </c>
      <c r="AG1" s="12" t="s">
        <v>55</v>
      </c>
      <c r="AH1" s="11" t="s">
        <v>56</v>
      </c>
      <c r="AI1" s="11" t="s">
        <v>57</v>
      </c>
      <c r="AJ1" s="11" t="s">
        <v>58</v>
      </c>
      <c r="AK1" s="11" t="s">
        <v>59</v>
      </c>
      <c r="AL1" s="11" t="s">
        <v>60</v>
      </c>
      <c r="AM1" s="11" t="s">
        <v>61</v>
      </c>
      <c r="AN1" s="11" t="s">
        <v>62</v>
      </c>
      <c r="AO1" s="13" t="s">
        <v>63</v>
      </c>
      <c r="AP1" s="13" t="s">
        <v>64</v>
      </c>
      <c r="AQ1" s="13" t="s">
        <v>65</v>
      </c>
      <c r="AR1" s="11" t="s">
        <v>72</v>
      </c>
      <c r="AS1" s="12" t="s">
        <v>66</v>
      </c>
      <c r="AT1" s="11" t="s">
        <v>67</v>
      </c>
      <c r="AU1" s="11" t="s">
        <v>68</v>
      </c>
      <c r="AV1" s="11" t="s">
        <v>69</v>
      </c>
      <c r="AW1" s="11" t="s">
        <v>70</v>
      </c>
      <c r="AX1" s="54" t="s">
        <v>71</v>
      </c>
    </row>
    <row r="2" spans="1:50" ht="9" customHeight="1" thickBot="1">
      <c r="A2" s="14">
        <v>310</v>
      </c>
      <c r="B2" s="35">
        <f>_xlfn.AGGREGATE(14,6,(Poteau!$C$3:$C$20/(Poteau!$B$3:$B$20=A2)),1)*1</f>
        <v>43104</v>
      </c>
      <c r="C2" s="15" t="str">
        <f t="shared" ref="C2:C7" si="0">PROPER(TEXT(B2,"mmmm"))</f>
        <v>Janvier</v>
      </c>
      <c r="D2" s="15">
        <f>YEAR(Tableau_basededonnée[[#This Row],[B]])</f>
        <v>2018</v>
      </c>
      <c r="E2" s="14">
        <v>900</v>
      </c>
      <c r="F2" s="16" t="s">
        <v>73</v>
      </c>
      <c r="G2" s="16" t="s">
        <v>75</v>
      </c>
      <c r="H2" s="17" t="s">
        <v>81</v>
      </c>
      <c r="I2" s="18">
        <v>1</v>
      </c>
      <c r="J2" s="15">
        <v>10</v>
      </c>
      <c r="K2" s="25" t="s">
        <v>49</v>
      </c>
      <c r="L2" s="19">
        <v>4</v>
      </c>
      <c r="M2" s="19" t="s">
        <v>88</v>
      </c>
      <c r="N2" s="19" t="s">
        <v>89</v>
      </c>
      <c r="O2" s="19" t="s">
        <v>22</v>
      </c>
      <c r="P2" s="19" t="s">
        <v>3</v>
      </c>
      <c r="Q2" s="19" t="s">
        <v>21</v>
      </c>
      <c r="R2" s="19" t="s">
        <v>0</v>
      </c>
      <c r="S2" s="19" t="s">
        <v>21</v>
      </c>
      <c r="T2" s="19" t="s">
        <v>0</v>
      </c>
      <c r="U2" s="19" t="s">
        <v>19</v>
      </c>
      <c r="V2" s="25" t="str">
        <f t="array" ref="V2">INDEX(tblPoteau[V],SUMPRODUCT((tblPoteau[A]=Tableau_basededonnée[[#This Row],[A]])*(tblPoteau[B]=MAX(IF(tblPoteau[A]=Tableau_basededonnée[[#This Row],[A]],tblPoteau[B])))*(ROW(tblPoteau[A])-2)))</f>
        <v>Moyen</v>
      </c>
      <c r="W2" s="19" t="s">
        <v>22</v>
      </c>
      <c r="X2" s="19" t="s">
        <v>1</v>
      </c>
      <c r="Y2" s="19" t="s">
        <v>19</v>
      </c>
      <c r="Z2" s="19" t="s">
        <v>19</v>
      </c>
      <c r="AA2" s="19" t="s">
        <v>12</v>
      </c>
      <c r="AB2" s="19" t="s">
        <v>21</v>
      </c>
      <c r="AC2" s="19" t="s">
        <v>21</v>
      </c>
      <c r="AD2" s="19" t="s">
        <v>0</v>
      </c>
      <c r="AE2" s="19" t="s">
        <v>7</v>
      </c>
      <c r="AF2" s="19" t="s">
        <v>90</v>
      </c>
      <c r="AG2" s="19">
        <v>12</v>
      </c>
      <c r="AH2" s="19">
        <v>21</v>
      </c>
      <c r="AI2" s="19">
        <v>47</v>
      </c>
      <c r="AJ2" s="19" t="s">
        <v>8</v>
      </c>
      <c r="AK2" s="19" t="s">
        <v>91</v>
      </c>
      <c r="AL2" s="25" t="s">
        <v>21</v>
      </c>
      <c r="AM2" s="25" t="s">
        <v>20</v>
      </c>
      <c r="AN2" s="25" t="s">
        <v>7</v>
      </c>
      <c r="AO2" s="25" t="s">
        <v>7</v>
      </c>
      <c r="AP2" s="19" t="s">
        <v>17</v>
      </c>
      <c r="AQ2" s="19" t="s">
        <v>17</v>
      </c>
      <c r="AR2" s="19" t="s">
        <v>8</v>
      </c>
      <c r="AS2" s="19" t="s">
        <v>8</v>
      </c>
      <c r="AT2" s="19" t="s">
        <v>0</v>
      </c>
      <c r="AU2" s="19" t="s">
        <v>16</v>
      </c>
      <c r="AV2" s="19" t="s">
        <v>92</v>
      </c>
      <c r="AW2" s="26" t="s">
        <v>93</v>
      </c>
      <c r="AX2" s="29">
        <f t="array" ref="AX2">INDEX(tblPoteau[AX],SUMPRODUCT((tblPoteau[A]=Tableau_basededonnée[[#This Row],[A]])*(tblPoteau[B]=MAX(IF(tblPoteau[A]=Tableau_basededonnée[[#This Row],[A]],tblPoteau[B])))*(ROW(tblPoteau[A])-2)))</f>
        <v>0</v>
      </c>
    </row>
    <row r="3" spans="1:50" ht="9" customHeight="1" thickBot="1">
      <c r="A3" s="20">
        <v>311</v>
      </c>
      <c r="B3" s="31">
        <f>_xlfn.AGGREGATE(14,6,(Poteau!$C$3:$C$20/(Poteau!$B$3:$B$20=A3)),1)*1</f>
        <v>43118</v>
      </c>
      <c r="C3" s="21" t="str">
        <f t="shared" si="0"/>
        <v>Janvier</v>
      </c>
      <c r="D3" s="21">
        <f>YEAR(Tableau_basededonnée[[#This Row],[B]])</f>
        <v>2018</v>
      </c>
      <c r="E3" s="14">
        <v>900</v>
      </c>
      <c r="F3" s="16" t="s">
        <v>73</v>
      </c>
      <c r="G3" s="22" t="s">
        <v>76</v>
      </c>
      <c r="H3" s="23" t="s">
        <v>82</v>
      </c>
      <c r="I3" s="24">
        <v>1</v>
      </c>
      <c r="J3" s="21">
        <v>50</v>
      </c>
      <c r="K3" s="25" t="str">
        <f t="array" ref="K3">INDEX(tblPoteau[K],SUMPRODUCT((tblPoteau[A]=Tableau_basededonnée[[#This Row],[A]])*(tblPoteau[B]=MAX(IF(tblPoteau[A]=Tableau_basededonnée[[#This Row],[A]],tblPoteau[B])))*(ROW(tblPoteau[A])-2)))</f>
        <v>Chimique</v>
      </c>
      <c r="L3" s="25">
        <v>6</v>
      </c>
      <c r="M3" s="19" t="s">
        <v>88</v>
      </c>
      <c r="N3" s="19" t="s">
        <v>89</v>
      </c>
      <c r="O3" s="25" t="s">
        <v>19</v>
      </c>
      <c r="P3" s="25" t="s">
        <v>3</v>
      </c>
      <c r="Q3" s="25" t="s">
        <v>21</v>
      </c>
      <c r="R3" s="25" t="s">
        <v>0</v>
      </c>
      <c r="S3" s="25" t="s">
        <v>22</v>
      </c>
      <c r="T3" s="25" t="s">
        <v>1</v>
      </c>
      <c r="U3" s="25" t="s">
        <v>19</v>
      </c>
      <c r="V3" s="25" t="str">
        <f t="array" ref="V3">INDEX(tblPoteau[V],SUMPRODUCT((tblPoteau[A]=Tableau_basededonnée[[#This Row],[A]])*(tblPoteau[B]=MAX(IF(tblPoteau[A]=Tableau_basededonnée[[#This Row],[A]],tblPoteau[B])))*(ROW(tblPoteau[A])-2)))</f>
        <v>Moyen</v>
      </c>
      <c r="W3" s="25" t="s">
        <v>21</v>
      </c>
      <c r="X3" s="25" t="s">
        <v>0</v>
      </c>
      <c r="Y3" s="25" t="s">
        <v>19</v>
      </c>
      <c r="Z3" s="25" t="s">
        <v>19</v>
      </c>
      <c r="AA3" s="25" t="s">
        <v>11</v>
      </c>
      <c r="AB3" s="25" t="s">
        <v>19</v>
      </c>
      <c r="AC3" s="25" t="s">
        <v>22</v>
      </c>
      <c r="AD3" s="25" t="s">
        <v>0</v>
      </c>
      <c r="AE3" s="25" t="s">
        <v>7</v>
      </c>
      <c r="AF3" s="25" t="s">
        <v>2</v>
      </c>
      <c r="AG3" s="25">
        <v>13</v>
      </c>
      <c r="AH3" s="25">
        <v>22</v>
      </c>
      <c r="AI3" s="25" t="s">
        <v>7</v>
      </c>
      <c r="AJ3" s="25" t="s">
        <v>8</v>
      </c>
      <c r="AK3" s="19" t="s">
        <v>91</v>
      </c>
      <c r="AL3" s="25" t="s">
        <v>21</v>
      </c>
      <c r="AM3" s="25" t="s">
        <v>20</v>
      </c>
      <c r="AN3" s="25" t="s">
        <v>7</v>
      </c>
      <c r="AO3" s="25" t="s">
        <v>7</v>
      </c>
      <c r="AP3" s="25" t="s">
        <v>7</v>
      </c>
      <c r="AQ3" s="25" t="s">
        <v>7</v>
      </c>
      <c r="AR3" s="25" t="s">
        <v>8</v>
      </c>
      <c r="AS3" s="25" t="s">
        <v>8</v>
      </c>
      <c r="AT3" s="25" t="s">
        <v>0</v>
      </c>
      <c r="AU3" s="25" t="s">
        <v>8</v>
      </c>
      <c r="AV3" s="19" t="s">
        <v>92</v>
      </c>
      <c r="AW3" s="26" t="s">
        <v>93</v>
      </c>
      <c r="AX3" s="29">
        <f t="array" ref="AX3">INDEX(tblPoteau[AX],SUMPRODUCT((tblPoteau[A]=Tableau_basededonnée[[#This Row],[A]])*(tblPoteau[B]=MAX(IF(tblPoteau[A]=Tableau_basededonnée[[#This Row],[A]],tblPoteau[B])))*(ROW(tblPoteau[A])-2)))</f>
        <v>0</v>
      </c>
    </row>
    <row r="4" spans="1:50" ht="9" customHeight="1" thickBot="1">
      <c r="A4" s="20">
        <v>312</v>
      </c>
      <c r="B4" s="31">
        <f>_xlfn.AGGREGATE(14,6,(Poteau!$C$3:$C$20/(Poteau!$B$3:$B$20=A4)),1)*1</f>
        <v>43181</v>
      </c>
      <c r="C4" s="21" t="str">
        <f t="shared" si="0"/>
        <v>Mars</v>
      </c>
      <c r="D4" s="21">
        <f>YEAR(Tableau_basededonnée[[#This Row],[B]])</f>
        <v>2018</v>
      </c>
      <c r="E4" s="14">
        <v>900</v>
      </c>
      <c r="F4" s="16" t="s">
        <v>73</v>
      </c>
      <c r="G4" s="22" t="s">
        <v>77</v>
      </c>
      <c r="H4" s="23" t="s">
        <v>83</v>
      </c>
      <c r="I4" s="24">
        <v>1</v>
      </c>
      <c r="J4" s="21">
        <v>150</v>
      </c>
      <c r="K4" s="25" t="s">
        <v>87</v>
      </c>
      <c r="L4" s="25">
        <v>7</v>
      </c>
      <c r="M4" s="19" t="s">
        <v>88</v>
      </c>
      <c r="N4" s="19" t="s">
        <v>89</v>
      </c>
      <c r="O4" s="25" t="s">
        <v>21</v>
      </c>
      <c r="P4" s="25" t="s">
        <v>4</v>
      </c>
      <c r="Q4" s="25" t="s">
        <v>21</v>
      </c>
      <c r="R4" s="25" t="s">
        <v>1</v>
      </c>
      <c r="S4" s="25" t="s">
        <v>22</v>
      </c>
      <c r="T4" s="25" t="s">
        <v>1</v>
      </c>
      <c r="U4" s="25" t="s">
        <v>19</v>
      </c>
      <c r="V4" s="25" t="str">
        <f t="array" ref="V4">INDEX(tblPoteau[V],SUMPRODUCT((tblPoteau[A]=Tableau_basededonnée[[#This Row],[A]])*(tblPoteau[B]=MAX(IF(tblPoteau[A]=Tableau_basededonnée[[#This Row],[A]],tblPoteau[B])))*(ROW(tblPoteau[A])-2)))</f>
        <v>Moyen</v>
      </c>
      <c r="W4" s="25" t="s">
        <v>19</v>
      </c>
      <c r="X4" s="25" t="s">
        <v>1</v>
      </c>
      <c r="Y4" s="25" t="s">
        <v>19</v>
      </c>
      <c r="Z4" s="25" t="s">
        <v>19</v>
      </c>
      <c r="AA4" s="25" t="s">
        <v>14</v>
      </c>
      <c r="AB4" s="25" t="s">
        <v>19</v>
      </c>
      <c r="AC4" s="25" t="s">
        <v>22</v>
      </c>
      <c r="AD4" s="25" t="s">
        <v>0</v>
      </c>
      <c r="AE4" s="25" t="s">
        <v>7</v>
      </c>
      <c r="AF4" s="25" t="s">
        <v>2</v>
      </c>
      <c r="AG4" s="25">
        <v>14</v>
      </c>
      <c r="AH4" s="25">
        <v>23</v>
      </c>
      <c r="AI4" s="25">
        <v>55</v>
      </c>
      <c r="AJ4" s="25" t="s">
        <v>8</v>
      </c>
      <c r="AK4" s="19" t="s">
        <v>91</v>
      </c>
      <c r="AL4" s="25" t="s">
        <v>21</v>
      </c>
      <c r="AM4" s="25" t="s">
        <v>20</v>
      </c>
      <c r="AN4" s="25" t="s">
        <v>7</v>
      </c>
      <c r="AO4" s="25" t="s">
        <v>7</v>
      </c>
      <c r="AP4" s="25" t="s">
        <v>7</v>
      </c>
      <c r="AQ4" s="25" t="s">
        <v>7</v>
      </c>
      <c r="AR4" s="25" t="s">
        <v>7</v>
      </c>
      <c r="AS4" s="25" t="s">
        <v>8</v>
      </c>
      <c r="AT4" s="25" t="s">
        <v>15</v>
      </c>
      <c r="AU4" s="25" t="s">
        <v>8</v>
      </c>
      <c r="AV4" s="19" t="s">
        <v>92</v>
      </c>
      <c r="AW4" s="26" t="s">
        <v>93</v>
      </c>
      <c r="AX4" s="29" t="str">
        <f t="array" ref="AX4">INDEX(tblPoteau[AX],SUMPRODUCT((tblPoteau[A]=Tableau_basededonnée[[#This Row],[A]])*(tblPoteau[B]=MAX(IF(tblPoteau[A]=Tableau_basededonnée[[#This Row],[A]],tblPoteau[B])))*(ROW(tblPoteau[A])-2)))</f>
        <v/>
      </c>
    </row>
    <row r="5" spans="1:50" ht="9" customHeight="1" thickBot="1">
      <c r="A5" s="20">
        <v>319</v>
      </c>
      <c r="B5" s="31">
        <f>_xlfn.AGGREGATE(14,6,(Poteau!$C$3:$C$20/(Poteau!$B$3:$B$20=A5)),1)*1</f>
        <v>43602</v>
      </c>
      <c r="C5" s="21" t="str">
        <f t="shared" si="0"/>
        <v>Mai</v>
      </c>
      <c r="D5" s="21">
        <f>YEAR(Tableau_basededonnée[[#This Row],[B]])</f>
        <v>2019</v>
      </c>
      <c r="E5" s="14">
        <v>900</v>
      </c>
      <c r="F5" s="27" t="s">
        <v>74</v>
      </c>
      <c r="G5" s="27" t="s">
        <v>78</v>
      </c>
      <c r="H5" s="23" t="s">
        <v>84</v>
      </c>
      <c r="I5" s="24">
        <v>1</v>
      </c>
      <c r="J5" s="28">
        <v>100</v>
      </c>
      <c r="K5" s="25" t="s">
        <v>49</v>
      </c>
      <c r="L5" s="25">
        <v>8</v>
      </c>
      <c r="M5" s="19" t="s">
        <v>88</v>
      </c>
      <c r="N5" s="19" t="s">
        <v>89</v>
      </c>
      <c r="O5" s="25" t="s">
        <v>21</v>
      </c>
      <c r="P5" s="25" t="s">
        <v>3</v>
      </c>
      <c r="Q5" s="25" t="s">
        <v>21</v>
      </c>
      <c r="R5" s="25" t="s">
        <v>0</v>
      </c>
      <c r="S5" s="25" t="s">
        <v>22</v>
      </c>
      <c r="T5" s="25" t="s">
        <v>1</v>
      </c>
      <c r="U5" s="25" t="s">
        <v>19</v>
      </c>
      <c r="V5" s="25" t="str">
        <f t="array" ref="V5">INDEX(tblPoteau[V],SUMPRODUCT((tblPoteau[A]=Tableau_basededonnée[[#This Row],[A]])*(tblPoteau[B]=MAX(IF(tblPoteau[A]=Tableau_basededonnée[[#This Row],[A]],tblPoteau[B])))*(ROW(tblPoteau[A])-2)))</f>
        <v>Moyen</v>
      </c>
      <c r="W5" s="25" t="s">
        <v>22</v>
      </c>
      <c r="X5" s="25" t="s">
        <v>0</v>
      </c>
      <c r="Y5" s="25" t="s">
        <v>19</v>
      </c>
      <c r="Z5" s="25" t="s">
        <v>19</v>
      </c>
      <c r="AA5" s="25" t="s">
        <v>10</v>
      </c>
      <c r="AB5" s="25" t="s">
        <v>21</v>
      </c>
      <c r="AC5" s="25" t="s">
        <v>21</v>
      </c>
      <c r="AD5" s="25" t="s">
        <v>1</v>
      </c>
      <c r="AE5" s="25" t="s">
        <v>7</v>
      </c>
      <c r="AF5" s="25" t="s">
        <v>2</v>
      </c>
      <c r="AG5" s="25">
        <v>15</v>
      </c>
      <c r="AH5" s="25">
        <v>24</v>
      </c>
      <c r="AI5" s="25">
        <v>55</v>
      </c>
      <c r="AJ5" s="25" t="s">
        <v>8</v>
      </c>
      <c r="AK5" s="19" t="s">
        <v>91</v>
      </c>
      <c r="AL5" s="25" t="s">
        <v>21</v>
      </c>
      <c r="AM5" s="25" t="s">
        <v>20</v>
      </c>
      <c r="AN5" s="25" t="s">
        <v>7</v>
      </c>
      <c r="AO5" s="25" t="s">
        <v>7</v>
      </c>
      <c r="AP5" s="25" t="s">
        <v>7</v>
      </c>
      <c r="AQ5" s="25" t="s">
        <v>7</v>
      </c>
      <c r="AR5" s="25" t="s">
        <v>8</v>
      </c>
      <c r="AS5" s="25" t="s">
        <v>8</v>
      </c>
      <c r="AT5" s="25" t="s">
        <v>0</v>
      </c>
      <c r="AU5" s="25" t="s">
        <v>8</v>
      </c>
      <c r="AV5" s="19" t="s">
        <v>92</v>
      </c>
      <c r="AW5" s="26" t="s">
        <v>93</v>
      </c>
      <c r="AX5" s="29">
        <f t="array" ref="AX5">INDEX(tblPoteau[AX],SUMPRODUCT((tblPoteau[A]=Tableau_basededonnée[[#This Row],[A]])*(tblPoteau[B]=MAX(IF(tblPoteau[A]=Tableau_basededonnée[[#This Row],[A]],tblPoteau[B])))*(ROW(tblPoteau[A])-2)))</f>
        <v>0</v>
      </c>
    </row>
    <row r="6" spans="1:50" ht="9" customHeight="1" thickBot="1">
      <c r="A6" s="20">
        <v>320</v>
      </c>
      <c r="B6" s="31">
        <f>_xlfn.AGGREGATE(14,6,(Poteau!$C$3:$C$20/(Poteau!$B$3:$B$20=A6)),1)*1</f>
        <v>42661</v>
      </c>
      <c r="C6" s="21" t="str">
        <f t="shared" si="0"/>
        <v>Octobre</v>
      </c>
      <c r="D6" s="21">
        <f>YEAR(Tableau_basededonnée[[#This Row],[B]])</f>
        <v>2016</v>
      </c>
      <c r="E6" s="14">
        <v>900</v>
      </c>
      <c r="F6" s="27" t="s">
        <v>74</v>
      </c>
      <c r="G6" s="27" t="s">
        <v>79</v>
      </c>
      <c r="H6" s="23" t="s">
        <v>85</v>
      </c>
      <c r="I6" s="24">
        <v>1</v>
      </c>
      <c r="J6" s="21">
        <v>100</v>
      </c>
      <c r="K6" s="25" t="s">
        <v>49</v>
      </c>
      <c r="L6" s="25">
        <v>4</v>
      </c>
      <c r="M6" s="19" t="s">
        <v>88</v>
      </c>
      <c r="N6" s="19" t="s">
        <v>89</v>
      </c>
      <c r="O6" s="25" t="s">
        <v>21</v>
      </c>
      <c r="P6" s="25" t="s">
        <v>4</v>
      </c>
      <c r="Q6" s="25" t="s">
        <v>21</v>
      </c>
      <c r="R6" s="25" t="s">
        <v>0</v>
      </c>
      <c r="S6" s="25" t="s">
        <v>22</v>
      </c>
      <c r="T6" s="25" t="s">
        <v>1</v>
      </c>
      <c r="U6" s="25" t="s">
        <v>19</v>
      </c>
      <c r="V6" s="25" t="str">
        <f t="array" ref="V6">INDEX(tblPoteau[V],SUMPRODUCT((tblPoteau[A]=Tableau_basededonnée[[#This Row],[A]])*(tblPoteau[B]=MAX(IF(tblPoteau[A]=Tableau_basededonnée[[#This Row],[A]],tblPoteau[B])))*(ROW(tblPoteau[A])-2)))</f>
        <v>Moyen</v>
      </c>
      <c r="W6" s="25" t="s">
        <v>19</v>
      </c>
      <c r="X6" s="25" t="s">
        <v>0</v>
      </c>
      <c r="Y6" s="25" t="s">
        <v>19</v>
      </c>
      <c r="Z6" s="25" t="s">
        <v>19</v>
      </c>
      <c r="AA6" s="25" t="s">
        <v>10</v>
      </c>
      <c r="AB6" s="25" t="s">
        <v>21</v>
      </c>
      <c r="AC6" s="25" t="s">
        <v>21</v>
      </c>
      <c r="AD6" s="25" t="s">
        <v>0</v>
      </c>
      <c r="AE6" s="25" t="s">
        <v>7</v>
      </c>
      <c r="AF6" s="25" t="s">
        <v>2</v>
      </c>
      <c r="AG6" s="25">
        <v>16</v>
      </c>
      <c r="AH6" s="25">
        <v>25</v>
      </c>
      <c r="AI6" s="25">
        <v>55</v>
      </c>
      <c r="AJ6" s="25" t="s">
        <v>8</v>
      </c>
      <c r="AK6" s="19" t="s">
        <v>91</v>
      </c>
      <c r="AL6" s="25" t="s">
        <v>21</v>
      </c>
      <c r="AM6" s="25" t="s">
        <v>20</v>
      </c>
      <c r="AN6" s="25" t="s">
        <v>7</v>
      </c>
      <c r="AO6" s="25" t="s">
        <v>7</v>
      </c>
      <c r="AP6" s="25" t="s">
        <v>7</v>
      </c>
      <c r="AQ6" s="25" t="s">
        <v>7</v>
      </c>
      <c r="AR6" s="25" t="s">
        <v>8</v>
      </c>
      <c r="AS6" s="25" t="s">
        <v>8</v>
      </c>
      <c r="AT6" s="25" t="s">
        <v>0</v>
      </c>
      <c r="AU6" s="25" t="s">
        <v>8</v>
      </c>
      <c r="AV6" s="19" t="s">
        <v>92</v>
      </c>
      <c r="AW6" s="26" t="s">
        <v>91</v>
      </c>
      <c r="AX6" s="29" t="str">
        <f t="array" ref="AX6">INDEX(tblPoteau[AX],SUMPRODUCT((tblPoteau[A]=Tableau_basededonnée[[#This Row],[A]])*(tblPoteau[B]=MAX(IF(tblPoteau[A]=Tableau_basededonnée[[#This Row],[A]],tblPoteau[B])))*(ROW(tblPoteau[A])-2)))</f>
        <v/>
      </c>
    </row>
    <row r="7" spans="1:50" ht="9" customHeight="1">
      <c r="A7" s="20">
        <v>321</v>
      </c>
      <c r="B7" s="31">
        <f>_xlfn.AGGREGATE(14,6,(Poteau!$C$3:$C$20/(Poteau!$B$3:$B$20=A7)),1)*1</f>
        <v>43215</v>
      </c>
      <c r="C7" s="21" t="str">
        <f t="shared" si="0"/>
        <v>Avril</v>
      </c>
      <c r="D7" s="21">
        <f>YEAR(Tableau_basededonnée[[#This Row],[B]])</f>
        <v>2018</v>
      </c>
      <c r="E7" s="14">
        <v>900</v>
      </c>
      <c r="F7" s="27" t="s">
        <v>74</v>
      </c>
      <c r="G7" s="27" t="s">
        <v>80</v>
      </c>
      <c r="H7" s="23" t="s">
        <v>86</v>
      </c>
      <c r="I7" s="24">
        <v>1</v>
      </c>
      <c r="J7" s="21">
        <v>100</v>
      </c>
      <c r="K7" s="25" t="s">
        <v>87</v>
      </c>
      <c r="L7" s="25">
        <v>5</v>
      </c>
      <c r="M7" s="19" t="s">
        <v>88</v>
      </c>
      <c r="N7" s="19" t="s">
        <v>89</v>
      </c>
      <c r="O7" s="25" t="s">
        <v>22</v>
      </c>
      <c r="P7" s="25" t="s">
        <v>3</v>
      </c>
      <c r="Q7" s="25" t="s">
        <v>21</v>
      </c>
      <c r="R7" s="25" t="s">
        <v>0</v>
      </c>
      <c r="S7" s="25" t="s">
        <v>22</v>
      </c>
      <c r="T7" s="25" t="s">
        <v>0</v>
      </c>
      <c r="U7" s="25" t="s">
        <v>19</v>
      </c>
      <c r="V7" s="25" t="str">
        <f t="array" ref="V7">INDEX(tblPoteau[V],SUMPRODUCT((tblPoteau[A]=Tableau_basededonnée[[#This Row],[A]])*(tblPoteau[B]=MAX(IF(tblPoteau[A]=Tableau_basededonnée[[#This Row],[A]],tblPoteau[B])))*(ROW(tblPoteau[A])-2)))</f>
        <v>Moyen</v>
      </c>
      <c r="W7" s="25" t="s">
        <v>19</v>
      </c>
      <c r="X7" s="25" t="s">
        <v>0</v>
      </c>
      <c r="Y7" s="25" t="s">
        <v>19</v>
      </c>
      <c r="Z7" s="25" t="s">
        <v>19</v>
      </c>
      <c r="AA7" s="25" t="s">
        <v>12</v>
      </c>
      <c r="AB7" s="25" t="s">
        <v>21</v>
      </c>
      <c r="AC7" s="25" t="s">
        <v>21</v>
      </c>
      <c r="AD7" s="25" t="s">
        <v>0</v>
      </c>
      <c r="AE7" s="25" t="s">
        <v>7</v>
      </c>
      <c r="AF7" s="25" t="s">
        <v>2</v>
      </c>
      <c r="AG7" s="25">
        <v>17</v>
      </c>
      <c r="AH7" s="25">
        <v>26</v>
      </c>
      <c r="AI7" s="25">
        <v>55</v>
      </c>
      <c r="AJ7" s="25" t="s">
        <v>8</v>
      </c>
      <c r="AK7" s="19" t="s">
        <v>91</v>
      </c>
      <c r="AL7" s="25" t="s">
        <v>21</v>
      </c>
      <c r="AM7" s="25" t="s">
        <v>20</v>
      </c>
      <c r="AN7" s="25" t="s">
        <v>7</v>
      </c>
      <c r="AO7" s="25" t="s">
        <v>7</v>
      </c>
      <c r="AP7" s="25" t="s">
        <v>7</v>
      </c>
      <c r="AQ7" s="25" t="s">
        <v>8</v>
      </c>
      <c r="AR7" s="25" t="s">
        <v>8</v>
      </c>
      <c r="AS7" s="25" t="s">
        <v>8</v>
      </c>
      <c r="AT7" s="25" t="s">
        <v>1</v>
      </c>
      <c r="AU7" s="25" t="s">
        <v>8</v>
      </c>
      <c r="AV7" s="19" t="s">
        <v>92</v>
      </c>
      <c r="AW7" s="26" t="s">
        <v>93</v>
      </c>
      <c r="AX7" s="29"/>
    </row>
  </sheetData>
  <sheetProtection autoFilter="0"/>
  <sortState ref="A3:AS8">
    <sortCondition ref="B2"/>
  </sortState>
  <conditionalFormatting sqref="T2:T7 W3:X7 O4:O7">
    <cfRule type="containsBlanks" dxfId="61" priority="303">
      <formula>LEN(TRIM(O2))=0</formula>
    </cfRule>
  </conditionalFormatting>
  <conditionalFormatting sqref="AA4 Y3:Y4 AF3:AG4 Y5:AH7 U3:U7 P2:S7 L2:M7 AI3:AJ7 AN4:AU4 AL2:AM4 AP3:AU3 AN2:AO3 AL5:AU7 AV2:AV7">
    <cfRule type="containsBlanks" dxfId="60" priority="150">
      <formula>LEN(TRIM(L2))=0</formula>
    </cfRule>
  </conditionalFormatting>
  <conditionalFormatting sqref="O3 U2 AA3:AE3 AH3:AH4 W2:AK2 AS2:AU2 Z3:Z4 AB4:AE4 AK3:AK7 AP2:AQ2">
    <cfRule type="containsBlanks" dxfId="59" priority="155">
      <formula>LEN(TRIM(O2))=0</formula>
    </cfRule>
  </conditionalFormatting>
  <conditionalFormatting sqref="N2:N7">
    <cfRule type="containsBlanks" dxfId="58" priority="119">
      <formula>LEN(TRIM(N2))=0</formula>
    </cfRule>
  </conditionalFormatting>
  <conditionalFormatting sqref="O2">
    <cfRule type="containsBlanks" dxfId="57" priority="118">
      <formula>LEN(TRIM(O2))=0</formula>
    </cfRule>
  </conditionalFormatting>
  <conditionalFormatting sqref="AR2">
    <cfRule type="containsBlanks" dxfId="56" priority="81">
      <formula>LEN(TRIM(AR2))=0</formula>
    </cfRule>
  </conditionalFormatting>
  <dataValidations count="1">
    <dataValidation type="custom" allowBlank="1" showInputMessage="1" showErrorMessage="1" error="Ce code existe déjà!" sqref="A2:A7">
      <formula1>COUNTIF($A$2:$A$7,A2)=1</formula1>
    </dataValidation>
  </dataValidations>
  <printOptions horizontalCentered="1" gridLines="1"/>
  <pageMargins left="0.19685039370078741" right="0.19685039370078741" top="0.98425196850393704" bottom="0.19685039370078741" header="0" footer="0"/>
  <pageSetup paperSize="9" scale="120" fitToHeight="0" orientation="portrait" r:id="rId1"/>
  <headerFooter>
    <oddHeader>&amp;C&amp;"Times New Roman,Gras"&amp;18
Fiche de Lavage</oddHeader>
    <oddFooter>&amp;C&amp;P</oddFooter>
  </headerFooter>
  <cellWatches>
    <cellWatch r="AX2"/>
  </cellWatche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N8"/>
  <sheetViews>
    <sheetView showGridLines="0" tabSelected="1" workbookViewId="0">
      <pane ySplit="1" topLeftCell="A2" activePane="bottomLeft" state="frozen"/>
      <selection pane="bottomLeft" activeCell="P12" sqref="P12"/>
    </sheetView>
  </sheetViews>
  <sheetFormatPr baseColWidth="10" defaultColWidth="11.5703125" defaultRowHeight="15"/>
  <cols>
    <col min="1" max="1" width="8.7109375" customWidth="1"/>
    <col min="2" max="3" width="7.28515625" bestFit="1" customWidth="1"/>
    <col min="4" max="4" width="6.85546875" bestFit="1" customWidth="1"/>
    <col min="5" max="5" width="11.85546875" bestFit="1" customWidth="1"/>
    <col min="6" max="7" width="4" bestFit="1" customWidth="1"/>
    <col min="8" max="12" width="8.7109375" hidden="1" customWidth="1"/>
    <col min="13" max="14" width="8.7109375" customWidth="1"/>
  </cols>
  <sheetData>
    <row r="1" spans="1:14" ht="22.9" customHeight="1">
      <c r="A1" s="36" t="s">
        <v>23</v>
      </c>
      <c r="B1" s="36" t="s">
        <v>27</v>
      </c>
      <c r="C1" s="37" t="s">
        <v>31</v>
      </c>
      <c r="D1" s="37" t="s">
        <v>28</v>
      </c>
      <c r="E1" s="37" t="s">
        <v>29</v>
      </c>
      <c r="F1" s="37" t="s">
        <v>9</v>
      </c>
      <c r="G1" s="37" t="s">
        <v>30</v>
      </c>
      <c r="H1" s="38">
        <v>2012</v>
      </c>
      <c r="I1" s="38">
        <v>2013</v>
      </c>
      <c r="J1" s="38">
        <v>2014</v>
      </c>
      <c r="K1" s="38">
        <v>2015</v>
      </c>
      <c r="L1" s="38">
        <v>2016</v>
      </c>
      <c r="M1" s="39">
        <v>2017</v>
      </c>
      <c r="N1" s="38">
        <v>2018</v>
      </c>
    </row>
    <row r="2" spans="1:14" ht="19.899999999999999" customHeight="1">
      <c r="A2" s="53" t="s">
        <v>94</v>
      </c>
      <c r="B2" s="53"/>
      <c r="C2" s="53"/>
      <c r="D2" s="53"/>
      <c r="E2" s="40"/>
      <c r="F2" s="42"/>
      <c r="G2" s="42"/>
      <c r="H2" s="42"/>
      <c r="I2" s="42"/>
      <c r="J2" s="42"/>
      <c r="K2" s="42"/>
      <c r="L2" s="41"/>
      <c r="M2" s="42" t="str">
        <f t="array" ref="M2">IF(MAX(IF((YEAR(tblPoteau[B])='Tableau de bord'!M$1)*(Essai='Tableau de bord'!$A2),tblPoteau[B])),MAX(IF((YEAR(tblPoteau[B])='Tableau de bord'!M$1)*(Essai='Tableau de bord'!$A2),tblPoteau[B])),"")</f>
        <v/>
      </c>
      <c r="N2" s="42" t="str">
        <f t="array" ref="N2">IF(MAX(IF((YEAR(tblPoteau[B])='Tableau de bord'!N$1)*(Essai='Tableau de bord'!$A2),tblPoteau[B])),MAX(IF((YEAR(tblPoteau[B])='Tableau de bord'!N$1)*(Essai='Tableau de bord'!$A2),tblPoteau[B])),"")</f>
        <v/>
      </c>
    </row>
    <row r="3" spans="1:14" ht="19.899999999999999" customHeight="1">
      <c r="A3" s="32">
        <v>310</v>
      </c>
      <c r="B3" s="32" t="s">
        <v>18</v>
      </c>
      <c r="C3" s="32" t="s">
        <v>73</v>
      </c>
      <c r="D3" s="32" t="s">
        <v>75</v>
      </c>
      <c r="E3" s="32" t="s">
        <v>81</v>
      </c>
      <c r="F3" s="32">
        <v>1</v>
      </c>
      <c r="G3" s="32">
        <v>10</v>
      </c>
      <c r="H3" s="34">
        <v>40998</v>
      </c>
      <c r="I3" s="34">
        <v>41285</v>
      </c>
      <c r="J3" s="34">
        <v>41677</v>
      </c>
      <c r="K3" s="34">
        <v>42020</v>
      </c>
      <c r="L3" s="33">
        <v>42405</v>
      </c>
      <c r="M3" s="34">
        <f t="array" ref="M3">IF(MAX(IF((YEAR(tblPoteau[B])='Tableau de bord'!M$1)*(Essai='Tableau de bord'!$A3),tblPoteau[B])),MAX(IF((YEAR(tblPoteau[B])='Tableau de bord'!M$1)*(Essai='Tableau de bord'!$A3),tblPoteau[B])),"")</f>
        <v>42751</v>
      </c>
      <c r="N3" s="34" t="str">
        <f>IF(MAX(IF((YEAR(tblPoteau[B])='Tableau de bord'!N$1)*(Essai='Tableau de bord'!$A3),tblPoteau[B])),MAX(IF((YEAR(tblPoteau[B])='Tableau de bord'!N$1)*(Essai='Tableau de bord'!$A3),tblPoteau[B])),"")</f>
        <v/>
      </c>
    </row>
    <row r="4" spans="1:14" ht="19.899999999999999" customHeight="1">
      <c r="A4" s="32">
        <v>311</v>
      </c>
      <c r="B4" s="32" t="s">
        <v>18</v>
      </c>
      <c r="C4" s="32" t="s">
        <v>73</v>
      </c>
      <c r="D4" s="32" t="s">
        <v>76</v>
      </c>
      <c r="E4" s="32" t="s">
        <v>82</v>
      </c>
      <c r="F4" s="32">
        <v>1</v>
      </c>
      <c r="G4" s="32">
        <v>50</v>
      </c>
      <c r="H4" s="34">
        <v>41033</v>
      </c>
      <c r="I4" s="34">
        <v>41383</v>
      </c>
      <c r="J4" s="34">
        <v>41754</v>
      </c>
      <c r="K4" s="34">
        <v>42083</v>
      </c>
      <c r="L4" s="33">
        <v>42384</v>
      </c>
      <c r="M4" s="34">
        <f t="array" ref="M4">IF(MAX(IF((YEAR(tblPoteau[B])='Tableau de bord'!M$1)*(Essai='Tableau de bord'!$A4),tblPoteau[B])),MAX(IF((YEAR(tblPoteau[B])='Tableau de bord'!M$1)*(Essai='Tableau de bord'!$A4),tblPoteau[B])),"")</f>
        <v>42746</v>
      </c>
      <c r="N4" s="34">
        <f t="array" ref="N4">IF(MAX(IF((YEAR(tblPoteau[B])='Tableau de bord'!N$1)*(Essai='Tableau de bord'!$A4),tblPoteau[B])),MAX(IF((YEAR(tblPoteau[B])='Tableau de bord'!N$1)*(Essai='Tableau de bord'!$A4),tblPoteau[B])),"")</f>
        <v>43118</v>
      </c>
    </row>
    <row r="5" spans="1:14" ht="19.899999999999999" customHeight="1">
      <c r="A5" s="32">
        <v>312</v>
      </c>
      <c r="B5" s="32" t="s">
        <v>18</v>
      </c>
      <c r="C5" s="32" t="s">
        <v>73</v>
      </c>
      <c r="D5" s="32" t="s">
        <v>77</v>
      </c>
      <c r="E5" s="32" t="s">
        <v>83</v>
      </c>
      <c r="F5" s="32">
        <v>1</v>
      </c>
      <c r="G5" s="32">
        <v>150</v>
      </c>
      <c r="H5" s="34">
        <v>41257</v>
      </c>
      <c r="I5" s="34"/>
      <c r="J5" s="34">
        <v>41733</v>
      </c>
      <c r="K5" s="34">
        <v>42048</v>
      </c>
      <c r="L5" s="34">
        <v>42403</v>
      </c>
      <c r="M5" s="34">
        <f t="array" ref="M5">IF(MAX(IF((YEAR(tblPoteau[B])='Tableau de bord'!M$1)*(Essai='Tableau de bord'!$A5),tblPoteau[B])),MAX(IF((YEAR(tblPoteau[B])='Tableau de bord'!M$1)*(Essai='Tableau de bord'!$A5),tblPoteau[B])),"")</f>
        <v>42880</v>
      </c>
      <c r="N5" s="34">
        <f t="array" ref="N5">IF(MAX(IF((YEAR(tblPoteau[B])='Tableau de bord'!N$1)*(Essai='Tableau de bord'!$A5),tblPoteau[B])),MAX(IF((YEAR(tblPoteau[B])='Tableau de bord'!N$1)*(Essai='Tableau de bord'!$A5),tblPoteau[B])),"")</f>
        <v>43181</v>
      </c>
    </row>
    <row r="6" spans="1:14" ht="19.899999999999999" customHeight="1">
      <c r="A6" s="32">
        <v>319</v>
      </c>
      <c r="B6" s="32" t="s">
        <v>18</v>
      </c>
      <c r="C6" s="32" t="s">
        <v>74</v>
      </c>
      <c r="D6" s="32" t="s">
        <v>78</v>
      </c>
      <c r="E6" s="32" t="s">
        <v>84</v>
      </c>
      <c r="F6" s="32">
        <v>1</v>
      </c>
      <c r="G6" s="32">
        <v>100</v>
      </c>
      <c r="H6" s="34"/>
      <c r="I6" s="34"/>
      <c r="J6" s="34">
        <v>41746</v>
      </c>
      <c r="K6" s="34">
        <v>42152</v>
      </c>
      <c r="L6" s="34">
        <v>42486</v>
      </c>
      <c r="M6" s="34" t="str">
        <f t="array" ref="M6">IF(MAX(IF((YEAR(tblPoteau[B])='Tableau de bord'!M$1)*(Essai='Tableau de bord'!$A6),tblPoteau[B])),MAX(IF((YEAR(tblPoteau[B])='Tableau de bord'!M$1)*(Essai='Tableau de bord'!$A6),tblPoteau[B])),"")</f>
        <v/>
      </c>
      <c r="N6" s="34" t="str">
        <f t="array" ref="N6">IF(MAX(IF((YEAR(tblPoteau[B])='Tableau de bord'!N$1)*(Essai='Tableau de bord'!$A6),tblPoteau[B])),MAX(IF((YEAR(tblPoteau[B])='Tableau de bord'!N$1)*(Essai='Tableau de bord'!$A6),tblPoteau[B])),"")</f>
        <v/>
      </c>
    </row>
    <row r="7" spans="1:14" ht="19.899999999999999" customHeight="1">
      <c r="A7" s="32">
        <v>320</v>
      </c>
      <c r="B7" s="32" t="s">
        <v>18</v>
      </c>
      <c r="C7" s="32" t="s">
        <v>74</v>
      </c>
      <c r="D7" s="32" t="s">
        <v>79</v>
      </c>
      <c r="E7" s="32" t="s">
        <v>85</v>
      </c>
      <c r="F7" s="32">
        <v>1</v>
      </c>
      <c r="G7" s="32">
        <v>100</v>
      </c>
      <c r="H7" s="34">
        <v>41058</v>
      </c>
      <c r="I7" s="34">
        <v>41387</v>
      </c>
      <c r="J7" s="34">
        <v>41737</v>
      </c>
      <c r="K7" s="34">
        <v>42108</v>
      </c>
      <c r="L7" s="34">
        <v>42465</v>
      </c>
      <c r="M7" s="34" t="str">
        <f t="array" ref="M7">IF(MAX(IF((YEAR(tblPoteau[B])='Tableau de bord'!M$1)*(Essai='Tableau de bord'!$A7),tblPoteau[B])),MAX(IF((YEAR(tblPoteau[B])='Tableau de bord'!M$1)*(Essai='Tableau de bord'!$A7),tblPoteau[B])),"")</f>
        <v/>
      </c>
      <c r="N7" s="34" t="str">
        <f t="array" ref="N7">IF(MAX(IF((YEAR(tblPoteau[B])='Tableau de bord'!N$1)*(Essai='Tableau de bord'!$A7),tblPoteau[B])),MAX(IF((YEAR(tblPoteau[B])='Tableau de bord'!N$1)*(Essai='Tableau de bord'!$A7),tblPoteau[B])),"")</f>
        <v/>
      </c>
    </row>
    <row r="8" spans="1:14" ht="19.899999999999999" customHeight="1">
      <c r="A8" s="32">
        <v>321</v>
      </c>
      <c r="B8" s="32" t="s">
        <v>18</v>
      </c>
      <c r="C8" s="32" t="s">
        <v>74</v>
      </c>
      <c r="D8" s="32" t="s">
        <v>80</v>
      </c>
      <c r="E8" s="32" t="s">
        <v>86</v>
      </c>
      <c r="F8" s="32">
        <v>1</v>
      </c>
      <c r="G8" s="32">
        <v>100</v>
      </c>
      <c r="H8" s="34">
        <v>40988</v>
      </c>
      <c r="I8" s="34">
        <v>41345</v>
      </c>
      <c r="J8" s="34">
        <v>41744</v>
      </c>
      <c r="K8" s="34"/>
      <c r="L8" s="34">
        <v>42381</v>
      </c>
      <c r="M8" s="34">
        <f t="array" ref="M8">IF(MAX(IF((YEAR(tblPoteau[B])='Tableau de bord'!M$1)*(Essai='Tableau de bord'!$A8),tblPoteau[B])),MAX(IF((YEAR(tblPoteau[B])='Tableau de bord'!M$1)*(Essai='Tableau de bord'!$A8),tblPoteau[B])),"")</f>
        <v>42845</v>
      </c>
      <c r="N8" s="34">
        <f t="array" ref="N8">IF(MAX(IF((YEAR(tblPoteau[B])='Tableau de bord'!N$1)*(Essai='Tableau de bord'!$A8),tblPoteau[B])),MAX(IF((YEAR(tblPoteau[B])='Tableau de bord'!N$1)*(Essai='Tableau de bord'!$A8),tblPoteau[B])),"")</f>
        <v>43215</v>
      </c>
    </row>
  </sheetData>
  <sheetProtection deleteColumns="0" autoFilter="0"/>
  <conditionalFormatting sqref="H3:K8 M3:N8">
    <cfRule type="containsBlanks" dxfId="1" priority="77">
      <formula>LEN(TRIM(H3))=0</formula>
    </cfRule>
  </conditionalFormatting>
  <conditionalFormatting sqref="L3:L4">
    <cfRule type="containsBlanks" dxfId="0" priority="70">
      <formula>LEN(TRIM(L3))=0</formula>
    </cfRule>
  </conditionalFormatting>
  <dataValidations count="1">
    <dataValidation type="custom" allowBlank="1" showInputMessage="1" showErrorMessage="1" error="Ce code existe déjà!" sqref="A3:A8">
      <formula1>COUNTIF($A$2:$A$11,A3)=1</formula1>
    </dataValidation>
  </dataValidations>
  <printOptions horizontalCentered="1" verticalCentered="1"/>
  <pageMargins left="0.70866141732283472" right="0.70866141732283472" top="0.74803149606299213" bottom="0.35433070866141736" header="0.31496062992125984" footer="0.19685039370078741"/>
  <pageSetup paperSize="9" orientation="landscape" horizontalDpi="4294967293" verticalDpi="0" r:id="rId1"/>
  <headerFooter>
    <oddHeader>&amp;C&amp;"Gil sans mt,Gras"&amp;20&amp;K0000FFTableau de bord de lavage des réservoirs.</oddHead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Poteau</vt:lpstr>
      <vt:lpstr>Basededonnée</vt:lpstr>
      <vt:lpstr>Tableau de bord</vt:lpstr>
      <vt:lpstr>Essai</vt:lpstr>
      <vt:lpstr>'Tableau de bord'!Impression_des_titres</vt:lpstr>
      <vt:lpstr>Poteau!Zone_d_impression</vt:lpstr>
      <vt:lpstr>'Tableau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Jean-Eric Pelouas</cp:lastModifiedBy>
  <cp:lastPrinted>2018-05-22T15:54:54Z</cp:lastPrinted>
  <dcterms:created xsi:type="dcterms:W3CDTF">2015-05-19T16:57:11Z</dcterms:created>
  <dcterms:modified xsi:type="dcterms:W3CDTF">2018-05-22T19:44:19Z</dcterms:modified>
</cp:coreProperties>
</file>