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8.xml" ContentType="application/vnd.openxmlformats-officedocument.spreadsheetml.table+xml"/>
  <Override PartName="/xl/slicers/slicer2.xml" ContentType="application/vnd.ms-excel.slicer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9.xml" ContentType="application/vnd.openxmlformats-officedocument.spreadsheetml.table+xml"/>
  <Override PartName="/xl/slicers/slicer3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queryTables/queryTable1.xml" ContentType="application/vnd.openxmlformats-officedocument.spreadsheetml.queryTable+xml"/>
  <Override PartName="/xl/slicers/slicer4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812" activeTab="4"/>
  </bookViews>
  <sheets>
    <sheet name="Agent" sheetId="10" r:id="rId1"/>
    <sheet name="Param" sheetId="5" r:id="rId2"/>
    <sheet name="Mvt poudre" sheetId="23" r:id="rId3"/>
    <sheet name="Mvt sphere" sheetId="25" r:id="rId4"/>
    <sheet name="Mvt BtChasse" sheetId="26" r:id="rId5"/>
    <sheet name="Graphique poudre" sheetId="24" r:id="rId6"/>
  </sheets>
  <definedNames>
    <definedName name="AnnuelGr1">#REF!,#REF!</definedName>
    <definedName name="AnnuelGr2">#REF!,#REF!</definedName>
    <definedName name="DonnéesExternes_1" localSheetId="5" hidden="1">'Graphique poudre'!$B$47:$I$50</definedName>
    <definedName name="Hebdo_Gr1">#REF!</definedName>
    <definedName name="Hebdo_Gr2">#REF!</definedName>
    <definedName name="Hebdo_Gr3">#REF!</definedName>
    <definedName name="Hebdo_Gr4">#REF!</definedName>
    <definedName name="Hebdo_Gr5">#REF!</definedName>
    <definedName name="Hebdo_Gr6">#REF!</definedName>
    <definedName name="Hebdo_Gr7">#REF!,#REF!</definedName>
    <definedName name="Hebdo_Gr8">#REF!,#REF!</definedName>
    <definedName name="Hebdo_Gr9">#REF!,#REF!</definedName>
    <definedName name="List_BtChasse">TbBDDBtChasse[N° Identification]</definedName>
    <definedName name="List_LieuAbsorbant">#REF!</definedName>
    <definedName name="List_LieuEmulseur">#REF!</definedName>
    <definedName name="List_LieuPoudre">TbBDDPoudre[Lieu]</definedName>
    <definedName name="List_MvtES">TbMvt[Mouvement]</definedName>
    <definedName name="List_VehSphere">TbBDDSphere[Véhicule]</definedName>
    <definedName name="ListAgent">TbAgentCarbu[Agent]</definedName>
    <definedName name="ListeLogin">#REF!</definedName>
    <definedName name="ListeMDP">#REF!</definedName>
    <definedName name="ListeOnglet">#REF!</definedName>
    <definedName name="ListNiveau">#REF!</definedName>
    <definedName name="ListVehicule">TbVehCarbu[Véhicule]</definedName>
    <definedName name="Login">#REF!</definedName>
    <definedName name="Segment_Année10">#N/A</definedName>
    <definedName name="Segment_Année11">#N/A</definedName>
    <definedName name="Segment_Année8">#N/A</definedName>
    <definedName name="Segment_Année9">#N/A</definedName>
    <definedName name="Segment_Mois10">#N/A</definedName>
    <definedName name="Segment_Mois11">#N/A</definedName>
    <definedName name="Segment_Mois8">#N/A</definedName>
    <definedName name="Segment_Mois9">#N/A</definedName>
    <definedName name="Segment_Produit1">#N/A</definedName>
    <definedName name="VIM60_Gr1">#REF!,#REF!</definedName>
    <definedName name="VIM60_Gr10">#REF!</definedName>
    <definedName name="VIM60_Gr11">#REF!</definedName>
    <definedName name="VIM60_Gr12">#REF!</definedName>
    <definedName name="VIM60_Gr13">#REF!</definedName>
    <definedName name="VIM60_Gr14">#REF!,#REF!</definedName>
    <definedName name="VIM60_Gr2">#REF!,#REF!</definedName>
    <definedName name="VIM60_Gr3">#REF!,#REF!</definedName>
    <definedName name="VIM60_Gr4">#REF!</definedName>
    <definedName name="VIM60_Gr5">#REF!</definedName>
    <definedName name="VIM60_Gr6">#REF!</definedName>
    <definedName name="VIM60_Gr7">#REF!</definedName>
    <definedName name="VIM60_Gr8">#REF!</definedName>
    <definedName name="VIM60_Gr9">#REF!</definedName>
    <definedName name="VIM64_Gr1">#REF!,#REF!</definedName>
    <definedName name="VIM64_Gr2">#REF!,#REF!</definedName>
    <definedName name="VIM64_Gr3">#REF!,#REF!</definedName>
    <definedName name="VIM64_Gr4">#REF!</definedName>
    <definedName name="VIM64_Gr5">#REF!</definedName>
    <definedName name="VIM64_Gr6">#REF!</definedName>
    <definedName name="VIM64_Gr7">#REF!</definedName>
    <definedName name="VIM64_Gr8">#REF!</definedName>
    <definedName name="VIM64_Gr9">#REF!,#REF!</definedName>
    <definedName name="VIM70_Gr1">#REF!,#REF!</definedName>
    <definedName name="VIM70_Gr2">#REF!,#REF!</definedName>
    <definedName name="VIM70_Gr3">#REF!,#REF!</definedName>
    <definedName name="VIM70_Gr4">#REF!</definedName>
    <definedName name="VIM70_Gr5">#REF!</definedName>
    <definedName name="VIM70_Gr6">#REF!</definedName>
    <definedName name="VIM70_Gr7">#REF!</definedName>
    <definedName name="VIM70_Gr8">#REF!,#REF!</definedName>
    <definedName name="VPA_Gr1">#REF!</definedName>
    <definedName name="VPA_Gr2">#REF!</definedName>
    <definedName name="VPA_Gr3">#REF!</definedName>
    <definedName name="VPA_Gr4">#REF!</definedName>
    <definedName name="VPA_Gr5">#REF!</definedName>
  </definedNames>
  <calcPr calcId="162913"/>
  <pivotCaches>
    <pivotCache cacheId="70" r:id="rId7"/>
    <pivotCache cacheId="73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  <x14:slicerCache r:id="rId16"/>
        <x14:slicerCache r:id="rId1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3" i="24" l="1" a="1"/>
  <c r="J33" i="24" s="1"/>
  <c r="K23" i="26" l="1"/>
  <c r="M23" i="26"/>
  <c r="N23" i="26"/>
  <c r="C9" i="26" a="1"/>
  <c r="C9" i="26" s="1"/>
  <c r="B32" i="24" a="1"/>
  <c r="B32" i="24" s="1"/>
  <c r="B33" i="24" a="1"/>
  <c r="B33" i="24" s="1"/>
  <c r="B34" i="24" a="1"/>
  <c r="B34" i="24" s="1"/>
  <c r="B31" i="24" a="1"/>
  <c r="B31" i="24" s="1"/>
  <c r="C31" i="24" s="1" a="1"/>
  <c r="C31" i="24" s="1"/>
  <c r="E30" i="24" a="1"/>
  <c r="E30" i="24" s="1"/>
  <c r="F30" i="24" a="1"/>
  <c r="F30" i="24"/>
  <c r="G30" i="24" a="1"/>
  <c r="G30" i="24" s="1"/>
  <c r="J30" i="24" a="1"/>
  <c r="J30" i="24" s="1"/>
  <c r="K30" i="24" a="1"/>
  <c r="K30" i="24" s="1"/>
  <c r="L30" i="24" a="1"/>
  <c r="L30" i="24" s="1"/>
  <c r="M30" i="24" a="1"/>
  <c r="M30" i="24" s="1"/>
  <c r="D30" i="24" a="1"/>
  <c r="D30" i="24" s="1"/>
  <c r="C30" i="24" a="1"/>
  <c r="C30" i="24" s="1"/>
  <c r="I24" i="25"/>
  <c r="K24" i="25"/>
  <c r="L24" i="25"/>
  <c r="M24" i="25"/>
  <c r="G34" i="24" l="1" a="1"/>
  <c r="G34" i="24" s="1"/>
  <c r="K34" i="24" a="1"/>
  <c r="K34" i="24" s="1"/>
  <c r="F34" i="24" a="1"/>
  <c r="F34" i="24" s="1"/>
  <c r="J34" i="24" a="1"/>
  <c r="J34" i="24" s="1"/>
  <c r="L34" i="24" a="1"/>
  <c r="L34" i="24" s="1"/>
  <c r="E34" i="24" a="1"/>
  <c r="E34" i="24" s="1"/>
  <c r="D34" i="24" a="1"/>
  <c r="D34" i="24" s="1"/>
  <c r="C34" i="24" a="1"/>
  <c r="C34" i="24" s="1"/>
  <c r="D33" i="24" a="1"/>
  <c r="D33" i="24" s="1"/>
  <c r="C33" i="24" a="1"/>
  <c r="C33" i="24" s="1"/>
  <c r="F33" i="24" a="1"/>
  <c r="F33" i="24" s="1"/>
  <c r="L33" i="24" a="1"/>
  <c r="L33" i="24" s="1"/>
  <c r="G33" i="24" a="1"/>
  <c r="G33" i="24" s="1"/>
  <c r="K33" i="24" a="1"/>
  <c r="K33" i="24" s="1"/>
  <c r="E33" i="24" a="1"/>
  <c r="E33" i="24" s="1"/>
  <c r="G32" i="24" a="1"/>
  <c r="G32" i="24" s="1"/>
  <c r="K32" i="24" a="1"/>
  <c r="K32" i="24" s="1"/>
  <c r="E32" i="24" a="1"/>
  <c r="E32" i="24" s="1"/>
  <c r="F32" i="24" a="1"/>
  <c r="F32" i="24" s="1"/>
  <c r="J32" i="24" a="1"/>
  <c r="J32" i="24" s="1"/>
  <c r="L32" i="24" a="1"/>
  <c r="L32" i="24" s="1"/>
  <c r="D32" i="24" a="1"/>
  <c r="D32" i="24" s="1"/>
  <c r="C32" i="24" a="1"/>
  <c r="C32" i="24" s="1"/>
  <c r="K31" i="24" a="1"/>
  <c r="K31" i="24" s="1"/>
  <c r="G31" i="24" a="1"/>
  <c r="G31" i="24" s="1"/>
  <c r="L31" i="24" a="1"/>
  <c r="L31" i="24" s="1"/>
  <c r="J31" i="24" a="1"/>
  <c r="J31" i="24" s="1"/>
  <c r="F31" i="24" a="1"/>
  <c r="F31" i="24" s="1"/>
  <c r="D31" i="24" a="1"/>
  <c r="D31" i="24" s="1"/>
  <c r="E31" i="24" a="1"/>
  <c r="E31" i="24" s="1"/>
  <c r="H5" i="26"/>
  <c r="H4" i="26"/>
  <c r="E6" i="26"/>
  <c r="E5" i="26"/>
  <c r="E7" i="25"/>
  <c r="K12" i="26"/>
  <c r="K13" i="26"/>
  <c r="K14" i="26"/>
  <c r="K15" i="26"/>
  <c r="K16" i="26"/>
  <c r="K17" i="26"/>
  <c r="K18" i="26"/>
  <c r="K19" i="26"/>
  <c r="K20" i="26"/>
  <c r="K21" i="26"/>
  <c r="K22" i="26"/>
  <c r="K12" i="25"/>
  <c r="H6" i="26" l="1" a="1"/>
  <c r="H6" i="26" s="1"/>
  <c r="N13" i="26"/>
  <c r="N14" i="26"/>
  <c r="N15" i="26"/>
  <c r="N16" i="26"/>
  <c r="N17" i="26"/>
  <c r="N18" i="26"/>
  <c r="N19" i="26"/>
  <c r="N20" i="26"/>
  <c r="N21" i="26"/>
  <c r="N22" i="26"/>
  <c r="M13" i="26"/>
  <c r="M14" i="26"/>
  <c r="M15" i="26"/>
  <c r="M16" i="26"/>
  <c r="M17" i="26"/>
  <c r="M18" i="26"/>
  <c r="M19" i="26"/>
  <c r="M20" i="26"/>
  <c r="M21" i="26"/>
  <c r="M22" i="26"/>
  <c r="N12" i="26"/>
  <c r="M12" i="26"/>
  <c r="C2" i="26"/>
  <c r="C9" i="25" a="1"/>
  <c r="C9" i="25" s="1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I41" i="23"/>
  <c r="I42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J41" i="23"/>
  <c r="J42" i="23"/>
  <c r="N3" i="5"/>
  <c r="N5" i="5"/>
  <c r="N6" i="5"/>
  <c r="N4" i="5"/>
  <c r="J25" i="24" a="1"/>
  <c r="J25" i="24" s="1"/>
  <c r="K25" i="24" s="1" a="1"/>
  <c r="K25" i="24" s="1"/>
  <c r="J24" i="24" a="1"/>
  <c r="J24" i="24" s="1"/>
  <c r="K24" i="24" s="1" a="1"/>
  <c r="K24" i="24" s="1"/>
  <c r="J23" i="24" a="1"/>
  <c r="J23" i="24" s="1"/>
  <c r="K23" i="24" s="1" a="1"/>
  <c r="K23" i="24" s="1"/>
  <c r="J22" i="24" a="1"/>
  <c r="J22" i="24" s="1"/>
  <c r="K22" i="24" s="1" a="1"/>
  <c r="K22" i="24" s="1"/>
  <c r="B25" i="24" a="1"/>
  <c r="B25" i="24" s="1"/>
  <c r="M25" i="24" s="1" a="1"/>
  <c r="M25" i="24" s="1"/>
  <c r="C7" i="25"/>
  <c r="B24" i="24" a="1"/>
  <c r="B24" i="24" s="1"/>
  <c r="L24" i="24" s="1" a="1"/>
  <c r="L24" i="24" s="1"/>
  <c r="B23" i="24" a="1"/>
  <c r="B23" i="24" s="1"/>
  <c r="C23" i="24" s="1" a="1"/>
  <c r="C23" i="24" s="1"/>
  <c r="B22" i="24" a="1"/>
  <c r="B22" i="24" s="1"/>
  <c r="C22" i="24" l="1" a="1"/>
  <c r="C22" i="24" s="1"/>
  <c r="D24" i="24" a="1"/>
  <c r="D24" i="24" s="1"/>
  <c r="C25" i="24" a="1"/>
  <c r="C25" i="24" s="1"/>
  <c r="E25" i="24" a="1"/>
  <c r="E25" i="24" s="1"/>
  <c r="L25" i="24" a="1"/>
  <c r="L25" i="24" s="1"/>
  <c r="L23" i="24" a="1"/>
  <c r="L23" i="24" s="1"/>
  <c r="D22" i="24" a="1"/>
  <c r="D22" i="24" s="1"/>
  <c r="D23" i="24" a="1"/>
  <c r="D23" i="24" s="1"/>
  <c r="C24" i="24" a="1"/>
  <c r="C24" i="24" s="1"/>
  <c r="D25" i="24" a="1"/>
  <c r="D25" i="24" s="1"/>
  <c r="L22" i="24" a="1"/>
  <c r="L22" i="24" s="1"/>
  <c r="G7" i="25" l="1"/>
  <c r="M13" i="25"/>
  <c r="M14" i="25"/>
  <c r="M15" i="25"/>
  <c r="M16" i="25"/>
  <c r="M17" i="25"/>
  <c r="M18" i="25"/>
  <c r="M19" i="25"/>
  <c r="M20" i="25"/>
  <c r="M21" i="25"/>
  <c r="M22" i="25"/>
  <c r="M23" i="25"/>
  <c r="L13" i="25"/>
  <c r="L14" i="25"/>
  <c r="L15" i="25"/>
  <c r="L16" i="25"/>
  <c r="L17" i="25"/>
  <c r="L18" i="25"/>
  <c r="L19" i="25"/>
  <c r="L20" i="25"/>
  <c r="L21" i="25"/>
  <c r="L22" i="25"/>
  <c r="L23" i="25"/>
  <c r="M12" i="25"/>
  <c r="L12" i="25"/>
  <c r="K13" i="25"/>
  <c r="K14" i="25"/>
  <c r="K15" i="25"/>
  <c r="K16" i="25"/>
  <c r="K17" i="25"/>
  <c r="K18" i="25"/>
  <c r="K19" i="25"/>
  <c r="K20" i="25"/>
  <c r="K21" i="25"/>
  <c r="K22" i="25"/>
  <c r="K23" i="25"/>
  <c r="I13" i="25"/>
  <c r="I14" i="25"/>
  <c r="I15" i="25"/>
  <c r="I16" i="25"/>
  <c r="I17" i="25"/>
  <c r="I18" i="25"/>
  <c r="I19" i="25"/>
  <c r="I20" i="25"/>
  <c r="I21" i="25"/>
  <c r="I22" i="25"/>
  <c r="I23" i="25"/>
  <c r="I12" i="25"/>
  <c r="E22" i="24" s="1" a="1"/>
  <c r="E22" i="24" s="1"/>
  <c r="C2" i="25"/>
  <c r="G13" i="24"/>
  <c r="C10" i="23" s="1"/>
  <c r="F16" i="24"/>
  <c r="G4" i="25" l="1" a="1"/>
  <c r="G4" i="25" s="1"/>
  <c r="E23" i="24" a="1"/>
  <c r="E23" i="24" s="1"/>
  <c r="E24" i="24" a="1"/>
  <c r="E24" i="24" s="1"/>
  <c r="G5" i="25" a="1"/>
  <c r="G5" i="25" s="1"/>
  <c r="M23" i="24" a="1"/>
  <c r="M23" i="24" s="1"/>
  <c r="M24" i="24" a="1"/>
  <c r="M24" i="24" s="1"/>
  <c r="M22" i="24" a="1"/>
  <c r="M22" i="24" s="1"/>
  <c r="C9" i="23" a="1"/>
  <c r="C9" i="23" s="1"/>
  <c r="C7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J12" i="23"/>
  <c r="I12" i="23"/>
  <c r="C2" i="23"/>
  <c r="E9" i="23" l="1"/>
  <c r="G16" i="24" s="1"/>
</calcChain>
</file>

<file path=xl/connections.xml><?xml version="1.0" encoding="utf-8"?>
<connections xmlns="http://schemas.openxmlformats.org/spreadsheetml/2006/main">
  <connection id="1" keepAlive="1" name="Requête - TbMvtBtChasse" description="Connexion à la requête « TbMvtBtChasse » dans le classeur." type="5" refreshedVersion="6" background="1" saveData="1">
    <dbPr connection="Provider=Microsoft.Mashup.OleDb.1;Data Source=$Workbook$;Location=TbMvtBtChasse;Extended Properties=&quot;&quot;" command="SELECT * FROM [TbMvtBtChasse]"/>
  </connection>
</connections>
</file>

<file path=xl/sharedStrings.xml><?xml version="1.0" encoding="utf-8"?>
<sst xmlns="http://schemas.openxmlformats.org/spreadsheetml/2006/main" count="488" uniqueCount="158">
  <si>
    <t>Date</t>
  </si>
  <si>
    <t>Véhicule</t>
  </si>
  <si>
    <t>Immat</t>
  </si>
  <si>
    <t>Carburation</t>
  </si>
  <si>
    <t>Lieu</t>
  </si>
  <si>
    <t>Sécu 2</t>
  </si>
  <si>
    <t>AC-766-GH</t>
  </si>
  <si>
    <t>Gas-oil</t>
  </si>
  <si>
    <t>LEROY France</t>
  </si>
  <si>
    <t>VPA</t>
  </si>
  <si>
    <t>DA-693-YQ</t>
  </si>
  <si>
    <t>LEROY Jean-Sébastien</t>
  </si>
  <si>
    <t>Sécu 3</t>
  </si>
  <si>
    <t>BD-330-TV</t>
  </si>
  <si>
    <t>DISTEFANO Alexis</t>
  </si>
  <si>
    <t>FERRARA Julien</t>
  </si>
  <si>
    <t>SCHWEITZER Jean-Michel</t>
  </si>
  <si>
    <t>AFONSO Julien</t>
  </si>
  <si>
    <t>AUDIE Anthony</t>
  </si>
  <si>
    <t>NAVARRO Christophe</t>
  </si>
  <si>
    <t>Compteur départ</t>
  </si>
  <si>
    <t>Sécu Bordeaux</t>
  </si>
  <si>
    <t>33 N-1846 B</t>
  </si>
  <si>
    <t>EZ-883-FP</t>
  </si>
  <si>
    <t>Status</t>
  </si>
  <si>
    <t>Actif</t>
  </si>
  <si>
    <t>BALLESTER Xavier</t>
  </si>
  <si>
    <t>BENAZET Jean-René</t>
  </si>
  <si>
    <t>DESMYTER Damien</t>
  </si>
  <si>
    <t>NAJJARI Mohamed</t>
  </si>
  <si>
    <t>SANTOS Jean-François</t>
  </si>
  <si>
    <t>ZARAGOZA Didier</t>
  </si>
  <si>
    <t>Sécu 1</t>
  </si>
  <si>
    <t>Mois</t>
  </si>
  <si>
    <t>Année</t>
  </si>
  <si>
    <t>Agent</t>
  </si>
  <si>
    <t>Nom</t>
  </si>
  <si>
    <t>Prénom</t>
  </si>
  <si>
    <t>AFONSO</t>
  </si>
  <si>
    <t>Julien</t>
  </si>
  <si>
    <t>AUDIÉ Anthony</t>
  </si>
  <si>
    <t>AUDIÉ</t>
  </si>
  <si>
    <t>Anthony</t>
  </si>
  <si>
    <t>BALLESTER</t>
  </si>
  <si>
    <t>Xavier</t>
  </si>
  <si>
    <t>BÉNAZET Jean-René</t>
  </si>
  <si>
    <t>BÉNAZET</t>
  </si>
  <si>
    <t>Jean-René</t>
  </si>
  <si>
    <t>DESMYTER</t>
  </si>
  <si>
    <t>Damien</t>
  </si>
  <si>
    <t>DISTÉFANO Alexis</t>
  </si>
  <si>
    <t>DISTÉFANO</t>
  </si>
  <si>
    <t>Alexis</t>
  </si>
  <si>
    <t>FERRARA</t>
  </si>
  <si>
    <t>LEROY</t>
  </si>
  <si>
    <t>France</t>
  </si>
  <si>
    <t>Jean-Sébastien</t>
  </si>
  <si>
    <t>NAJJARI</t>
  </si>
  <si>
    <t>Mohamed</t>
  </si>
  <si>
    <t>NAVARRO</t>
  </si>
  <si>
    <t>Christophe</t>
  </si>
  <si>
    <t>SANTOS</t>
  </si>
  <si>
    <t>Jean-François</t>
  </si>
  <si>
    <t>SCHWEITZER</t>
  </si>
  <si>
    <t>Jean-Michel</t>
  </si>
  <si>
    <t>ZARAGOZA</t>
  </si>
  <si>
    <t>Didier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</si>
  <si>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Date</t>
    </r>
  </si>
  <si>
    <t>Dernier enrg</t>
  </si>
  <si>
    <t>Liste véhicule</t>
  </si>
  <si>
    <t>Produit</t>
  </si>
  <si>
    <t>Sécurité</t>
  </si>
  <si>
    <t>Réel</t>
  </si>
  <si>
    <t>Mouvement</t>
  </si>
  <si>
    <t>Entrée</t>
  </si>
  <si>
    <t>Sortie</t>
  </si>
  <si>
    <t>STOCK REEL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</si>
  <si>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Agent</t>
    </r>
  </si>
  <si>
    <t>Observation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</si>
  <si>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Mouvement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</si>
  <si>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Quantité (kg)</t>
    </r>
  </si>
  <si>
    <t>Stock Réel</t>
  </si>
  <si>
    <t>Qté Entrée</t>
  </si>
  <si>
    <t>Qté Sortie</t>
  </si>
  <si>
    <t>Poid du sac :</t>
  </si>
  <si>
    <t>Initial</t>
  </si>
  <si>
    <t>Mini</t>
  </si>
  <si>
    <t>Réserve</t>
  </si>
  <si>
    <t>BDD poudre</t>
  </si>
  <si>
    <t>Poudre</t>
  </si>
  <si>
    <t>PIERRAIN Didier</t>
  </si>
  <si>
    <t>SUIVI POUDRE</t>
  </si>
  <si>
    <t>List produit</t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</si>
  <si>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Lieu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</si>
  <si>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Lieu</t>
    </r>
  </si>
  <si>
    <t>Reste</t>
  </si>
  <si>
    <t>Inventaire</t>
  </si>
  <si>
    <t>Stock initial</t>
  </si>
  <si>
    <t>Une réserve d'agent complémentaire et d'agent de propulsion égale à 200 % des quantités requises doit être sur l'aérodrome</t>
  </si>
  <si>
    <t>Agent compléméntaire N7</t>
  </si>
  <si>
    <t>Quantités minimales</t>
  </si>
  <si>
    <t>Réserve égal à 200 %</t>
  </si>
  <si>
    <t>N° Identification</t>
  </si>
  <si>
    <t>Fabriquant</t>
  </si>
  <si>
    <t>Année fabrication</t>
  </si>
  <si>
    <t>Inspection (maxi 40 mois)</t>
  </si>
  <si>
    <t>Prochaine inspection</t>
  </si>
  <si>
    <t>Qualification (maxi 10 ans)</t>
  </si>
  <si>
    <t>Pilon</t>
  </si>
  <si>
    <t>Sabo France</t>
  </si>
  <si>
    <t>SUIVI SPHERE</t>
  </si>
  <si>
    <t>Année Fabrication</t>
  </si>
  <si>
    <t>BDD sphere</t>
  </si>
  <si>
    <t>!! France !!</t>
  </si>
  <si>
    <t>Prochaine qualification</t>
  </si>
  <si>
    <t>Qualification (10 ans)</t>
  </si>
  <si>
    <t>Inspection     (40 mois)</t>
  </si>
  <si>
    <t>Inspection     à venir</t>
  </si>
  <si>
    <t>Qualification     à venir</t>
  </si>
  <si>
    <t>Précédente</t>
  </si>
  <si>
    <t>Prochaine</t>
  </si>
  <si>
    <r>
      <rPr>
        <b/>
        <sz val="10"/>
        <color theme="1"/>
        <rFont val="Times New Roman"/>
        <family val="1"/>
      </rPr>
      <t>Qualification</t>
    </r>
    <r>
      <rPr>
        <sz val="10"/>
        <color theme="1"/>
        <rFont val="Times New Roman"/>
        <family val="1"/>
      </rPr>
      <t xml:space="preserve"> (10 ans)</t>
    </r>
  </si>
  <si>
    <r>
      <rPr>
        <b/>
        <sz val="10"/>
        <color theme="1"/>
        <rFont val="Times New Roman"/>
        <family val="1"/>
      </rPr>
      <t>Inspection</t>
    </r>
    <r>
      <rPr>
        <b/>
        <sz val="11"/>
        <color theme="1"/>
        <rFont val="Times New Roman"/>
        <family val="1"/>
      </rPr>
      <t xml:space="preserve"> </t>
    </r>
    <r>
      <rPr>
        <sz val="10"/>
        <color theme="1"/>
        <rFont val="Times New Roman"/>
        <family val="1"/>
      </rPr>
      <t>(40 mois)</t>
    </r>
  </si>
  <si>
    <t>Cmd-01</t>
  </si>
  <si>
    <t>essai</t>
  </si>
  <si>
    <t>Pour essai percussion</t>
  </si>
  <si>
    <t>Essai annuel</t>
  </si>
  <si>
    <t>Reste :</t>
  </si>
  <si>
    <t>Sphere</t>
  </si>
  <si>
    <t>Capacité</t>
  </si>
  <si>
    <t>Masse/Pression</t>
  </si>
  <si>
    <t>Appellation</t>
  </si>
  <si>
    <t>CO²</t>
  </si>
  <si>
    <t>3 L</t>
  </si>
  <si>
    <t>2 kg</t>
  </si>
  <si>
    <t>Starter</t>
  </si>
  <si>
    <t>13,4 L</t>
  </si>
  <si>
    <t>15 kg</t>
  </si>
  <si>
    <t>Compensatrice</t>
  </si>
  <si>
    <t>QNU152</t>
  </si>
  <si>
    <t>20 L</t>
  </si>
  <si>
    <t>200 b</t>
  </si>
  <si>
    <t>Chasse</t>
  </si>
  <si>
    <t>WNQ031</t>
  </si>
  <si>
    <t>WNQ033</t>
  </si>
  <si>
    <t>BDD BtChasse</t>
  </si>
  <si>
    <t>SUIVI BT CHASSE</t>
  </si>
  <si>
    <t>Masse Pression</t>
  </si>
  <si>
    <t>Masse/pression</t>
  </si>
  <si>
    <r>
      <rPr>
        <b/>
        <sz val="10"/>
        <color rgb="FFC00000"/>
        <rFont val="Times New Roman"/>
        <family val="1"/>
      </rPr>
      <t>*</t>
    </r>
    <r>
      <rPr>
        <b/>
        <sz val="10"/>
        <rFont val="Times New Roman"/>
        <family val="1"/>
      </rPr>
      <t xml:space="preserve"> Date Qualif</t>
    </r>
  </si>
  <si>
    <r>
      <rPr>
        <b/>
        <sz val="10"/>
        <color rgb="FFC00000"/>
        <rFont val="Times New Roman"/>
        <family val="1"/>
      </rPr>
      <t>*</t>
    </r>
    <r>
      <rPr>
        <b/>
        <sz val="10"/>
        <color theme="1"/>
        <rFont val="Times New Roman"/>
        <family val="1"/>
      </rPr>
      <t xml:space="preserve"> Identification</t>
    </r>
  </si>
  <si>
    <t>BtChasse</t>
  </si>
  <si>
    <t>Par exemple</t>
  </si>
  <si>
    <t>72316</t>
  </si>
  <si>
    <t>713492</t>
  </si>
  <si>
    <t>68340</t>
  </si>
  <si>
    <t>77215</t>
  </si>
  <si>
    <t>Requête Power Query (Excel 2916)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</si>
</sst>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dd\ d\ mmmm\ yyyy"/>
    <numFmt numFmtId="165" formatCode="General&quot; kg&quot;"/>
    <numFmt numFmtId="166" formatCode="[&lt;=1]0&quot; sac&quot;;[&gt;1]0&quot; sacs&quot;"/>
    <numFmt numFmtId="167" formatCode="[&lt;=1]0.0&quot; sac&quot;;[&gt;1]0.0&quot; sacs&quot;"/>
    <numFmt numFmtId="168" formatCode="mmmm\ yyyy"/>
    <numFmt numFmtId="170" formatCode="mmm\-yyyy"/>
  </numFmts>
  <fonts count="21" x14ac:knownFonts="1">
    <font>
      <sz val="11"/>
      <color theme="1"/>
      <name val="Calibri"/>
      <family val="2"/>
      <scheme val="minor"/>
    </font>
    <font>
      <sz val="20"/>
      <color theme="8" tint="-0.249977111117893"/>
      <name val="Algerian"/>
      <family val="5"/>
    </font>
    <font>
      <b/>
      <sz val="11"/>
      <color theme="1"/>
      <name val="Calibri"/>
      <family val="2"/>
      <scheme val="minor"/>
    </font>
    <font>
      <i/>
      <sz val="9"/>
      <color rgb="FFC00000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1"/>
      <color rgb="FF0070C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rgb="FFC00000"/>
      <name val="Times New Roman"/>
      <family val="1"/>
    </font>
    <font>
      <sz val="9"/>
      <color theme="1" tint="0.499984740745262"/>
      <name val="Times New Roman"/>
      <family val="1"/>
    </font>
    <font>
      <sz val="9"/>
      <color theme="1"/>
      <name val="Calibri"/>
      <family val="2"/>
      <scheme val="minor"/>
    </font>
    <font>
      <i/>
      <sz val="9"/>
      <color theme="1" tint="0.249977111117893"/>
      <name val="Times New Roman"/>
      <family val="1"/>
    </font>
    <font>
      <sz val="10"/>
      <color theme="1" tint="0.249977111117893"/>
      <name val="Times New Roman"/>
      <family val="1"/>
    </font>
    <font>
      <b/>
      <sz val="10"/>
      <color theme="1" tint="0.249977111117893"/>
      <name val="Times New Roman"/>
      <family val="1"/>
    </font>
    <font>
      <i/>
      <sz val="10"/>
      <color theme="1" tint="0.499984740745262"/>
      <name val="Times New Roman"/>
      <family val="1"/>
    </font>
    <font>
      <sz val="10"/>
      <color theme="1" tint="0.34998626667073579"/>
      <name val="Times New Roman"/>
      <family val="1"/>
    </font>
    <font>
      <b/>
      <sz val="11"/>
      <color theme="1"/>
      <name val="Times New Roman"/>
      <family val="1"/>
    </font>
    <font>
      <i/>
      <sz val="10"/>
      <color theme="1" tint="0.34998626667073579"/>
      <name val="Times New Roman"/>
      <family val="1"/>
    </font>
    <font>
      <sz val="10"/>
      <color theme="1" tint="0.499984740745262"/>
      <name val="Times New Roman"/>
      <family val="1"/>
    </font>
    <font>
      <b/>
      <sz val="10"/>
      <color theme="4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theme="0" tint="-0.499984740745262"/>
      </bottom>
      <diagonal/>
    </border>
    <border>
      <left/>
      <right style="thin">
        <color indexed="64"/>
      </right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indexed="64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2" borderId="0" xfId="0" applyFont="1" applyFill="1" applyAlignment="1">
      <alignment horizontal="left" indent="2"/>
    </xf>
    <xf numFmtId="0" fontId="2" fillId="0" borderId="0" xfId="0" applyFont="1"/>
    <xf numFmtId="0" fontId="3" fillId="0" borderId="0" xfId="0" applyFont="1" applyAlignment="1">
      <alignment horizontal="left" indent="1"/>
    </xf>
    <xf numFmtId="0" fontId="8" fillId="2" borderId="0" xfId="0" applyFont="1" applyFill="1"/>
    <xf numFmtId="0" fontId="8" fillId="2" borderId="0" xfId="0" quotePrefix="1" applyFont="1" applyFill="1"/>
    <xf numFmtId="0" fontId="8" fillId="0" borderId="0" xfId="0" applyFont="1"/>
    <xf numFmtId="0" fontId="8" fillId="3" borderId="0" xfId="0" applyFont="1" applyFill="1"/>
    <xf numFmtId="0" fontId="8" fillId="4" borderId="5" xfId="0" applyFont="1" applyFill="1" applyBorder="1"/>
    <xf numFmtId="0" fontId="8" fillId="4" borderId="6" xfId="0" applyFont="1" applyFill="1" applyBorder="1"/>
    <xf numFmtId="0" fontId="7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/>
    </xf>
    <xf numFmtId="0" fontId="4" fillId="5" borderId="4" xfId="0" applyFont="1" applyFill="1" applyBorder="1" applyAlignment="1">
      <alignment horizontal="right"/>
    </xf>
    <xf numFmtId="0" fontId="8" fillId="4" borderId="9" xfId="0" applyFont="1" applyFill="1" applyBorder="1"/>
    <xf numFmtId="0" fontId="8" fillId="4" borderId="10" xfId="0" applyFont="1" applyFill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8" fillId="5" borderId="11" xfId="0" applyNumberFormat="1" applyFont="1" applyFill="1" applyBorder="1" applyAlignment="1">
      <alignment horizontal="left" indent="1"/>
    </xf>
    <xf numFmtId="0" fontId="10" fillId="3" borderId="0" xfId="0" applyFont="1" applyFill="1" applyBorder="1" applyAlignment="1">
      <alignment horizontal="right"/>
    </xf>
    <xf numFmtId="0" fontId="11" fillId="0" borderId="0" xfId="0" applyFont="1"/>
    <xf numFmtId="0" fontId="11" fillId="6" borderId="0" xfId="0" applyFont="1" applyFill="1"/>
    <xf numFmtId="164" fontId="10" fillId="3" borderId="0" xfId="0" quotePrefix="1" applyNumberFormat="1" applyFont="1" applyFill="1" applyAlignment="1">
      <alignment horizontal="left" indent="1"/>
    </xf>
    <xf numFmtId="0" fontId="8" fillId="0" borderId="0" xfId="0" quotePrefix="1" applyFont="1"/>
    <xf numFmtId="0" fontId="10" fillId="3" borderId="0" xfId="0" applyFont="1" applyFill="1" applyBorder="1" applyAlignment="1">
      <alignment horizontal="left" indent="2"/>
    </xf>
    <xf numFmtId="0" fontId="8" fillId="4" borderId="3" xfId="0" applyFont="1" applyFill="1" applyBorder="1"/>
    <xf numFmtId="0" fontId="8" fillId="4" borderId="8" xfId="0" applyFont="1" applyFill="1" applyBorder="1"/>
    <xf numFmtId="0" fontId="12" fillId="0" borderId="0" xfId="0" applyFont="1"/>
    <xf numFmtId="0" fontId="11" fillId="0" borderId="0" xfId="0" applyFont="1" applyAlignment="1">
      <alignment horizontal="center" vertical="center"/>
    </xf>
    <xf numFmtId="0" fontId="8" fillId="5" borderId="7" xfId="0" applyFont="1" applyFill="1" applyBorder="1"/>
    <xf numFmtId="0" fontId="13" fillId="5" borderId="7" xfId="0" applyFont="1" applyFill="1" applyBorder="1" applyAlignment="1">
      <alignment horizontal="center"/>
    </xf>
    <xf numFmtId="14" fontId="15" fillId="3" borderId="0" xfId="0" applyNumberFormat="1" applyFont="1" applyFill="1"/>
    <xf numFmtId="14" fontId="8" fillId="0" borderId="0" xfId="0" applyNumberFormat="1" applyFont="1" applyAlignment="1">
      <alignment horizontal="center"/>
    </xf>
    <xf numFmtId="0" fontId="8" fillId="0" borderId="0" xfId="0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0" fontId="11" fillId="0" borderId="0" xfId="0" quotePrefix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/>
    <xf numFmtId="165" fontId="16" fillId="0" borderId="0" xfId="0" applyNumberFormat="1" applyFont="1" applyAlignment="1">
      <alignment horizontal="left"/>
    </xf>
    <xf numFmtId="0" fontId="8" fillId="0" borderId="0" xfId="0" applyFont="1" applyAlignment="1">
      <alignment horizontal="centerContinuous"/>
    </xf>
    <xf numFmtId="166" fontId="10" fillId="3" borderId="0" xfId="0" applyNumberFormat="1" applyFont="1" applyFill="1" applyAlignment="1">
      <alignment horizontal="left"/>
    </xf>
    <xf numFmtId="165" fontId="7" fillId="0" borderId="0" xfId="0" applyNumberFormat="1" applyFont="1" applyAlignment="1">
      <alignment horizontal="left" vertical="center"/>
    </xf>
    <xf numFmtId="0" fontId="18" fillId="0" borderId="0" xfId="0" applyFont="1" applyAlignment="1">
      <alignment horizontal="right"/>
    </xf>
    <xf numFmtId="165" fontId="18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left" vertical="center"/>
    </xf>
    <xf numFmtId="168" fontId="11" fillId="0" borderId="0" xfId="0" applyNumberFormat="1" applyFont="1" applyAlignment="1">
      <alignment horizontal="center" vertical="center"/>
    </xf>
    <xf numFmtId="168" fontId="8" fillId="0" borderId="0" xfId="0" applyNumberFormat="1" applyFont="1" applyAlignment="1">
      <alignment horizontal="center" vertical="center"/>
    </xf>
    <xf numFmtId="0" fontId="8" fillId="5" borderId="0" xfId="0" applyFont="1" applyFill="1" applyBorder="1"/>
    <xf numFmtId="0" fontId="13" fillId="5" borderId="0" xfId="0" applyFont="1" applyFill="1" applyBorder="1" applyAlignment="1">
      <alignment horizontal="right" wrapText="1"/>
    </xf>
    <xf numFmtId="0" fontId="7" fillId="5" borderId="4" xfId="0" applyFont="1" applyFill="1" applyBorder="1" applyAlignment="1">
      <alignment horizontal="right" vertical="center"/>
    </xf>
    <xf numFmtId="0" fontId="13" fillId="5" borderId="0" xfId="0" applyFont="1" applyFill="1" applyBorder="1" applyAlignment="1">
      <alignment horizontal="right" vertical="center" wrapText="1"/>
    </xf>
    <xf numFmtId="0" fontId="8" fillId="5" borderId="11" xfId="0" applyFont="1" applyFill="1" applyBorder="1" applyAlignment="1">
      <alignment horizontal="left" indent="1"/>
    </xf>
    <xf numFmtId="14" fontId="8" fillId="5" borderId="11" xfId="0" applyNumberFormat="1" applyFont="1" applyFill="1" applyBorder="1" applyAlignment="1">
      <alignment horizontal="left" vertical="center" indent="1"/>
    </xf>
    <xf numFmtId="0" fontId="8" fillId="5" borderId="11" xfId="0" applyFont="1" applyFill="1" applyBorder="1" applyAlignment="1">
      <alignment horizontal="left" vertical="center" indent="1"/>
    </xf>
    <xf numFmtId="0" fontId="13" fillId="5" borderId="11" xfId="0" applyFont="1" applyFill="1" applyBorder="1" applyAlignment="1">
      <alignment horizontal="left" indent="1"/>
    </xf>
    <xf numFmtId="168" fontId="13" fillId="5" borderId="11" xfId="0" applyNumberFormat="1" applyFont="1" applyFill="1" applyBorder="1" applyAlignment="1">
      <alignment horizontal="left" vertical="center" indent="1"/>
    </xf>
    <xf numFmtId="168" fontId="13" fillId="5" borderId="11" xfId="0" applyNumberFormat="1" applyFont="1" applyFill="1" applyBorder="1" applyAlignment="1">
      <alignment horizontal="left" indent="1"/>
    </xf>
    <xf numFmtId="0" fontId="7" fillId="5" borderId="0" xfId="0" applyFont="1" applyFill="1" applyBorder="1" applyAlignment="1">
      <alignment horizontal="right" wrapText="1"/>
    </xf>
    <xf numFmtId="0" fontId="13" fillId="5" borderId="4" xfId="0" applyFont="1" applyFill="1" applyBorder="1" applyAlignment="1">
      <alignment horizontal="right"/>
    </xf>
    <xf numFmtId="0" fontId="7" fillId="5" borderId="0" xfId="0" applyFont="1" applyFill="1" applyBorder="1" applyAlignment="1">
      <alignment horizontal="right" vertical="top" wrapText="1"/>
    </xf>
    <xf numFmtId="0" fontId="8" fillId="0" borderId="0" xfId="0" applyFont="1" applyAlignment="1">
      <alignment wrapText="1"/>
    </xf>
    <xf numFmtId="0" fontId="8" fillId="0" borderId="1" xfId="0" applyFont="1" applyBorder="1" applyAlignment="1">
      <alignment horizontal="center" vertical="center" wrapText="1"/>
    </xf>
    <xf numFmtId="168" fontId="8" fillId="0" borderId="1" xfId="0" applyNumberFormat="1" applyFont="1" applyBorder="1" applyAlignment="1">
      <alignment horizontal="center" vertical="center"/>
    </xf>
    <xf numFmtId="0" fontId="8" fillId="0" borderId="1" xfId="0" quotePrefix="1" applyFont="1" applyBorder="1" applyAlignment="1">
      <alignment vertical="center"/>
    </xf>
    <xf numFmtId="0" fontId="17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68" fontId="19" fillId="0" borderId="1" xfId="0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left"/>
    </xf>
    <xf numFmtId="167" fontId="10" fillId="3" borderId="0" xfId="0" applyNumberFormat="1" applyFont="1" applyFill="1" applyAlignment="1">
      <alignment horizontal="left"/>
    </xf>
    <xf numFmtId="0" fontId="5" fillId="0" borderId="0" xfId="0" applyFont="1" applyAlignment="1">
      <alignment horizontal="right"/>
    </xf>
    <xf numFmtId="14" fontId="8" fillId="5" borderId="11" xfId="0" applyNumberFormat="1" applyFont="1" applyFill="1" applyBorder="1" applyAlignment="1">
      <alignment horizontal="center" vertical="center" wrapText="1"/>
    </xf>
    <xf numFmtId="14" fontId="8" fillId="5" borderId="11" xfId="0" applyNumberFormat="1" applyFont="1" applyFill="1" applyBorder="1"/>
    <xf numFmtId="0" fontId="19" fillId="3" borderId="0" xfId="0" applyFont="1" applyFill="1" applyBorder="1" applyAlignment="1">
      <alignment horizontal="right"/>
    </xf>
    <xf numFmtId="166" fontId="19" fillId="3" borderId="0" xfId="0" applyNumberFormat="1" applyFont="1" applyFill="1" applyAlignment="1">
      <alignment horizontal="left"/>
    </xf>
    <xf numFmtId="0" fontId="8" fillId="0" borderId="1" xfId="0" quotePrefix="1" applyFont="1" applyBorder="1" applyAlignment="1">
      <alignment horizontal="center" vertical="center"/>
    </xf>
    <xf numFmtId="0" fontId="13" fillId="5" borderId="0" xfId="0" applyFont="1" applyFill="1" applyBorder="1" applyAlignment="1">
      <alignment horizontal="right"/>
    </xf>
    <xf numFmtId="0" fontId="8" fillId="3" borderId="0" xfId="0" quotePrefix="1" applyFont="1" applyFill="1"/>
    <xf numFmtId="0" fontId="11" fillId="0" borderId="0" xfId="0" quotePrefix="1" applyFont="1"/>
    <xf numFmtId="168" fontId="13" fillId="5" borderId="12" xfId="0" applyNumberFormat="1" applyFont="1" applyFill="1" applyBorder="1" applyAlignment="1">
      <alignment horizontal="left" indent="1"/>
    </xf>
    <xf numFmtId="0" fontId="13" fillId="5" borderId="13" xfId="0" applyFont="1" applyFill="1" applyBorder="1" applyAlignment="1">
      <alignment horizontal="left"/>
    </xf>
    <xf numFmtId="14" fontId="13" fillId="5" borderId="11" xfId="0" applyNumberFormat="1" applyFont="1" applyFill="1" applyBorder="1" applyAlignment="1">
      <alignment horizontal="left"/>
    </xf>
    <xf numFmtId="14" fontId="5" fillId="5" borderId="11" xfId="0" applyNumberFormat="1" applyFont="1" applyFill="1" applyBorder="1" applyAlignment="1">
      <alignment horizontal="left" indent="1"/>
    </xf>
    <xf numFmtId="0" fontId="4" fillId="5" borderId="0" xfId="0" applyFont="1" applyFill="1" applyBorder="1" applyAlignment="1">
      <alignment horizontal="right"/>
    </xf>
    <xf numFmtId="14" fontId="5" fillId="5" borderId="11" xfId="0" applyNumberFormat="1" applyFont="1" applyFill="1" applyBorder="1" applyAlignment="1">
      <alignment horizontal="left"/>
    </xf>
    <xf numFmtId="0" fontId="13" fillId="5" borderId="0" xfId="0" applyFont="1" applyFill="1" applyBorder="1" applyAlignment="1">
      <alignment horizontal="right" vertical="center"/>
    </xf>
    <xf numFmtId="0" fontId="8" fillId="5" borderId="0" xfId="0" applyFont="1" applyFill="1" applyBorder="1" applyAlignment="1"/>
    <xf numFmtId="0" fontId="13" fillId="5" borderId="7" xfId="0" applyFont="1" applyFill="1" applyBorder="1" applyAlignment="1">
      <alignment horizontal="right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168" fontId="13" fillId="5" borderId="14" xfId="0" applyNumberFormat="1" applyFont="1" applyFill="1" applyBorder="1" applyAlignment="1">
      <alignment horizontal="left" indent="1"/>
    </xf>
    <xf numFmtId="17" fontId="8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14" fillId="3" borderId="5" xfId="0" applyFont="1" applyFill="1" applyBorder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165" fontId="14" fillId="3" borderId="5" xfId="0" applyNumberFormat="1" applyFont="1" applyFill="1" applyBorder="1" applyAlignment="1">
      <alignment horizontal="center" vertical="center"/>
    </xf>
    <xf numFmtId="165" fontId="14" fillId="3" borderId="0" xfId="0" applyNumberFormat="1" applyFont="1" applyFill="1" applyAlignment="1">
      <alignment horizontal="center" vertical="center"/>
    </xf>
    <xf numFmtId="0" fontId="8" fillId="5" borderId="0" xfId="0" applyFont="1" applyFill="1" applyBorder="1" applyAlignment="1">
      <alignment horizontal="left" vertical="center" wrapText="1"/>
    </xf>
    <xf numFmtId="0" fontId="8" fillId="5" borderId="7" xfId="0" applyFont="1" applyFill="1" applyBorder="1" applyAlignment="1">
      <alignment horizontal="left" vertical="center" wrapText="1"/>
    </xf>
    <xf numFmtId="0" fontId="8" fillId="5" borderId="11" xfId="0" applyFont="1" applyFill="1" applyBorder="1" applyAlignment="1">
      <alignment horizontal="left" vertical="center" wrapText="1"/>
    </xf>
    <xf numFmtId="0" fontId="8" fillId="5" borderId="12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left" vertical="center" textRotation="255"/>
    </xf>
    <xf numFmtId="0" fontId="6" fillId="0" borderId="0" xfId="0" applyFont="1" applyAlignment="1">
      <alignment horizontal="left" textRotation="255"/>
    </xf>
    <xf numFmtId="0" fontId="0" fillId="0" borderId="0" xfId="0" applyNumberFormat="1"/>
    <xf numFmtId="170" fontId="0" fillId="0" borderId="0" xfId="0" applyNumberFormat="1"/>
    <xf numFmtId="0" fontId="20" fillId="0" borderId="0" xfId="0" applyFont="1"/>
  </cellXfs>
  <cellStyles count="1">
    <cellStyle name="Normal" xfId="0" builtinId="0"/>
  </cellStyles>
  <dxfs count="123">
    <dxf>
      <numFmt numFmtId="170" formatCode="mmm\-yyyy"/>
    </dxf>
    <dxf>
      <numFmt numFmtId="170" formatCode="mmm\-yyyy"/>
    </dxf>
    <dxf>
      <numFmt numFmtId="170" formatCode="mmm\-yyyy"/>
    </dxf>
    <dxf>
      <numFmt numFmtId="170" formatCode="mmm\-yyyy"/>
    </dxf>
    <dxf>
      <numFmt numFmtId="170" formatCode="mmm\-yyyy"/>
    </dxf>
    <dxf>
      <numFmt numFmtId="170" formatCode="mmm\-yyyy"/>
    </dxf>
    <dxf>
      <numFmt numFmtId="170" formatCode="mmm\-yyyy"/>
    </dxf>
    <dxf>
      <numFmt numFmtId="0" formatCode="General"/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8" formatCode="m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strike val="0"/>
        <outline val="0"/>
        <shadow val="0"/>
        <u val="none"/>
        <vertAlign val="baseline"/>
        <sz val="9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4.xml"/><Relationship Id="rId17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microsoft.com/office/2007/relationships/slicerCache" Target="slicerCaches/slicerCache8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microsoft.com/office/2007/relationships/slicerCache" Target="slicerCaches/slicerCache7.xml"/><Relationship Id="rId23" Type="http://schemas.openxmlformats.org/officeDocument/2006/relationships/customXml" Target="../customXml/item1.xml"/><Relationship Id="rId10" Type="http://schemas.microsoft.com/office/2007/relationships/slicerCache" Target="slicerCaches/slicerCache2.xml"/><Relationship Id="rId19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cc&#232;s niv1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Mvt BtChass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poudre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Mvt poudre'!A1"/><Relationship Id="rId2" Type="http://schemas.openxmlformats.org/officeDocument/2006/relationships/hyperlink" Target="#'Graphique poudre'!A1"/><Relationship Id="rId1" Type="http://schemas.openxmlformats.org/officeDocument/2006/relationships/hyperlink" Target="#Accueil!A1"/><Relationship Id="rId4" Type="http://schemas.openxmlformats.org/officeDocument/2006/relationships/hyperlink" Target="#'Mvt sphere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vt poudre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300150</xdr:colOff>
      <xdr:row>0</xdr:row>
      <xdr:rowOff>90900</xdr:rowOff>
    </xdr:from>
    <xdr:to>
      <xdr:col>4</xdr:col>
      <xdr:colOff>438150</xdr:colOff>
      <xdr:row>1</xdr:row>
      <xdr:rowOff>0</xdr:rowOff>
    </xdr:to>
    <xdr:sp macro="[0]!AfficheFormAgen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624375" y="90900"/>
          <a:ext cx="900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latin typeface="Times New Roman" panose="02020603050405020304" pitchFamily="18" charset="0"/>
              <a:cs typeface="Times New Roman" panose="02020603050405020304" pitchFamily="18" charset="0"/>
            </a:rPr>
            <a:t>Liste agent</a:t>
          </a:r>
        </a:p>
      </xdr:txBody>
    </xdr:sp>
    <xdr:clientData/>
  </xdr:twoCellAnchor>
  <xdr:twoCellAnchor>
    <xdr:from>
      <xdr:col>5</xdr:col>
      <xdr:colOff>38100</xdr:colOff>
      <xdr:row>0</xdr:row>
      <xdr:rowOff>90900</xdr:rowOff>
    </xdr:from>
    <xdr:to>
      <xdr:col>6</xdr:col>
      <xdr:colOff>0</xdr:colOff>
      <xdr:row>1</xdr:row>
      <xdr:rowOff>0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4886325" y="909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161925</xdr:colOff>
      <xdr:row>1</xdr:row>
      <xdr:rowOff>0</xdr:rowOff>
    </xdr:from>
    <xdr:to>
      <xdr:col>7</xdr:col>
      <xdr:colOff>871575</xdr:colOff>
      <xdr:row>5</xdr:row>
      <xdr:rowOff>204675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8">
              <a:extLst>
                <a:ext uri="{FF2B5EF4-FFF2-40B4-BE49-F238E27FC236}">
                  <a16:creationId xmlns:a16="http://schemas.microsoft.com/office/drawing/2014/main" id="{00000000-0008-0000-15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81550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983850</xdr:colOff>
      <xdr:row>1</xdr:row>
      <xdr:rowOff>0</xdr:rowOff>
    </xdr:from>
    <xdr:to>
      <xdr:col>8</xdr:col>
      <xdr:colOff>0</xdr:colOff>
      <xdr:row>5</xdr:row>
      <xdr:rowOff>204675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8">
              <a:extLst>
                <a:ext uri="{FF2B5EF4-FFF2-40B4-BE49-F238E27FC236}">
                  <a16:creationId xmlns:a16="http://schemas.microsoft.com/office/drawing/2014/main" id="{00000000-0008-0000-15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8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17825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6</xdr:row>
          <xdr:rowOff>180975</xdr:rowOff>
        </xdr:from>
        <xdr:to>
          <xdr:col>7</xdr:col>
          <xdr:colOff>1838325</xdr:colOff>
          <xdr:row>9</xdr:row>
          <xdr:rowOff>9525</xdr:rowOff>
        </xdr:to>
        <xdr:sp macro="" textlink="">
          <xdr:nvSpPr>
            <xdr:cNvPr id="36866" name="CommandButton1" hidden="1">
              <a:extLst>
                <a:ext uri="{63B3BB69-23CF-44E3-9099-C40C66FF867C}">
                  <a14:compatExt spid="_x0000_s36866"/>
                </a:ext>
                <a:ext uri="{FF2B5EF4-FFF2-40B4-BE49-F238E27FC236}">
                  <a16:creationId xmlns:a16="http://schemas.microsoft.com/office/drawing/2014/main" id="{00000000-0008-0000-1500-000002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161925</xdr:colOff>
          <xdr:row>9</xdr:row>
          <xdr:rowOff>9525</xdr:rowOff>
        </xdr:to>
        <xdr:sp macro="" textlink="">
          <xdr:nvSpPr>
            <xdr:cNvPr id="36867" name="CommandButton2" hidden="1">
              <a:extLst>
                <a:ext uri="{63B3BB69-23CF-44E3-9099-C40C66FF867C}">
                  <a14:compatExt spid="_x0000_s36867"/>
                </a:ext>
                <a:ext uri="{FF2B5EF4-FFF2-40B4-BE49-F238E27FC236}">
                  <a16:creationId xmlns:a16="http://schemas.microsoft.com/office/drawing/2014/main" id="{00000000-0008-0000-1500-000003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7</xdr:col>
      <xdr:colOff>1061175</xdr:colOff>
      <xdr:row>0</xdr:row>
      <xdr:rowOff>62325</xdr:rowOff>
    </xdr:from>
    <xdr:to>
      <xdr:col>8</xdr:col>
      <xdr:colOff>0</xdr:colOff>
      <xdr:row>0</xdr:row>
      <xdr:rowOff>314325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500-000006000000}"/>
            </a:ext>
          </a:extLst>
        </xdr:cNvPr>
        <xdr:cNvSpPr txBox="1"/>
      </xdr:nvSpPr>
      <xdr:spPr>
        <a:xfrm>
          <a:off x="6195150" y="62325"/>
          <a:ext cx="786675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7</xdr:col>
      <xdr:colOff>146775</xdr:colOff>
      <xdr:row>0</xdr:row>
      <xdr:rowOff>52800</xdr:rowOff>
    </xdr:from>
    <xdr:to>
      <xdr:col>7</xdr:col>
      <xdr:colOff>938775</xdr:colOff>
      <xdr:row>0</xdr:row>
      <xdr:rowOff>304800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id="{00000000-0008-0000-1500-000007000000}"/>
            </a:ext>
          </a:extLst>
        </xdr:cNvPr>
        <xdr:cNvSpPr txBox="1"/>
      </xdr:nvSpPr>
      <xdr:spPr>
        <a:xfrm>
          <a:off x="5280750" y="5280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4</xdr:col>
      <xdr:colOff>47625</xdr:colOff>
      <xdr:row>0</xdr:row>
      <xdr:rowOff>57150</xdr:rowOff>
    </xdr:from>
    <xdr:to>
      <xdr:col>5</xdr:col>
      <xdr:colOff>58575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id="{00000000-0008-0000-1500-000008000000}"/>
            </a:ext>
          </a:extLst>
        </xdr:cNvPr>
        <xdr:cNvSpPr txBox="1"/>
      </xdr:nvSpPr>
      <xdr:spPr>
        <a:xfrm>
          <a:off x="33718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5</xdr:col>
      <xdr:colOff>236700</xdr:colOff>
      <xdr:row>0</xdr:row>
      <xdr:rowOff>57150</xdr:rowOff>
    </xdr:from>
    <xdr:to>
      <xdr:col>7</xdr:col>
      <xdr:colOff>0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id="{00000000-0008-0000-1500-000009000000}"/>
            </a:ext>
          </a:extLst>
        </xdr:cNvPr>
        <xdr:cNvSpPr txBox="1"/>
      </xdr:nvSpPr>
      <xdr:spPr>
        <a:xfrm>
          <a:off x="43419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409575</xdr:colOff>
      <xdr:row>1</xdr:row>
      <xdr:rowOff>9525</xdr:rowOff>
    </xdr:from>
    <xdr:to>
      <xdr:col>9</xdr:col>
      <xdr:colOff>719175</xdr:colOff>
      <xdr:row>5</xdr:row>
      <xdr:rowOff>23700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10">
              <a:extLst>
                <a:ext uri="{FF2B5EF4-FFF2-40B4-BE49-F238E27FC236}">
                  <a16:creationId xmlns:a16="http://schemas.microsoft.com/office/drawing/2014/main" id="{00000000-0008-0000-1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58025" y="3714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0</xdr:colOff>
      <xdr:row>1</xdr:row>
      <xdr:rowOff>0</xdr:rowOff>
    </xdr:from>
    <xdr:to>
      <xdr:col>10</xdr:col>
      <xdr:colOff>864000</xdr:colOff>
      <xdr:row>5</xdr:row>
      <xdr:rowOff>14175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10">
              <a:extLst>
                <a:ext uri="{FF2B5EF4-FFF2-40B4-BE49-F238E27FC236}">
                  <a16:creationId xmlns:a16="http://schemas.microsoft.com/office/drawing/2014/main" id="{00000000-0008-0000-1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7725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5</xdr:row>
          <xdr:rowOff>304800</xdr:rowOff>
        </xdr:from>
        <xdr:to>
          <xdr:col>10</xdr:col>
          <xdr:colOff>790575</xdr:colOff>
          <xdr:row>6</xdr:row>
          <xdr:rowOff>304800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16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5</xdr:row>
          <xdr:rowOff>304800</xdr:rowOff>
        </xdr:from>
        <xdr:to>
          <xdr:col>9</xdr:col>
          <xdr:colOff>28575</xdr:colOff>
          <xdr:row>6</xdr:row>
          <xdr:rowOff>304800</xdr:rowOff>
        </xdr:to>
        <xdr:sp macro="" textlink="">
          <xdr:nvSpPr>
            <xdr:cNvPr id="38914" name="CommandButton2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16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10</xdr:col>
      <xdr:colOff>127724</xdr:colOff>
      <xdr:row>0</xdr:row>
      <xdr:rowOff>57150</xdr:rowOff>
    </xdr:from>
    <xdr:to>
      <xdr:col>11</xdr:col>
      <xdr:colOff>5324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600-000006000000}"/>
            </a:ext>
          </a:extLst>
        </xdr:cNvPr>
        <xdr:cNvSpPr txBox="1"/>
      </xdr:nvSpPr>
      <xdr:spPr>
        <a:xfrm>
          <a:off x="8604974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9</xdr:col>
      <xdr:colOff>127725</xdr:colOff>
      <xdr:row>0</xdr:row>
      <xdr:rowOff>57150</xdr:rowOff>
    </xdr:from>
    <xdr:to>
      <xdr:col>10</xdr:col>
      <xdr:colOff>5325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id="{00000000-0008-0000-1600-000007000000}"/>
            </a:ext>
          </a:extLst>
        </xdr:cNvPr>
        <xdr:cNvSpPr txBox="1"/>
      </xdr:nvSpPr>
      <xdr:spPr>
        <a:xfrm>
          <a:off x="769057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7</xdr:col>
      <xdr:colOff>0</xdr:colOff>
      <xdr:row>0</xdr:row>
      <xdr:rowOff>57150</xdr:rowOff>
    </xdr:from>
    <xdr:to>
      <xdr:col>7</xdr:col>
      <xdr:colOff>792000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Bt Chasse"/>
          <a:extLst>
            <a:ext uri="{FF2B5EF4-FFF2-40B4-BE49-F238E27FC236}">
              <a16:creationId xmlns:a16="http://schemas.microsoft.com/office/drawing/2014/main" id="{3964565C-7EFC-4C3A-BB5E-FDDC603648BC}"/>
            </a:ext>
          </a:extLst>
        </xdr:cNvPr>
        <xdr:cNvSpPr txBox="1"/>
      </xdr:nvSpPr>
      <xdr:spPr>
        <a:xfrm>
          <a:off x="5734050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Bt Chasse</a:t>
          </a:r>
        </a:p>
      </xdr:txBody>
    </xdr:sp>
    <xdr:clientData fPrintsWithSheet="0"/>
  </xdr:twoCellAnchor>
  <xdr:twoCellAnchor>
    <xdr:from>
      <xdr:col>8</xdr:col>
      <xdr:colOff>55725</xdr:colOff>
      <xdr:row>0</xdr:row>
      <xdr:rowOff>57150</xdr:rowOff>
    </xdr:from>
    <xdr:to>
      <xdr:col>8</xdr:col>
      <xdr:colOff>847725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Poudre"/>
          <a:extLst>
            <a:ext uri="{FF2B5EF4-FFF2-40B4-BE49-F238E27FC236}">
              <a16:creationId xmlns:a16="http://schemas.microsoft.com/office/drawing/2014/main" id="{7E221678-76FB-4192-BB74-11DF3B083B62}"/>
            </a:ext>
          </a:extLst>
        </xdr:cNvPr>
        <xdr:cNvSpPr txBox="1"/>
      </xdr:nvSpPr>
      <xdr:spPr>
        <a:xfrm>
          <a:off x="670417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7</xdr:row>
          <xdr:rowOff>0</xdr:rowOff>
        </xdr:from>
        <xdr:to>
          <xdr:col>14</xdr:col>
          <xdr:colOff>0</xdr:colOff>
          <xdr:row>9</xdr:row>
          <xdr:rowOff>57150</xdr:rowOff>
        </xdr:to>
        <xdr:sp macro="" textlink="">
          <xdr:nvSpPr>
            <xdr:cNvPr id="43013" name="CommandButton1" hidden="1">
              <a:extLst>
                <a:ext uri="{63B3BB69-23CF-44E3-9099-C40C66FF867C}">
                  <a14:compatExt spid="_x0000_s43013"/>
                </a:ext>
                <a:ext uri="{FF2B5EF4-FFF2-40B4-BE49-F238E27FC236}">
                  <a16:creationId xmlns:a16="http://schemas.microsoft.com/office/drawing/2014/main" id="{00000000-0008-0000-1700-000005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7</xdr:row>
          <xdr:rowOff>0</xdr:rowOff>
        </xdr:from>
        <xdr:to>
          <xdr:col>9</xdr:col>
          <xdr:colOff>19050</xdr:colOff>
          <xdr:row>9</xdr:row>
          <xdr:rowOff>57150</xdr:rowOff>
        </xdr:to>
        <xdr:sp macro="" textlink="">
          <xdr:nvSpPr>
            <xdr:cNvPr id="43014" name="CommandButton2" hidden="1">
              <a:extLst>
                <a:ext uri="{63B3BB69-23CF-44E3-9099-C40C66FF867C}">
                  <a14:compatExt spid="_x0000_s43014"/>
                </a:ext>
                <a:ext uri="{FF2B5EF4-FFF2-40B4-BE49-F238E27FC236}">
                  <a16:creationId xmlns:a16="http://schemas.microsoft.com/office/drawing/2014/main" id="{00000000-0008-0000-1700-000006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 editAs="absolute">
    <xdr:from>
      <xdr:col>8</xdr:col>
      <xdr:colOff>309525</xdr:colOff>
      <xdr:row>1</xdr:row>
      <xdr:rowOff>0</xdr:rowOff>
    </xdr:from>
    <xdr:to>
      <xdr:col>9</xdr:col>
      <xdr:colOff>685800</xdr:colOff>
      <xdr:row>6</xdr:row>
      <xdr:rowOff>90375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 11">
              <a:extLst>
                <a:ext uri="{FF2B5EF4-FFF2-40B4-BE49-F238E27FC236}">
                  <a16:creationId xmlns:a16="http://schemas.microsoft.com/office/drawing/2014/main" id="{00000000-0008-0000-1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6025" y="361950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764775</xdr:colOff>
      <xdr:row>1</xdr:row>
      <xdr:rowOff>0</xdr:rowOff>
    </xdr:from>
    <xdr:to>
      <xdr:col>10</xdr:col>
      <xdr:colOff>781050</xdr:colOff>
      <xdr:row>6</xdr:row>
      <xdr:rowOff>90375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 11">
              <a:extLst>
                <a:ext uri="{FF2B5EF4-FFF2-40B4-BE49-F238E27FC236}">
                  <a16:creationId xmlns:a16="http://schemas.microsoft.com/office/drawing/2014/main" id="{00000000-0008-0000-1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99000" y="361950"/>
              <a:ext cx="86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842100</xdr:colOff>
      <xdr:row>0</xdr:row>
      <xdr:rowOff>57150</xdr:rowOff>
    </xdr:from>
    <xdr:to>
      <xdr:col>10</xdr:col>
      <xdr:colOff>786375</xdr:colOff>
      <xdr:row>0</xdr:row>
      <xdr:rowOff>309150</xdr:rowOff>
    </xdr:to>
    <xdr:sp macro="" textlink="">
      <xdr:nvSpPr>
        <xdr:cNvPr id="6" name="ZoneTexte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SpPr txBox="1"/>
      </xdr:nvSpPr>
      <xdr:spPr>
        <a:xfrm>
          <a:off x="7976325" y="57150"/>
          <a:ext cx="7920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8</xdr:col>
      <xdr:colOff>775425</xdr:colOff>
      <xdr:row>0</xdr:row>
      <xdr:rowOff>57150</xdr:rowOff>
    </xdr:from>
    <xdr:to>
      <xdr:col>9</xdr:col>
      <xdr:colOff>719700</xdr:colOff>
      <xdr:row>0</xdr:row>
      <xdr:rowOff>309150</xdr:rowOff>
    </xdr:to>
    <xdr:sp macro="" textlink="">
      <xdr:nvSpPr>
        <xdr:cNvPr id="7" name="ZoneTexte 6">
          <a:hlinkClick xmlns:r="http://schemas.openxmlformats.org/officeDocument/2006/relationships" r:id="rId2" tooltip="Stat Poudre"/>
          <a:extLst>
            <a:ext uri="{FF2B5EF4-FFF2-40B4-BE49-F238E27FC236}">
              <a16:creationId xmlns:a16="http://schemas.microsoft.com/office/drawing/2014/main" id="{00000000-0008-0000-1700-000007000000}"/>
            </a:ext>
          </a:extLst>
        </xdr:cNvPr>
        <xdr:cNvSpPr txBox="1"/>
      </xdr:nvSpPr>
      <xdr:spPr>
        <a:xfrm>
          <a:off x="7061925" y="57150"/>
          <a:ext cx="792000" cy="25200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Graphique</a:t>
          </a:r>
        </a:p>
      </xdr:txBody>
    </xdr:sp>
    <xdr:clientData fPrintsWithSheet="0"/>
  </xdr:twoCellAnchor>
  <xdr:twoCellAnchor>
    <xdr:from>
      <xdr:col>6</xdr:col>
      <xdr:colOff>523874</xdr:colOff>
      <xdr:row>0</xdr:row>
      <xdr:rowOff>57150</xdr:rowOff>
    </xdr:from>
    <xdr:to>
      <xdr:col>7</xdr:col>
      <xdr:colOff>668174</xdr:colOff>
      <xdr:row>0</xdr:row>
      <xdr:rowOff>309150</xdr:rowOff>
    </xdr:to>
    <xdr:sp macro="" textlink="">
      <xdr:nvSpPr>
        <xdr:cNvPr id="8" name="ZoneTexte 7">
          <a:hlinkClick xmlns:r="http://schemas.openxmlformats.org/officeDocument/2006/relationships" r:id="rId3" tooltip="Poudre"/>
          <a:extLst>
            <a:ext uri="{FF2B5EF4-FFF2-40B4-BE49-F238E27FC236}">
              <a16:creationId xmlns:a16="http://schemas.microsoft.com/office/drawing/2014/main" id="{BA907608-53FB-4AF2-BB5E-B024102CA0B5}"/>
            </a:ext>
          </a:extLst>
        </xdr:cNvPr>
        <xdr:cNvSpPr txBox="1"/>
      </xdr:nvSpPr>
      <xdr:spPr>
        <a:xfrm>
          <a:off x="5248274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Poudre</a:t>
          </a:r>
        </a:p>
      </xdr:txBody>
    </xdr:sp>
    <xdr:clientData fPrintsWithSheet="0"/>
  </xdr:twoCellAnchor>
  <xdr:twoCellAnchor>
    <xdr:from>
      <xdr:col>7</xdr:col>
      <xdr:colOff>779625</xdr:colOff>
      <xdr:row>0</xdr:row>
      <xdr:rowOff>57150</xdr:rowOff>
    </xdr:from>
    <xdr:to>
      <xdr:col>8</xdr:col>
      <xdr:colOff>657225</xdr:colOff>
      <xdr:row>0</xdr:row>
      <xdr:rowOff>309150</xdr:rowOff>
    </xdr:to>
    <xdr:sp macro="" textlink="">
      <xdr:nvSpPr>
        <xdr:cNvPr id="9" name="ZoneTexte 8">
          <a:hlinkClick xmlns:r="http://schemas.openxmlformats.org/officeDocument/2006/relationships" r:id="rId4" tooltip="Sphere"/>
          <a:extLst>
            <a:ext uri="{FF2B5EF4-FFF2-40B4-BE49-F238E27FC236}">
              <a16:creationId xmlns:a16="http://schemas.microsoft.com/office/drawing/2014/main" id="{8AC6EC57-7094-44C6-94E6-E3E39B989F9B}"/>
            </a:ext>
          </a:extLst>
        </xdr:cNvPr>
        <xdr:cNvSpPr txBox="1"/>
      </xdr:nvSpPr>
      <xdr:spPr>
        <a:xfrm>
          <a:off x="6151725" y="57150"/>
          <a:ext cx="792000" cy="252000"/>
        </a:xfrm>
        <a:prstGeom prst="rect">
          <a:avLst/>
        </a:prstGeom>
        <a:gradFill>
          <a:gsLst>
            <a:gs pos="0">
              <a:schemeClr val="accent5">
                <a:lumMod val="20000"/>
                <a:lumOff val="80000"/>
              </a:schemeClr>
            </a:gs>
            <a:gs pos="50000">
              <a:schemeClr val="accent5">
                <a:lumMod val="40000"/>
                <a:lumOff val="60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Sphere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0</xdr:colOff>
      <xdr:row>2</xdr:row>
      <xdr:rowOff>150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SpPr/>
      </xdr:nvSpPr>
      <xdr:spPr>
        <a:xfrm>
          <a:off x="0" y="0"/>
          <a:ext cx="9144000" cy="324000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TABLEAU DE BORD - POUDRE</a:t>
          </a:r>
        </a:p>
      </xdr:txBody>
    </xdr:sp>
    <xdr:clientData/>
  </xdr:twoCellAnchor>
  <xdr:twoCellAnchor editAs="oneCell">
    <xdr:from>
      <xdr:col>12</xdr:col>
      <xdr:colOff>300000</xdr:colOff>
      <xdr:row>9</xdr:row>
      <xdr:rowOff>103050</xdr:rowOff>
    </xdr:from>
    <xdr:to>
      <xdr:col>14</xdr:col>
      <xdr:colOff>0</xdr:colOff>
      <xdr:row>18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roduit 1">
              <a:extLst>
                <a:ext uri="{FF2B5EF4-FFF2-40B4-BE49-F238E27FC236}">
                  <a16:creationId xmlns:a16="http://schemas.microsoft.com/office/drawing/2014/main" id="{00000000-0008-0000-18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1560375"/>
              <a:ext cx="1224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300000</xdr:colOff>
      <xdr:row>3</xdr:row>
      <xdr:rowOff>0</xdr:rowOff>
    </xdr:from>
    <xdr:to>
      <xdr:col>14</xdr:col>
      <xdr:colOff>0</xdr:colOff>
      <xdr:row>8</xdr:row>
      <xdr:rowOff>90375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nnée 9">
              <a:extLst>
                <a:ext uri="{FF2B5EF4-FFF2-40B4-BE49-F238E27FC236}">
                  <a16:creationId xmlns:a16="http://schemas.microsoft.com/office/drawing/2014/main" id="{00000000-0008-0000-18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20000" y="485775"/>
              <a:ext cx="1224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300000</xdr:colOff>
      <xdr:row>3</xdr:row>
      <xdr:rowOff>0</xdr:rowOff>
    </xdr:from>
    <xdr:to>
      <xdr:col>12</xdr:col>
      <xdr:colOff>0</xdr:colOff>
      <xdr:row>17</xdr:row>
      <xdr:rowOff>159900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Mois 9">
              <a:extLst>
                <a:ext uri="{FF2B5EF4-FFF2-40B4-BE49-F238E27FC236}">
                  <a16:creationId xmlns:a16="http://schemas.microsoft.com/office/drawing/2014/main" id="{00000000-0008-0000-18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96000" y="485775"/>
              <a:ext cx="1224000" cy="248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12</xdr:col>
      <xdr:colOff>609600</xdr:colOff>
      <xdr:row>0</xdr:row>
      <xdr:rowOff>38100</xdr:rowOff>
    </xdr:from>
    <xdr:to>
      <xdr:col>13</xdr:col>
      <xdr:colOff>571500</xdr:colOff>
      <xdr:row>1</xdr:row>
      <xdr:rowOff>128175</xdr:rowOff>
    </xdr:to>
    <xdr:sp macro="" textlink="">
      <xdr:nvSpPr>
        <xdr:cNvPr id="9" name="ZoneTexte 8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00000000-0008-0000-1800-000009000000}"/>
            </a:ext>
          </a:extLst>
        </xdr:cNvPr>
        <xdr:cNvSpPr txBox="1"/>
      </xdr:nvSpPr>
      <xdr:spPr>
        <a:xfrm>
          <a:off x="8229600" y="38100"/>
          <a:ext cx="723900" cy="25200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bg1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</a:p>
      </xdr:txBody>
    </xdr:sp>
    <xdr:clientData fPrintsWithSheet="0"/>
  </xdr:twoCellAnchor>
  <xdr:twoCellAnchor>
    <xdr:from>
      <xdr:col>0</xdr:col>
      <xdr:colOff>0</xdr:colOff>
      <xdr:row>27</xdr:row>
      <xdr:rowOff>28574</xdr:rowOff>
    </xdr:from>
    <xdr:to>
      <xdr:col>13</xdr:col>
      <xdr:colOff>333375</xdr:colOff>
      <xdr:row>44</xdr:row>
      <xdr:rowOff>28574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BD53004-0E3D-497B-8CDF-1A749CCD0C23}"/>
            </a:ext>
          </a:extLst>
        </xdr:cNvPr>
        <xdr:cNvSpPr/>
      </xdr:nvSpPr>
      <xdr:spPr>
        <a:xfrm>
          <a:off x="0" y="4838699"/>
          <a:ext cx="8858250" cy="29622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133349</xdr:colOff>
      <xdr:row>36</xdr:row>
      <xdr:rowOff>104775</xdr:rowOff>
    </xdr:from>
    <xdr:to>
      <xdr:col>12</xdr:col>
      <xdr:colOff>323850</xdr:colOff>
      <xdr:row>42</xdr:row>
      <xdr:rowOff>142875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4F80AE0E-6FE5-436C-9EDC-1FF945372595}"/>
            </a:ext>
          </a:extLst>
        </xdr:cNvPr>
        <xdr:cNvSpPr/>
      </xdr:nvSpPr>
      <xdr:spPr>
        <a:xfrm>
          <a:off x="4829174" y="6581775"/>
          <a:ext cx="3257551" cy="1009650"/>
        </a:xfrm>
        <a:prstGeom prst="leftArrow">
          <a:avLst>
            <a:gd name="adj1" fmla="val 53773"/>
            <a:gd name="adj2" fmla="val 2924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J'aimerai afficher les dernières date "prochaine qualif" correspondant au dernier emplacement !!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Est-ce possible ?</a:t>
          </a:r>
        </a:p>
      </xdr:txBody>
    </xdr:sp>
    <xdr:clientData/>
  </xdr:twoCellAnchor>
  <xdr:oneCellAnchor>
    <xdr:from>
      <xdr:col>13</xdr:col>
      <xdr:colOff>371476</xdr:colOff>
      <xdr:row>26</xdr:row>
      <xdr:rowOff>133349</xdr:rowOff>
    </xdr:from>
    <xdr:ext cx="3429000" cy="3133725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83B2A6FF-B4E3-477B-8A50-A69FDF0A3BD2}"/>
            </a:ext>
          </a:extLst>
        </xdr:cNvPr>
        <xdr:cNvSpPr txBox="1"/>
      </xdr:nvSpPr>
      <xdr:spPr>
        <a:xfrm>
          <a:off x="8896351" y="4752974"/>
          <a:ext cx="3429000" cy="31337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le forum,</a:t>
          </a:r>
        </a:p>
        <a:p>
          <a:r>
            <a:rPr lang="fr-FR" sz="1100"/>
            <a:t>Je viens chercher de l'aide car je m'arrache les cheveux</a:t>
          </a:r>
          <a:r>
            <a:rPr lang="fr-FR" sz="1100" baseline="0"/>
            <a:t> depuis un moment pour créer un tableau récapitulatif de suivi de la feuille "Mvt BtChasse".</a:t>
          </a:r>
        </a:p>
        <a:p>
          <a:r>
            <a:rPr lang="fr-FR" sz="1100" baseline="0"/>
            <a:t>Dans la feuille "Graphique poudre", encadré en rouge, j'aimerai avoir un tableau récapitulatif affichant les dernières dates "Prochaine qualification"</a:t>
          </a:r>
        </a:p>
        <a:p>
          <a:r>
            <a:rPr lang="fr-FR" sz="1100" baseline="0"/>
            <a:t>correspondant au dernier emplacement.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N° Identification 713492 etant en Réserve avec une date qualif de mai 2015</a:t>
          </a:r>
        </a:p>
        <a:p>
          <a:r>
            <a:rPr lang="fr-FR" sz="1100" baseline="0"/>
            <a:t>se retrouve en Sécu 2 avec une date de qualif (identique ou modifié) de avril 2025</a:t>
          </a:r>
        </a:p>
        <a:p>
          <a:r>
            <a:rPr lang="fr-FR" sz="1100" baseline="0"/>
            <a:t>C'est donc cette dernière que j'aimerai afficher.</a:t>
          </a:r>
        </a:p>
        <a:p>
          <a:r>
            <a:rPr lang="fr-FR" sz="1100" baseline="0"/>
            <a:t>Est-ce possible ?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41.819657060187" createdVersion="6" refreshedVersion="6" minRefreshableVersion="3" recordCount="31">
  <cacheSource type="worksheet">
    <worksheetSource name="TbMvtPoudre"/>
  </cacheSource>
  <cacheFields count="9">
    <cacheField name="Date" numFmtId="14">
      <sharedItems containsSemiMixedTypes="0" containsNonDate="0" containsDate="1" containsString="0" minDate="2017-01-05T00:00:00" maxDate="2018-05-04T00:00:00"/>
    </cacheField>
    <cacheField name="Agent" numFmtId="0">
      <sharedItems/>
    </cacheField>
    <cacheField name="Produit" numFmtId="0">
      <sharedItems containsBlank="1" count="2">
        <s v="Poudre"/>
        <m u="1"/>
      </sharedItems>
    </cacheField>
    <cacheField name="Lieu" numFmtId="0">
      <sharedItems count="4">
        <s v="Sécu 2"/>
        <s v="Sécu 3"/>
        <s v="Réserve"/>
        <s v="Sécu 1" u="1"/>
      </sharedItems>
    </cacheField>
    <cacheField name="Entrée" numFmtId="0">
      <sharedItems containsString="0" containsBlank="1" containsNumber="1" containsInteger="1" minValue="50" maxValue="500"/>
    </cacheField>
    <cacheField name="Sortie" numFmtId="0">
      <sharedItems containsString="0" containsBlank="1" containsNumber="1" containsInteger="1" minValue="50" maxValue="250"/>
    </cacheField>
    <cacheField name="Observation" numFmtId="0">
      <sharedItems containsBlank="1"/>
    </cacheField>
    <cacheField name="Mois" numFmtId="0">
      <sharedItems count="5">
        <s v="janvier"/>
        <s v="février"/>
        <s v="mars"/>
        <s v="décembre"/>
        <s v="mai"/>
      </sharedItems>
    </cacheField>
    <cacheField name="Année" numFmtId="0">
      <sharedItems count="3">
        <s v="2017"/>
        <s v="2018"/>
        <s v="2019" u="1"/>
      </sharedItems>
    </cacheField>
  </cacheFields>
  <extLst>
    <ext xmlns:x14="http://schemas.microsoft.com/office/spreadsheetml/2009/9/main" uri="{725AE2AE-9491-48be-B2B4-4EB974FC3084}">
      <x14:pivotCacheDefinition pivotCacheId="46699818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3441.819657870372" createdVersion="6" refreshedVersion="6" minRefreshableVersion="3" recordCount="4">
  <cacheSource type="worksheet">
    <worksheetSource name="TbBDDPoudre"/>
  </cacheSource>
  <cacheFields count="7">
    <cacheField name="Produit" numFmtId="0">
      <sharedItems/>
    </cacheField>
    <cacheField name="Initial" numFmtId="0">
      <sharedItems containsSemiMixedTypes="0" containsString="0" containsNumber="1" containsInteger="1" minValue="250" maxValue="500"/>
    </cacheField>
    <cacheField name="Sécurité" numFmtId="0">
      <sharedItems containsSemiMixedTypes="0" containsString="0" containsNumber="1" containsInteger="1" minValue="235" maxValue="475"/>
    </cacheField>
    <cacheField name="Mini" numFmtId="0">
      <sharedItems containsSemiMixedTypes="0" containsString="0" containsNumber="1" containsInteger="1" minValue="225" maxValue="450"/>
    </cacheField>
    <cacheField name="Lieu" numFmtId="0">
      <sharedItems count="4">
        <s v="Réserve"/>
        <s v="Sécu 1"/>
        <s v="Sécu 2"/>
        <s v="Sécu 3"/>
      </sharedItems>
    </cacheField>
    <cacheField name="Réel" numFmtId="0">
      <sharedItems containsSemiMixedTypes="0" containsString="0" containsNumber="1" containsInteger="1" minValue="250" maxValue="500"/>
    </cacheField>
    <cacheField name="Statu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d v="2017-01-05T00:00:00"/>
    <s v="AFONSO Julien"/>
    <x v="0"/>
    <x v="0"/>
    <m/>
    <n v="100"/>
    <m/>
    <x v="0"/>
    <x v="0"/>
  </r>
  <r>
    <d v="2017-01-05T00:00:00"/>
    <s v="AUDIE Anthony"/>
    <x v="0"/>
    <x v="1"/>
    <m/>
    <n v="100"/>
    <m/>
    <x v="0"/>
    <x v="0"/>
  </r>
  <r>
    <d v="2017-01-05T00:00:00"/>
    <s v="BENAZET Jean-René"/>
    <x v="0"/>
    <x v="2"/>
    <m/>
    <n v="200"/>
    <m/>
    <x v="0"/>
    <x v="0"/>
  </r>
  <r>
    <d v="2017-01-05T00:00:00"/>
    <s v="DISTEFANO Alexis"/>
    <x v="0"/>
    <x v="0"/>
    <n v="100"/>
    <m/>
    <m/>
    <x v="0"/>
    <x v="0"/>
  </r>
  <r>
    <d v="2017-01-05T00:00:00"/>
    <s v="FERRARA Julien"/>
    <x v="0"/>
    <x v="1"/>
    <n v="100"/>
    <m/>
    <m/>
    <x v="0"/>
    <x v="0"/>
  </r>
  <r>
    <d v="2017-02-10T00:00:00"/>
    <s v="LEROY France"/>
    <x v="0"/>
    <x v="0"/>
    <m/>
    <n v="50"/>
    <m/>
    <x v="1"/>
    <x v="0"/>
  </r>
  <r>
    <d v="2017-02-10T00:00:00"/>
    <s v="LEROY Jean-Sébastien"/>
    <x v="0"/>
    <x v="1"/>
    <m/>
    <n v="50"/>
    <m/>
    <x v="1"/>
    <x v="0"/>
  </r>
  <r>
    <d v="2017-02-10T00:00:00"/>
    <s v="NAVARRO Christophe"/>
    <x v="0"/>
    <x v="2"/>
    <m/>
    <n v="100"/>
    <m/>
    <x v="1"/>
    <x v="0"/>
  </r>
  <r>
    <d v="2017-02-10T00:00:00"/>
    <s v="SANTOS Jean-François"/>
    <x v="0"/>
    <x v="0"/>
    <n v="50"/>
    <m/>
    <m/>
    <x v="1"/>
    <x v="0"/>
  </r>
  <r>
    <d v="2017-02-10T00:00:00"/>
    <s v="SCHWEITZER Jean-Michel"/>
    <x v="0"/>
    <x v="1"/>
    <n v="50"/>
    <m/>
    <m/>
    <x v="1"/>
    <x v="0"/>
  </r>
  <r>
    <d v="2017-02-10T00:00:00"/>
    <s v="ZARAGOZA Didier"/>
    <x v="0"/>
    <x v="2"/>
    <n v="300"/>
    <m/>
    <m/>
    <x v="1"/>
    <x v="0"/>
  </r>
  <r>
    <d v="2017-03-15T00:00:00"/>
    <s v="PIERRAIN Didier"/>
    <x v="0"/>
    <x v="0"/>
    <m/>
    <n v="50"/>
    <m/>
    <x v="2"/>
    <x v="0"/>
  </r>
  <r>
    <d v="2017-03-15T00:00:00"/>
    <s v="DISTEFANO Alexis"/>
    <x v="0"/>
    <x v="1"/>
    <m/>
    <n v="75"/>
    <m/>
    <x v="2"/>
    <x v="0"/>
  </r>
  <r>
    <d v="2017-03-15T00:00:00"/>
    <s v="FERRARA Julien"/>
    <x v="0"/>
    <x v="2"/>
    <m/>
    <n v="125"/>
    <m/>
    <x v="2"/>
    <x v="0"/>
  </r>
  <r>
    <d v="2017-03-15T00:00:00"/>
    <s v="SCHWEITZER Jean-Michel"/>
    <x v="0"/>
    <x v="0"/>
    <n v="50"/>
    <m/>
    <m/>
    <x v="2"/>
    <x v="0"/>
  </r>
  <r>
    <d v="2017-03-15T00:00:00"/>
    <s v="SANTOS Jean-François"/>
    <x v="0"/>
    <x v="1"/>
    <n v="75"/>
    <m/>
    <m/>
    <x v="2"/>
    <x v="0"/>
  </r>
  <r>
    <d v="2017-12-19T15:26:24"/>
    <s v="LEROY Jean-Sébastien"/>
    <x v="0"/>
    <x v="0"/>
    <m/>
    <n v="200"/>
    <s v="Cmd-01"/>
    <x v="3"/>
    <x v="0"/>
  </r>
  <r>
    <d v="2017-12-19T21:56:59"/>
    <s v="LEROY France"/>
    <x v="0"/>
    <x v="2"/>
    <n v="125"/>
    <m/>
    <m/>
    <x v="3"/>
    <x v="0"/>
  </r>
  <r>
    <d v="2017-12-19T21:57:24"/>
    <s v="LEROY France"/>
    <x v="0"/>
    <x v="0"/>
    <n v="200"/>
    <m/>
    <m/>
    <x v="3"/>
    <x v="0"/>
  </r>
  <r>
    <d v="2017-12-28T00:00:00"/>
    <s v="FERRARA Julien"/>
    <x v="0"/>
    <x v="2"/>
    <m/>
    <n v="50"/>
    <s v="essai"/>
    <x v="3"/>
    <x v="0"/>
  </r>
  <r>
    <d v="2018-01-17T00:00:00"/>
    <s v="DISTEFANO Alexis"/>
    <x v="0"/>
    <x v="2"/>
    <n v="125"/>
    <m/>
    <s v="Inventaire"/>
    <x v="0"/>
    <x v="1"/>
  </r>
  <r>
    <d v="2018-01-17T00:00:00"/>
    <s v="DISTEFANO Alexis"/>
    <x v="0"/>
    <x v="2"/>
    <n v="500"/>
    <m/>
    <s v="Pour essai percussion"/>
    <x v="0"/>
    <x v="1"/>
  </r>
  <r>
    <d v="2018-02-12T00:00:00"/>
    <s v="AUDIE Anthony"/>
    <x v="0"/>
    <x v="0"/>
    <m/>
    <n v="75"/>
    <m/>
    <x v="1"/>
    <x v="1"/>
  </r>
  <r>
    <d v="2018-02-14T00:00:00"/>
    <s v="ZARAGOZA Didier"/>
    <x v="0"/>
    <x v="2"/>
    <m/>
    <n v="75"/>
    <m/>
    <x v="1"/>
    <x v="1"/>
  </r>
  <r>
    <d v="2018-02-14T00:00:00"/>
    <s v="ZARAGOZA Didier"/>
    <x v="0"/>
    <x v="0"/>
    <n v="75"/>
    <m/>
    <m/>
    <x v="1"/>
    <x v="1"/>
  </r>
  <r>
    <d v="2018-02-14T00:00:00"/>
    <s v="ZARAGOZA Didier"/>
    <x v="0"/>
    <x v="0"/>
    <m/>
    <n v="250"/>
    <m/>
    <x v="1"/>
    <x v="1"/>
  </r>
  <r>
    <d v="2018-03-17T00:00:00"/>
    <s v="SCHWEITZER Jean-Michel"/>
    <x v="0"/>
    <x v="2"/>
    <m/>
    <n v="250"/>
    <m/>
    <x v="2"/>
    <x v="1"/>
  </r>
  <r>
    <d v="2018-03-17T00:00:00"/>
    <s v="SCHWEITZER Jean-Michel"/>
    <x v="0"/>
    <x v="0"/>
    <n v="250"/>
    <m/>
    <m/>
    <x v="2"/>
    <x v="1"/>
  </r>
  <r>
    <d v="2018-05-03T00:00:00"/>
    <s v="SCHWEITZER Jean-Michel"/>
    <x v="0"/>
    <x v="1"/>
    <m/>
    <n v="250"/>
    <s v="Essai annuel"/>
    <x v="4"/>
    <x v="1"/>
  </r>
  <r>
    <d v="2018-05-03T00:00:00"/>
    <s v="SCHWEITZER Jean-Michel"/>
    <x v="0"/>
    <x v="2"/>
    <m/>
    <n v="250"/>
    <s v="Essai annuel"/>
    <x v="4"/>
    <x v="1"/>
  </r>
  <r>
    <d v="2018-05-03T00:00:00"/>
    <s v="SCHWEITZER Jean-Michel"/>
    <x v="0"/>
    <x v="1"/>
    <n v="250"/>
    <m/>
    <s v="Essai annuel"/>
    <x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s v="Poudre"/>
    <n v="500"/>
    <n v="475"/>
    <n v="450"/>
    <x v="0"/>
    <n v="500"/>
    <s v="Actif"/>
  </r>
  <r>
    <s v="Poudre"/>
    <n v="250"/>
    <n v="235"/>
    <n v="225"/>
    <x v="1"/>
    <n v="250"/>
    <s v="Actif"/>
  </r>
  <r>
    <s v="Poudre"/>
    <n v="250"/>
    <n v="235"/>
    <n v="225"/>
    <x v="2"/>
    <n v="250"/>
    <s v="Actif"/>
  </r>
  <r>
    <s v="Poudre"/>
    <n v="250"/>
    <n v="235"/>
    <n v="225"/>
    <x v="3"/>
    <n v="250"/>
    <s v="Acti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70" applyNumberFormats="0" applyBorderFormats="0" applyFontFormats="0" applyPatternFormats="0" applyAlignmentFormats="0" applyWidthHeightFormats="1" dataCaption="Valeurs" updatedVersion="6" minRefreshableVersion="3" showDrill="0" showDataTips="0" rowGrandTotals="0" colGrandTotals="0" itemPrintTitles="1" createdVersion="6" indent="0" showHeaders="0" outline="1" outlineData="1" multipleFieldFilters="0" fieldListSortAscending="1">
  <location ref="B14:D17" firstHeaderRow="0" firstDataRow="1" firstDataCol="1"/>
  <pivotFields count="9">
    <pivotField numFmtId="14" showAll="0"/>
    <pivotField showAll="0"/>
    <pivotField showAll="0">
      <items count="3">
        <item x="0"/>
        <item m="1" x="1"/>
        <item t="default"/>
      </items>
    </pivotField>
    <pivotField axis="axisRow" showAll="0">
      <items count="5">
        <item x="2"/>
        <item x="0"/>
        <item x="1"/>
        <item m="1" x="3"/>
        <item t="default"/>
      </items>
    </pivotField>
    <pivotField dataField="1" showAll="0"/>
    <pivotField dataField="1" showAll="0"/>
    <pivotField showAll="0"/>
    <pivotField showAll="0">
      <items count="6">
        <item x="0"/>
        <item x="1"/>
        <item x="2"/>
        <item x="4"/>
        <item x="3"/>
        <item t="default"/>
      </items>
    </pivotField>
    <pivotField showAll="0">
      <items count="4">
        <item x="0"/>
        <item x="1"/>
        <item m="1" x="2"/>
        <item t="default"/>
      </items>
    </pivotField>
  </pivotFields>
  <rowFields count="1">
    <field x="3"/>
  </rowFields>
  <rowItems count="3">
    <i>
      <x/>
    </i>
    <i>
      <x v="1"/>
    </i>
    <i>
      <x v="2"/>
    </i>
  </rowItems>
  <colFields count="1">
    <field x="-2"/>
  </colFields>
  <colItems count="2">
    <i>
      <x/>
    </i>
    <i i="1">
      <x v="1"/>
    </i>
  </colItems>
  <dataFields count="2">
    <dataField name="Qté Entrée" fld="4" baseField="0" baseItem="0"/>
    <dataField name="Qté Sortie" fld="5" baseField="0" baseItem="0"/>
  </dataFields>
  <formats count="17">
    <format dxfId="30">
      <pivotArea outline="0" collapsedLevelsAreSubtotals="1" fieldPosition="0"/>
    </format>
    <format dxfId="2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8">
      <pivotArea outline="0" collapsedLevelsAreSubtotals="1" fieldPosition="0"/>
    </format>
    <format dxfId="2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dataOnly="0" labelOnly="1" fieldPosition="0">
        <references count="1">
          <reference field="3" count="0"/>
        </references>
      </pivotArea>
    </format>
    <format dxfId="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dataOnly="0" labelOnly="1" fieldPosition="0">
        <references count="1">
          <reference field="3" count="0"/>
        </references>
      </pivotArea>
    </format>
    <format dxfId="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8">
      <pivotArea type="all" dataOnly="0" outline="0" fieldPosition="0"/>
    </format>
    <format dxfId="17">
      <pivotArea dataOnly="0" labelOnly="1" fieldPosition="0">
        <references count="1">
          <reference field="3" count="0"/>
        </references>
      </pivotArea>
    </format>
    <format dxfId="16">
      <pivotArea outline="0" collapsedLevelsAreSubtotals="1" fieldPosition="0"/>
    </format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">
      <pivotArea dataOnly="0" labelOnly="1" fieldPosition="0">
        <references count="1">
          <reference field="3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73" applyNumberFormats="0" applyBorderFormats="0" applyFontFormats="0" applyPatternFormats="0" applyAlignmentFormats="0" applyWidthHeightFormats="1" dataCaption="Valeurs" updatedVersion="6" minRefreshableVersion="3" showDrill="0" showDataTips="0" rowGrandTotals="0" colGrandTotals="0" itemPrintTitles="1" createdVersion="6" indent="0" showHeaders="0" outline="1" outlineData="1" multipleFieldFilters="0" fieldListSortAscending="1">
  <location ref="B6:C10" firstHeaderRow="1" firstDataRow="1" firstDataCol="1"/>
  <pivotFields count="7">
    <pivotField showAll="0"/>
    <pivotField showAll="0"/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</pivotFields>
  <rowFields count="1">
    <field x="4"/>
  </rowFields>
  <rowItems count="4">
    <i>
      <x/>
    </i>
    <i>
      <x v="1"/>
    </i>
    <i>
      <x v="2"/>
    </i>
    <i>
      <x v="3"/>
    </i>
  </rowItems>
  <colItems count="1">
    <i/>
  </colItems>
  <dataFields count="1">
    <dataField name="Stock Réel" fld="5" baseField="0" baseItem="0"/>
  </dataFields>
  <formats count="17">
    <format dxfId="47">
      <pivotArea outline="0" collapsedLevelsAreSubtotals="1" fieldPosition="0"/>
    </format>
    <format dxfId="46">
      <pivotArea dataOnly="0" labelOnly="1" outline="0" axis="axisValues" fieldPosition="0"/>
    </format>
    <format dxfId="45">
      <pivotArea outline="0" collapsedLevelsAreSubtotals="1" fieldPosition="0"/>
    </format>
    <format dxfId="44">
      <pivotArea dataOnly="0" labelOnly="1" outline="0" axis="axisValues" fieldPosition="0"/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dataOnly="0" labelOnly="1" fieldPosition="0">
        <references count="1">
          <reference field="4" count="0"/>
        </references>
      </pivotArea>
    </format>
    <format dxfId="40">
      <pivotArea dataOnly="0" labelOnly="1" outline="0" axis="axisValues" fieldPosition="0"/>
    </format>
    <format dxfId="39">
      <pivotArea type="all" dataOnly="0" outline="0" fieldPosition="0"/>
    </format>
    <format dxfId="38">
      <pivotArea outline="0" collapsedLevelsAreSubtotals="1" fieldPosition="0"/>
    </format>
    <format dxfId="37">
      <pivotArea dataOnly="0" labelOnly="1" fieldPosition="0">
        <references count="1">
          <reference field="4" count="0"/>
        </references>
      </pivotArea>
    </format>
    <format dxfId="36">
      <pivotArea dataOnly="0" labelOnly="1" outline="0" axis="axisValues" fieldPosition="0"/>
    </format>
    <format dxfId="35">
      <pivotArea type="all" dataOnly="0" outline="0" fieldPosition="0"/>
    </format>
    <format dxfId="34">
      <pivotArea dataOnly="0" labelOnly="1" fieldPosition="0">
        <references count="1">
          <reference field="4" count="0"/>
        </references>
      </pivotArea>
    </format>
    <format dxfId="33">
      <pivotArea outline="0" collapsedLevelsAreSubtotals="1" fieldPosition="0"/>
    </format>
    <format dxfId="32">
      <pivotArea dataOnly="0" labelOnly="1" outline="0" axis="axisValues" fieldPosition="0"/>
    </format>
    <format dxfId="31">
      <pivotArea dataOnly="0" labelOnly="1" fieldPosition="0">
        <references count="1">
          <reference field="4" count="0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4">
          <x14:conditionalFormat priority="4" id="{DA51F10C-4288-4C48-9FE1-81BEB20EBEE7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0"/>
                  </reference>
                </references>
              </pivotArea>
            </x14:pivotAreas>
          </x14:conditionalFormat>
          <x14:conditionalFormat priority="3" id="{7D465146-FC70-4B4C-836D-6970E4A9491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1"/>
                  </reference>
                </references>
              </pivotArea>
            </x14:pivotAreas>
          </x14:conditionalFormat>
          <x14:conditionalFormat priority="2" id="{EB0FFF6C-3230-44BA-970E-40EBC3A4119A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2"/>
                  </reference>
                </references>
              </pivotArea>
            </x14:pivotAreas>
          </x14:conditionalFormat>
          <x14:conditionalFormat priority="1" id="{980FEEBA-432F-404C-AA59-457956C92038}">
            <x14:pivotAreas count="1">
              <pivotArea type="data" collapsedLevelsAreSubtotals="1" fieldPosition="0">
                <references count="2">
                  <reference field="4294967294" count="1" selected="0">
                    <x v="0"/>
                  </reference>
                  <reference field="4" count="1">
                    <x v="3"/>
                  </reference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9">
    <queryTableFields count="8">
      <queryTableField id="1" name="Lieu" tableColumnId="35"/>
      <queryTableField id="2" name="68340" tableColumnId="36"/>
      <queryTableField id="3" name="77215" tableColumnId="37"/>
      <queryTableField id="4" name="WNQ033" tableColumnId="38"/>
      <queryTableField id="5" name="QNU152" tableColumnId="39"/>
      <queryTableField id="6" name="WNQ031" tableColumnId="40"/>
      <queryTableField id="7" name="72316" tableColumnId="41"/>
      <queryTableField id="8" name="713492" tableColumnId="4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1" sourceName="Produit">
  <pivotTables>
    <pivotTable tabId="24" name="Tableau croisé dynamique2"/>
  </pivotTables>
  <data>
    <tabular pivotCacheId="466998183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9" sourceName="Année">
  <pivotTables>
    <pivotTable tabId="24" name="Tableau croisé dynamique2"/>
  </pivotTables>
  <data>
    <tabular pivotCacheId="466998183">
      <items count="3">
        <i x="0" s="1"/>
        <i x="1" s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9" sourceName="Mois">
  <pivotTables>
    <pivotTable tabId="24" name="Tableau croisé dynamique2"/>
  </pivotTables>
  <data>
    <tabular pivotCacheId="466998183">
      <items count="5">
        <i x="0" s="1"/>
        <i x="1" s="1"/>
        <i x="2" s="1"/>
        <i x="4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8" sourceName="Mois">
  <extLst>
    <x:ext xmlns:x15="http://schemas.microsoft.com/office/spreadsheetml/2010/11/main" uri="{2F2917AC-EB37-4324-AD4E-5DD8C200BD13}">
      <x15:tableSlicerCache tableId="14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8" sourceName="Année">
  <extLst>
    <x:ext xmlns:x15="http://schemas.microsoft.com/office/spreadsheetml/2010/11/main" uri="{2F2917AC-EB37-4324-AD4E-5DD8C200BD13}">
      <x15:tableSlicerCache tableId="14" column="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0" sourceName="Mois">
  <extLst>
    <x:ext xmlns:x15="http://schemas.microsoft.com/office/spreadsheetml/2010/11/main" uri="{2F2917AC-EB37-4324-AD4E-5DD8C200BD13}">
      <x15:tableSlicerCache tableId="16" column="1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0" sourceName="Année">
  <extLst>
    <x:ext xmlns:x15="http://schemas.microsoft.com/office/spreadsheetml/2010/11/main" uri="{2F2917AC-EB37-4324-AD4E-5DD8C200BD13}">
      <x15:tableSlicerCache tableId="16" column="12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11" sourceName="Mois">
  <extLst>
    <x:ext xmlns:x15="http://schemas.microsoft.com/office/spreadsheetml/2010/11/main" uri="{2F2917AC-EB37-4324-AD4E-5DD8C200BD13}">
      <x15:tableSlicerCache tableId="18" column="1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1" sourceName="Année">
  <extLst>
    <x:ext xmlns:x15="http://schemas.microsoft.com/office/spreadsheetml/2010/11/main" uri="{2F2917AC-EB37-4324-AD4E-5DD8C200BD13}">
      <x15:tableSlicerCache tableId="18" column="1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8" cache="Segment_Mois8" caption="Mois" style="SlicerStyleLight4" rowHeight="241300"/>
  <slicer name="Année 8" cache="Segment_Année8" caption="Année" style="SlicerStyleLight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0" cache="Segment_Mois10" caption="Mois" style="SlicerStyleLight4" rowHeight="241300"/>
  <slicer name="Année 10" cache="Segment_Année10" caption="Année" style="SlicerStyleLight4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1" cache="Segment_Mois11" caption="Mois" style="SlicerStyleLight4" rowHeight="241300"/>
  <slicer name="Année 11" cache="Segment_Année11" caption="Année" style="SlicerStyleLight4" rowHeight="2413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 1" cache="Segment_Produit1" caption="Produit" style="SlicerStyleLight2" rowHeight="241300"/>
  <slicer name="Année 9" cache="Segment_Année9" caption="Année" style="SlicerStyleLight4" rowHeight="241300"/>
  <slicer name="Mois 9" cache="Segment_Mois9" caption="Mois" style="SlicerStyleLight4" rowHeight="241300"/>
</slicer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bAgentCarbu" displayName="TbAgentCarbu" ref="A1:C15" totalsRowShown="0" headerRowDxfId="122">
  <autoFilter ref="A1:C15">
    <filterColumn colId="0" hiddenButton="1"/>
    <filterColumn colId="1" hiddenButton="1"/>
    <filterColumn colId="2" hiddenButton="1"/>
  </autoFilter>
  <tableColumns count="3">
    <tableColumn id="1" name="Agent"/>
    <tableColumn id="2" name="Nom"/>
    <tableColumn id="3" name="Pré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VehCarbu" displayName="TbVehCarbu" ref="A2:E7" totalsRowShown="0" headerRowDxfId="121" dataDxfId="120">
  <autoFilter ref="A2:E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Véhicule" dataDxfId="119"/>
    <tableColumn id="2" name="Immat" dataDxfId="118"/>
    <tableColumn id="3" name="Carburation" dataDxfId="117"/>
    <tableColumn id="4" name="Compteur départ" dataDxfId="116"/>
    <tableColumn id="5" name="Status" dataDxfId="1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bMvt" displayName="TbMvt" ref="G2:G4" totalsRowShown="0" headerRowDxfId="114" dataDxfId="113">
  <autoFilter ref="G2:G4">
    <filterColumn colId="0" hiddenButton="1"/>
  </autoFilter>
  <tableColumns count="1">
    <tableColumn id="1" name="Mouvement" dataDxfId="112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12" name="TbBDDPoudre" displayName="TbBDDPoudre" ref="I2:O6" totalsRowShown="0" headerRowDxfId="111" dataDxfId="110">
  <autoFilter ref="I2:O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ref="I3:N6">
    <sortCondition ref="M3"/>
  </sortState>
  <tableColumns count="7">
    <tableColumn id="1" name="Produit" dataDxfId="109"/>
    <tableColumn id="2" name="Initial" dataDxfId="108"/>
    <tableColumn id="3" name="Sécurité" dataDxfId="107"/>
    <tableColumn id="4" name="Mini" dataDxfId="106"/>
    <tableColumn id="5" name="Lieu" dataDxfId="105"/>
    <tableColumn id="6" name="Réel" dataDxfId="104">
      <calculatedColumnFormula>J3+SUMPRODUCT((TbMvtPoudre[Lieu]=M3)*TbMvtPoudre[Entrée])-SUMPRODUCT((TbMvtPoudre[Lieu]=M3)*TbMvtPoudre[Sortie])</calculatedColumnFormula>
    </tableColumn>
    <tableColumn id="7" name="Status" dataDxfId="10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5" name="TbBDDSphere" displayName="TbBDDSphere" ref="Q2:U5" totalsRowShown="0" headerRowDxfId="102" dataDxfId="101">
  <autoFilter ref="Q2:U5">
    <filterColumn colId="0" hiddenButton="1"/>
    <filterColumn colId="1" hiddenButton="1"/>
    <filterColumn colId="2" hiddenButton="1"/>
    <filterColumn colId="3" hiddenButton="1"/>
    <filterColumn colId="4" hiddenButton="1"/>
  </autoFilter>
  <sortState ref="Q3:U5">
    <sortCondition ref="Q3"/>
  </sortState>
  <tableColumns count="5">
    <tableColumn id="1" name="Véhicule" dataDxfId="100"/>
    <tableColumn id="2" name="N° Identification" dataDxfId="99"/>
    <tableColumn id="3" name="Fabriquant" dataDxfId="98"/>
    <tableColumn id="4" name="Année Fabrication" dataDxfId="97"/>
    <tableColumn id="5" name="Status" dataDxfId="9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7" name="TbBDDBtChasse" displayName="TbBDDBtChasse" ref="W2:AB10" totalsRowShown="0" headerRowDxfId="95" dataDxfId="94">
  <autoFilter ref="W2:AB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° Identification" dataDxfId="93"/>
    <tableColumn id="2" name="Produit" dataDxfId="92"/>
    <tableColumn id="3" name="Capacité" dataDxfId="91"/>
    <tableColumn id="4" name="Masse/Pression" dataDxfId="90"/>
    <tableColumn id="5" name="Appellation" dataDxfId="89"/>
    <tableColumn id="6" name="Status" dataDxfId="8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TbMvtPoudre" displayName="TbMvtPoudre" ref="B11:J42" totalsRowShown="0" headerRowDxfId="87" dataDxfId="86">
  <autoFilter ref="B11:J4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Date" dataDxfId="85"/>
    <tableColumn id="2" name="Agent" dataDxfId="84"/>
    <tableColumn id="3" name="Produit" dataDxfId="83"/>
    <tableColumn id="4" name="Lieu" dataDxfId="82"/>
    <tableColumn id="5" name="Entrée" dataDxfId="81"/>
    <tableColumn id="6" name="Sortie" dataDxfId="80"/>
    <tableColumn id="7" name="Observation" dataDxfId="79"/>
    <tableColumn id="8" name="Mois" dataDxfId="78">
      <calculatedColumnFormula>TEXT(B12,"mmmm")</calculatedColumnFormula>
    </tableColumn>
    <tableColumn id="9" name="Année" dataDxfId="77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16" name="TbMvtSphere" displayName="TbMvtSphere" ref="B11:M24" totalsRowShown="0" headerRowDxfId="76" dataDxfId="75">
  <autoFilter ref="B11:M2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Date" dataDxfId="74"/>
    <tableColumn id="2" name="Agent" dataDxfId="73"/>
    <tableColumn id="3" name="Véhicule" dataDxfId="72"/>
    <tableColumn id="4" name="N° Identification" dataDxfId="71"/>
    <tableColumn id="5" name="Fabriquant" dataDxfId="70"/>
    <tableColumn id="6" name="Année fabrication" dataDxfId="69">
      <calculatedColumnFormula>IF(D12="","",INDEX(TbBDDSphere[Année Fabrication],MATCH(D12,TbBDDSphere[Véhicule],0)))</calculatedColumnFormula>
    </tableColumn>
    <tableColumn id="7" name="Inspection (maxi 40 mois)" dataDxfId="68"/>
    <tableColumn id="8" name="Prochaine inspection" dataDxfId="67">
      <calculatedColumnFormula>IF(H12="","",DATE(YEAR(H12),MONTH(H12)+40,DAY(H12)))</calculatedColumnFormula>
    </tableColumn>
    <tableColumn id="9" name="Qualification (maxi 10 ans)" dataDxfId="66"/>
    <tableColumn id="10" name="Prochaine qualification" dataDxfId="65">
      <calculatedColumnFormula>IF(J12="","",DATE(YEAR(J12)+10,MONTH(J12),DAY(J12)))</calculatedColumnFormula>
    </tableColumn>
    <tableColumn id="11" name="Mois" dataDxfId="64">
      <calculatedColumnFormula>TEXT(B12,"mmmm")</calculatedColumnFormula>
    </tableColumn>
    <tableColumn id="12" name="Année" dataDxfId="63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8" name="TbMvtBtChasse" displayName="TbMvtBtChasse" ref="B11:N23" totalsRowShown="0" headerRowDxfId="62" dataDxfId="61">
  <autoFilter ref="B11:N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60"/>
    <tableColumn id="2" name="Agent" dataDxfId="59"/>
    <tableColumn id="3" name="Lieu" dataDxfId="58"/>
    <tableColumn id="4" name="N° Identification" dataDxfId="57"/>
    <tableColumn id="5" name="Produit" dataDxfId="56"/>
    <tableColumn id="6" name="Capacité" dataDxfId="55"/>
    <tableColumn id="7" name="Masse Pression" dataDxfId="54"/>
    <tableColumn id="8" name="Appellation" dataDxfId="53"/>
    <tableColumn id="9" name="Qualification (maxi 10 ans)" dataDxfId="52"/>
    <tableColumn id="10" name="Prochaine qualification" dataDxfId="51">
      <calculatedColumnFormula>IF(J12="","",DATE(YEAR(J12)+10,MONTH(J12),DAY(J12)))</calculatedColumnFormula>
    </tableColumn>
    <tableColumn id="11" name="Sortie" dataDxfId="50"/>
    <tableColumn id="12" name="Mois" dataDxfId="49">
      <calculatedColumnFormula>TEXT(B12,"mmmm")</calculatedColumnFormula>
    </tableColumn>
    <tableColumn id="13" name="Année" dataDxfId="48">
      <calculatedColumnFormula>TEXT(B12,"aaaa")</calculatedColumnFormula>
    </tableColumn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1" name="TbMvtBtChasse_2" displayName="TbMvtBtChasse_2" ref="B47:I50" tableType="queryTable" totalsRowShown="0">
  <autoFilter ref="B47:I5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35" uniqueName="35" name="Lieu" queryTableFieldId="1" dataDxfId="7"/>
    <tableColumn id="36" uniqueName="36" name="68340" queryTableFieldId="2" dataDxfId="6"/>
    <tableColumn id="37" uniqueName="37" name="77215" queryTableFieldId="3" dataDxfId="5"/>
    <tableColumn id="38" uniqueName="38" name="WNQ033" queryTableFieldId="4" dataDxfId="4"/>
    <tableColumn id="39" uniqueName="39" name="QNU152" queryTableFieldId="5" dataDxfId="3"/>
    <tableColumn id="40" uniqueName="40" name="WNQ031" queryTableFieldId="6" dataDxfId="2"/>
    <tableColumn id="41" uniqueName="41" name="72316" queryTableFieldId="7" dataDxfId="1"/>
    <tableColumn id="42" uniqueName="42" name="713492" queryTableFieldId="8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control" Target="../activeX/activeX3.xml"/><Relationship Id="rId7" Type="http://schemas.openxmlformats.org/officeDocument/2006/relationships/table" Target="../tables/table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microsoft.com/office/2007/relationships/slicer" Target="../slicers/slicer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4.xml"/><Relationship Id="rId5" Type="http://schemas.openxmlformats.org/officeDocument/2006/relationships/table" Target="../tables/table10.xml"/><Relationship Id="rId4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15"/>
  <sheetViews>
    <sheetView workbookViewId="0"/>
  </sheetViews>
  <sheetFormatPr baseColWidth="10" defaultRowHeight="15" x14ac:dyDescent="0.25"/>
  <cols>
    <col min="1" max="1" width="23.42578125" bestFit="1" customWidth="1"/>
    <col min="2" max="2" width="12" bestFit="1" customWidth="1"/>
    <col min="3" max="3" width="14.42578125" bestFit="1" customWidth="1"/>
  </cols>
  <sheetData>
    <row r="1" spans="1:3" ht="27" customHeight="1" x14ac:dyDescent="0.25">
      <c r="A1" s="2" t="s">
        <v>35</v>
      </c>
      <c r="B1" s="2" t="s">
        <v>36</v>
      </c>
      <c r="C1" s="2" t="s">
        <v>37</v>
      </c>
    </row>
    <row r="2" spans="1:3" x14ac:dyDescent="0.25">
      <c r="A2" t="s">
        <v>17</v>
      </c>
      <c r="B2" t="s">
        <v>38</v>
      </c>
      <c r="C2" t="s">
        <v>39</v>
      </c>
    </row>
    <row r="3" spans="1:3" x14ac:dyDescent="0.25">
      <c r="A3" t="s">
        <v>40</v>
      </c>
      <c r="B3" t="s">
        <v>41</v>
      </c>
      <c r="C3" t="s">
        <v>42</v>
      </c>
    </row>
    <row r="4" spans="1:3" x14ac:dyDescent="0.25">
      <c r="A4" t="s">
        <v>26</v>
      </c>
      <c r="B4" t="s">
        <v>43</v>
      </c>
      <c r="C4" t="s">
        <v>44</v>
      </c>
    </row>
    <row r="5" spans="1:3" x14ac:dyDescent="0.25">
      <c r="A5" t="s">
        <v>45</v>
      </c>
      <c r="B5" t="s">
        <v>46</v>
      </c>
      <c r="C5" t="s">
        <v>47</v>
      </c>
    </row>
    <row r="6" spans="1:3" x14ac:dyDescent="0.25">
      <c r="A6" t="s">
        <v>28</v>
      </c>
      <c r="B6" t="s">
        <v>48</v>
      </c>
      <c r="C6" t="s">
        <v>49</v>
      </c>
    </row>
    <row r="7" spans="1:3" x14ac:dyDescent="0.25">
      <c r="A7" t="s">
        <v>50</v>
      </c>
      <c r="B7" t="s">
        <v>51</v>
      </c>
      <c r="C7" t="s">
        <v>52</v>
      </c>
    </row>
    <row r="8" spans="1:3" x14ac:dyDescent="0.25">
      <c r="A8" t="s">
        <v>15</v>
      </c>
      <c r="B8" t="s">
        <v>53</v>
      </c>
      <c r="C8" t="s">
        <v>39</v>
      </c>
    </row>
    <row r="9" spans="1:3" x14ac:dyDescent="0.25">
      <c r="A9" t="s">
        <v>8</v>
      </c>
      <c r="B9" t="s">
        <v>54</v>
      </c>
      <c r="C9" t="s">
        <v>55</v>
      </c>
    </row>
    <row r="10" spans="1:3" x14ac:dyDescent="0.25">
      <c r="A10" t="s">
        <v>11</v>
      </c>
      <c r="B10" t="s">
        <v>54</v>
      </c>
      <c r="C10" t="s">
        <v>56</v>
      </c>
    </row>
    <row r="11" spans="1:3" x14ac:dyDescent="0.25">
      <c r="A11" t="s">
        <v>29</v>
      </c>
      <c r="B11" t="s">
        <v>57</v>
      </c>
      <c r="C11" t="s">
        <v>58</v>
      </c>
    </row>
    <row r="12" spans="1:3" x14ac:dyDescent="0.25">
      <c r="A12" t="s">
        <v>19</v>
      </c>
      <c r="B12" t="s">
        <v>59</v>
      </c>
      <c r="C12" t="s">
        <v>60</v>
      </c>
    </row>
    <row r="13" spans="1:3" x14ac:dyDescent="0.25">
      <c r="A13" t="s">
        <v>30</v>
      </c>
      <c r="B13" t="s">
        <v>61</v>
      </c>
      <c r="C13" t="s">
        <v>62</v>
      </c>
    </row>
    <row r="14" spans="1:3" x14ac:dyDescent="0.25">
      <c r="A14" t="s">
        <v>16</v>
      </c>
      <c r="B14" t="s">
        <v>63</v>
      </c>
      <c r="C14" t="s">
        <v>64</v>
      </c>
    </row>
    <row r="15" spans="1:3" x14ac:dyDescent="0.25">
      <c r="A15" t="s">
        <v>31</v>
      </c>
      <c r="B15" t="s">
        <v>65</v>
      </c>
      <c r="C15" t="s">
        <v>66</v>
      </c>
    </row>
  </sheetData>
  <sortState ref="A2:C15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17"/>
  <sheetViews>
    <sheetView topLeftCell="B1" workbookViewId="0">
      <selection activeCell="J5" sqref="J5"/>
    </sheetView>
  </sheetViews>
  <sheetFormatPr baseColWidth="10" defaultRowHeight="12" x14ac:dyDescent="0.2"/>
  <cols>
    <col min="1" max="1" width="14" style="19" bestFit="1" customWidth="1"/>
    <col min="2" max="2" width="9.7109375" style="19" bestFit="1" customWidth="1"/>
    <col min="3" max="3" width="9.140625" style="19" bestFit="1" customWidth="1"/>
    <col min="4" max="4" width="12.85546875" style="19" bestFit="1" customWidth="1"/>
    <col min="5" max="5" width="5.42578125" style="19" bestFit="1" customWidth="1"/>
    <col min="6" max="6" width="3.7109375" style="20" customWidth="1"/>
    <col min="7" max="7" width="9.5703125" style="19" bestFit="1" customWidth="1"/>
    <col min="8" max="8" width="3.7109375" style="20" customWidth="1"/>
    <col min="9" max="9" width="11.7109375" style="19" bestFit="1" customWidth="1"/>
    <col min="10" max="10" width="5" style="19" bestFit="1" customWidth="1"/>
    <col min="11" max="11" width="6.7109375" style="19" bestFit="1" customWidth="1"/>
    <col min="12" max="12" width="4.140625" style="19" bestFit="1" customWidth="1"/>
    <col min="13" max="13" width="7.140625" style="19" bestFit="1" customWidth="1"/>
    <col min="14" max="14" width="4.140625" style="19" bestFit="1" customWidth="1"/>
    <col min="15" max="15" width="4.140625" style="19" customWidth="1"/>
    <col min="16" max="16" width="3.7109375" style="20" customWidth="1"/>
    <col min="17" max="17" width="11.42578125" style="19"/>
    <col min="18" max="18" width="12.42578125" style="19" bestFit="1" customWidth="1"/>
    <col min="19" max="19" width="10.42578125" style="19" bestFit="1" customWidth="1"/>
    <col min="20" max="20" width="13.7109375" style="19" bestFit="1" customWidth="1"/>
    <col min="21" max="21" width="5.42578125" style="19" bestFit="1" customWidth="1"/>
    <col min="22" max="22" width="3.7109375" style="20" customWidth="1"/>
    <col min="23" max="23" width="13.28515625" style="19" bestFit="1" customWidth="1"/>
    <col min="24" max="24" width="6" style="19" bestFit="1" customWidth="1"/>
    <col min="25" max="25" width="7" style="19" bestFit="1" customWidth="1"/>
    <col min="26" max="26" width="12.140625" style="19" bestFit="1" customWidth="1"/>
    <col min="27" max="27" width="12.5703125" style="19" bestFit="1" customWidth="1"/>
    <col min="28" max="28" width="5.42578125" style="19" bestFit="1" customWidth="1"/>
    <col min="29" max="29" width="3.7109375" style="20" customWidth="1"/>
    <col min="30" max="16384" width="11.42578125" style="19"/>
  </cols>
  <sheetData>
    <row r="1" spans="1:28" x14ac:dyDescent="0.2">
      <c r="A1" s="3" t="s">
        <v>69</v>
      </c>
      <c r="I1" s="3" t="s">
        <v>88</v>
      </c>
      <c r="Q1" s="3" t="s">
        <v>112</v>
      </c>
      <c r="W1" s="3" t="s">
        <v>145</v>
      </c>
    </row>
    <row r="2" spans="1:28" x14ac:dyDescent="0.2">
      <c r="A2" s="19" t="s">
        <v>1</v>
      </c>
      <c r="B2" s="19" t="s">
        <v>2</v>
      </c>
      <c r="C2" s="19" t="s">
        <v>3</v>
      </c>
      <c r="D2" s="19" t="s">
        <v>20</v>
      </c>
      <c r="E2" s="19" t="s">
        <v>24</v>
      </c>
      <c r="G2" s="19" t="s">
        <v>73</v>
      </c>
      <c r="I2" s="27" t="s">
        <v>70</v>
      </c>
      <c r="J2" s="27" t="s">
        <v>85</v>
      </c>
      <c r="K2" s="27" t="s">
        <v>71</v>
      </c>
      <c r="L2" s="27" t="s">
        <v>86</v>
      </c>
      <c r="M2" s="27" t="s">
        <v>4</v>
      </c>
      <c r="N2" s="27" t="s">
        <v>72</v>
      </c>
      <c r="O2" s="27" t="s">
        <v>24</v>
      </c>
      <c r="Q2" s="19" t="s">
        <v>1</v>
      </c>
      <c r="R2" s="19" t="s">
        <v>102</v>
      </c>
      <c r="S2" s="19" t="s">
        <v>103</v>
      </c>
      <c r="T2" s="19" t="s">
        <v>111</v>
      </c>
      <c r="U2" s="19" t="s">
        <v>24</v>
      </c>
      <c r="W2" s="27" t="s">
        <v>102</v>
      </c>
      <c r="X2" s="27" t="s">
        <v>70</v>
      </c>
      <c r="Y2" s="27" t="s">
        <v>129</v>
      </c>
      <c r="Z2" s="27" t="s">
        <v>130</v>
      </c>
      <c r="AA2" s="27" t="s">
        <v>131</v>
      </c>
      <c r="AB2" s="27" t="s">
        <v>24</v>
      </c>
    </row>
    <row r="3" spans="1:28" x14ac:dyDescent="0.2">
      <c r="A3" s="19" t="s">
        <v>9</v>
      </c>
      <c r="B3" s="19" t="s">
        <v>10</v>
      </c>
      <c r="C3" s="19" t="s">
        <v>7</v>
      </c>
      <c r="E3" s="19" t="s">
        <v>25</v>
      </c>
      <c r="G3" s="19" t="s">
        <v>74</v>
      </c>
      <c r="I3" s="19" t="s">
        <v>89</v>
      </c>
      <c r="J3" s="27">
        <v>500</v>
      </c>
      <c r="K3" s="27">
        <v>475</v>
      </c>
      <c r="L3" s="27">
        <v>450</v>
      </c>
      <c r="M3" s="27" t="s">
        <v>87</v>
      </c>
      <c r="N3" s="36">
        <f>J3+SUMPRODUCT((TbMvtPoudre[Lieu]=M3)*TbMvtPoudre[Entrée])-SUMPRODUCT((TbMvtPoudre[Lieu]=M3)*TbMvtPoudre[Sortie])</f>
        <v>500</v>
      </c>
      <c r="O3" s="36" t="s">
        <v>25</v>
      </c>
      <c r="Q3" s="19" t="s">
        <v>32</v>
      </c>
      <c r="R3" s="27">
        <v>123456</v>
      </c>
      <c r="S3" s="27" t="s">
        <v>113</v>
      </c>
      <c r="T3" s="48">
        <v>42248</v>
      </c>
      <c r="U3" s="48" t="s">
        <v>25</v>
      </c>
      <c r="W3" s="27">
        <v>713492</v>
      </c>
      <c r="X3" s="27" t="s">
        <v>132</v>
      </c>
      <c r="Y3" s="27" t="s">
        <v>133</v>
      </c>
      <c r="Z3" s="27" t="s">
        <v>134</v>
      </c>
      <c r="AA3" s="27" t="s">
        <v>135</v>
      </c>
      <c r="AB3" s="27" t="s">
        <v>25</v>
      </c>
    </row>
    <row r="4" spans="1:28" x14ac:dyDescent="0.2">
      <c r="A4" s="19" t="s">
        <v>32</v>
      </c>
      <c r="B4" s="19" t="s">
        <v>23</v>
      </c>
      <c r="C4" s="19" t="s">
        <v>7</v>
      </c>
      <c r="G4" s="19" t="s">
        <v>75</v>
      </c>
      <c r="I4" s="19" t="s">
        <v>89</v>
      </c>
      <c r="J4" s="27">
        <v>250</v>
      </c>
      <c r="K4" s="27">
        <v>235</v>
      </c>
      <c r="L4" s="27">
        <v>225</v>
      </c>
      <c r="M4" s="27" t="s">
        <v>32</v>
      </c>
      <c r="N4" s="36">
        <f>J4+SUMPRODUCT((TbMvtPoudre[Lieu]=M4)*TbMvtPoudre[Entrée])-SUMPRODUCT((TbMvtPoudre[Lieu]=M4)*TbMvtPoudre[Sortie])</f>
        <v>250</v>
      </c>
      <c r="O4" s="36" t="s">
        <v>25</v>
      </c>
      <c r="Q4" s="19" t="s">
        <v>5</v>
      </c>
      <c r="R4" s="27">
        <v>31420</v>
      </c>
      <c r="S4" s="27" t="s">
        <v>108</v>
      </c>
      <c r="T4" s="48">
        <v>39264</v>
      </c>
      <c r="U4" s="48" t="s">
        <v>25</v>
      </c>
      <c r="W4" s="27">
        <v>68340</v>
      </c>
      <c r="X4" s="27" t="s">
        <v>132</v>
      </c>
      <c r="Y4" s="27" t="s">
        <v>133</v>
      </c>
      <c r="Z4" s="27" t="s">
        <v>134</v>
      </c>
      <c r="AA4" s="27" t="s">
        <v>135</v>
      </c>
      <c r="AB4" s="27" t="s">
        <v>25</v>
      </c>
    </row>
    <row r="5" spans="1:28" x14ac:dyDescent="0.2">
      <c r="A5" s="19" t="s">
        <v>5</v>
      </c>
      <c r="B5" s="19" t="s">
        <v>6</v>
      </c>
      <c r="C5" s="19" t="s">
        <v>7</v>
      </c>
      <c r="I5" s="19" t="s">
        <v>89</v>
      </c>
      <c r="J5" s="27">
        <v>250</v>
      </c>
      <c r="K5" s="27">
        <v>235</v>
      </c>
      <c r="L5" s="27">
        <v>225</v>
      </c>
      <c r="M5" s="27" t="s">
        <v>5</v>
      </c>
      <c r="N5" s="36">
        <f>J5+SUMPRODUCT((TbMvtPoudre[Lieu]=M5)*TbMvtPoudre[Entrée])-SUMPRODUCT((TbMvtPoudre[Lieu]=M5)*TbMvtPoudre[Sortie])</f>
        <v>250</v>
      </c>
      <c r="O5" s="36" t="s">
        <v>25</v>
      </c>
      <c r="Q5" s="19" t="s">
        <v>12</v>
      </c>
      <c r="R5" s="27">
        <v>9710149</v>
      </c>
      <c r="S5" s="27" t="s">
        <v>109</v>
      </c>
      <c r="T5" s="48">
        <v>35612</v>
      </c>
      <c r="U5" s="48" t="s">
        <v>25</v>
      </c>
      <c r="W5" s="27">
        <v>72316</v>
      </c>
      <c r="X5" s="27" t="s">
        <v>132</v>
      </c>
      <c r="Y5" s="27" t="s">
        <v>136</v>
      </c>
      <c r="Z5" s="27" t="s">
        <v>137</v>
      </c>
      <c r="AA5" s="27" t="s">
        <v>138</v>
      </c>
      <c r="AB5" s="27" t="s">
        <v>25</v>
      </c>
    </row>
    <row r="6" spans="1:28" x14ac:dyDescent="0.2">
      <c r="A6" s="19" t="s">
        <v>12</v>
      </c>
      <c r="B6" s="19" t="s">
        <v>13</v>
      </c>
      <c r="C6" s="19" t="s">
        <v>7</v>
      </c>
      <c r="I6" s="19" t="s">
        <v>89</v>
      </c>
      <c r="J6" s="27">
        <v>250</v>
      </c>
      <c r="K6" s="27">
        <v>235</v>
      </c>
      <c r="L6" s="27">
        <v>225</v>
      </c>
      <c r="M6" s="27" t="s">
        <v>12</v>
      </c>
      <c r="N6" s="36">
        <f>J6+SUMPRODUCT((TbMvtPoudre[Lieu]=M6)*TbMvtPoudre[Entrée])-SUMPRODUCT((TbMvtPoudre[Lieu]=M6)*TbMvtPoudre[Sortie])</f>
        <v>250</v>
      </c>
      <c r="O6" s="36" t="s">
        <v>25</v>
      </c>
      <c r="W6" s="27">
        <v>77215</v>
      </c>
      <c r="X6" s="27" t="s">
        <v>132</v>
      </c>
      <c r="Y6" s="27" t="s">
        <v>136</v>
      </c>
      <c r="Z6" s="27" t="s">
        <v>137</v>
      </c>
      <c r="AA6" s="27" t="s">
        <v>138</v>
      </c>
      <c r="AB6" s="27" t="s">
        <v>25</v>
      </c>
    </row>
    <row r="7" spans="1:28" x14ac:dyDescent="0.2">
      <c r="A7" s="19" t="s">
        <v>21</v>
      </c>
      <c r="B7" s="19" t="s">
        <v>22</v>
      </c>
      <c r="C7" s="19" t="s">
        <v>7</v>
      </c>
      <c r="W7" s="27">
        <v>72284</v>
      </c>
      <c r="X7" s="27" t="s">
        <v>132</v>
      </c>
      <c r="Y7" s="27" t="s">
        <v>136</v>
      </c>
      <c r="Z7" s="27" t="s">
        <v>137</v>
      </c>
      <c r="AA7" s="27" t="s">
        <v>138</v>
      </c>
      <c r="AB7" s="27" t="s">
        <v>25</v>
      </c>
    </row>
    <row r="8" spans="1:28" x14ac:dyDescent="0.2">
      <c r="W8" s="27" t="s">
        <v>139</v>
      </c>
      <c r="X8" s="27" t="s">
        <v>132</v>
      </c>
      <c r="Y8" s="27" t="s">
        <v>140</v>
      </c>
      <c r="Z8" s="27" t="s">
        <v>141</v>
      </c>
      <c r="AA8" s="27" t="s">
        <v>142</v>
      </c>
      <c r="AB8" s="27" t="s">
        <v>25</v>
      </c>
    </row>
    <row r="9" spans="1:28" x14ac:dyDescent="0.2">
      <c r="W9" s="27" t="s">
        <v>143</v>
      </c>
      <c r="X9" s="27" t="s">
        <v>132</v>
      </c>
      <c r="Y9" s="27" t="s">
        <v>140</v>
      </c>
      <c r="Z9" s="27" t="s">
        <v>141</v>
      </c>
      <c r="AA9" s="27" t="s">
        <v>142</v>
      </c>
      <c r="AB9" s="27" t="s">
        <v>25</v>
      </c>
    </row>
    <row r="10" spans="1:28" x14ac:dyDescent="0.2">
      <c r="W10" s="27" t="s">
        <v>144</v>
      </c>
      <c r="X10" s="27" t="s">
        <v>132</v>
      </c>
      <c r="Y10" s="27" t="s">
        <v>140</v>
      </c>
      <c r="Z10" s="27" t="s">
        <v>141</v>
      </c>
      <c r="AA10" s="27" t="s">
        <v>142</v>
      </c>
      <c r="AB10" s="27" t="s">
        <v>25</v>
      </c>
    </row>
    <row r="17" spans="23:23" x14ac:dyDescent="0.2">
      <c r="W17" s="80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M42"/>
  <sheetViews>
    <sheetView showGridLines="0" workbookViewId="0">
      <pane ySplit="11" topLeftCell="A12" activePane="bottomLeft" state="frozen"/>
      <selection activeCell="O4" sqref="O4"/>
      <selection pane="bottomLeft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4" width="12.7109375" style="6" customWidth="1"/>
    <col min="5" max="5" width="11.7109375" style="6" customWidth="1"/>
    <col min="6" max="7" width="7.7109375" style="6" customWidth="1"/>
    <col min="8" max="8" width="27.7109375" style="6" customWidth="1"/>
    <col min="9" max="9" width="15.42578125" style="6" hidden="1" customWidth="1"/>
    <col min="10" max="10" width="0" style="6" hidden="1" customWidth="1"/>
    <col min="11" max="11" width="1.7109375" style="6" customWidth="1"/>
    <col min="12" max="12" width="11.42578125" style="6"/>
    <col min="13" max="13" width="0" style="6" hidden="1" customWidth="1"/>
    <col min="14" max="16384" width="11.42578125" style="6"/>
  </cols>
  <sheetData>
    <row r="1" spans="1:13" ht="28.5" x14ac:dyDescent="0.45">
      <c r="A1" s="4"/>
      <c r="B1" s="1" t="s">
        <v>91</v>
      </c>
      <c r="C1" s="4"/>
      <c r="D1" s="4"/>
      <c r="E1" s="4"/>
      <c r="F1" s="4"/>
      <c r="G1" s="4"/>
      <c r="H1" s="4"/>
      <c r="I1" s="4"/>
      <c r="J1" s="4"/>
      <c r="K1" s="4"/>
      <c r="M1" s="6" t="s">
        <v>92</v>
      </c>
    </row>
    <row r="2" spans="1:13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"/>
      <c r="M2" s="6" t="s">
        <v>87</v>
      </c>
    </row>
    <row r="3" spans="1:13" ht="6" customHeight="1" x14ac:dyDescent="0.2">
      <c r="A3" s="7"/>
      <c r="B3" s="24"/>
      <c r="C3" s="8"/>
      <c r="D3" s="8"/>
      <c r="E3" s="8"/>
      <c r="F3" s="9"/>
      <c r="G3" s="7"/>
      <c r="H3" s="7"/>
      <c r="I3" s="7"/>
      <c r="J3" s="7"/>
      <c r="K3" s="7"/>
    </row>
    <row r="4" spans="1:13" ht="18" customHeight="1" x14ac:dyDescent="0.2">
      <c r="A4" s="7"/>
      <c r="B4" s="10" t="s">
        <v>67</v>
      </c>
      <c r="C4" s="17"/>
      <c r="D4" s="11" t="s">
        <v>79</v>
      </c>
      <c r="E4" s="54"/>
      <c r="F4" s="28"/>
      <c r="G4" s="7"/>
      <c r="H4" s="7"/>
      <c r="I4" s="7"/>
      <c r="J4" s="7"/>
      <c r="K4" s="7"/>
    </row>
    <row r="5" spans="1:13" ht="18" customHeight="1" x14ac:dyDescent="0.2">
      <c r="A5" s="7"/>
      <c r="B5" s="10" t="s">
        <v>77</v>
      </c>
      <c r="C5" s="54"/>
      <c r="D5" s="11" t="s">
        <v>80</v>
      </c>
      <c r="E5" s="54"/>
      <c r="F5" s="29"/>
      <c r="G5" s="7"/>
      <c r="H5" s="7"/>
      <c r="I5" s="7"/>
      <c r="J5" s="7"/>
      <c r="K5" s="7"/>
    </row>
    <row r="6" spans="1:13" ht="18" customHeight="1" x14ac:dyDescent="0.2">
      <c r="A6" s="7"/>
      <c r="B6" s="10" t="s">
        <v>93</v>
      </c>
      <c r="C6" s="54"/>
      <c r="D6" s="11" t="s">
        <v>78</v>
      </c>
      <c r="E6" s="99"/>
      <c r="F6" s="100"/>
      <c r="G6" s="7"/>
      <c r="H6" s="7"/>
      <c r="I6" s="7"/>
      <c r="J6" s="7"/>
      <c r="K6" s="7"/>
    </row>
    <row r="7" spans="1:13" ht="18" customHeight="1" x14ac:dyDescent="0.2">
      <c r="A7" s="7"/>
      <c r="B7" s="12" t="s">
        <v>70</v>
      </c>
      <c r="C7" s="54" t="str">
        <f>IF(C6="","",INDEX(TbBDDPoudre[Produit],MATCH(C6,TbBDDPoudre[Lieu],0)))</f>
        <v/>
      </c>
      <c r="D7" s="11"/>
      <c r="E7" s="101"/>
      <c r="F7" s="102"/>
      <c r="G7" s="7"/>
      <c r="H7" s="7"/>
      <c r="I7" s="7"/>
      <c r="J7" s="7"/>
      <c r="K7" s="7"/>
    </row>
    <row r="8" spans="1:13" ht="6" customHeight="1" x14ac:dyDescent="0.2">
      <c r="A8" s="7"/>
      <c r="B8" s="25"/>
      <c r="C8" s="13"/>
      <c r="D8" s="13"/>
      <c r="E8" s="13"/>
      <c r="F8" s="14"/>
      <c r="G8" s="7"/>
      <c r="H8" s="7"/>
      <c r="I8" s="7"/>
      <c r="J8" s="7"/>
      <c r="K8" s="7"/>
    </row>
    <row r="9" spans="1:13" ht="15" customHeight="1" x14ac:dyDescent="0.2">
      <c r="A9" s="7"/>
      <c r="B9" s="23" t="s">
        <v>68</v>
      </c>
      <c r="C9" s="21" t="str">
        <f t="array" ref="C9">IF($C$6="","",MAX(IF(TbMvtPoudre[Lieu]=$C$6,TbMvtPoudre[Date])))</f>
        <v/>
      </c>
      <c r="D9" s="95" t="s">
        <v>76</v>
      </c>
      <c r="E9" s="97">
        <f>IF(M2="","",INDEX(TbBDDPoudre[Réel],MATCH(M2,TbBDDPoudre[Lieu],0)))</f>
        <v>500</v>
      </c>
      <c r="F9" s="7"/>
      <c r="G9" s="7"/>
      <c r="H9" s="7"/>
      <c r="I9" s="7"/>
      <c r="J9" s="7"/>
      <c r="K9" s="7"/>
    </row>
    <row r="10" spans="1:13" ht="15" customHeight="1" x14ac:dyDescent="0.2">
      <c r="A10" s="7"/>
      <c r="B10" s="18" t="s">
        <v>95</v>
      </c>
      <c r="C10" s="71">
        <f>'Graphique poudre'!G13</f>
        <v>20</v>
      </c>
      <c r="D10" s="96"/>
      <c r="E10" s="98"/>
      <c r="F10" s="7"/>
      <c r="G10" s="7"/>
      <c r="H10" s="7"/>
      <c r="I10" s="7"/>
      <c r="J10" s="7"/>
      <c r="K10" s="7"/>
    </row>
    <row r="11" spans="1:13" ht="15" customHeight="1" x14ac:dyDescent="0.2">
      <c r="B11" s="15" t="s">
        <v>0</v>
      </c>
      <c r="C11" s="15" t="s">
        <v>35</v>
      </c>
      <c r="D11" s="15" t="s">
        <v>70</v>
      </c>
      <c r="E11" s="15" t="s">
        <v>4</v>
      </c>
      <c r="F11" s="15" t="s">
        <v>74</v>
      </c>
      <c r="G11" s="15" t="s">
        <v>75</v>
      </c>
      <c r="H11" s="15" t="s">
        <v>78</v>
      </c>
      <c r="I11" s="15" t="s">
        <v>33</v>
      </c>
      <c r="J11" s="15" t="s">
        <v>34</v>
      </c>
    </row>
    <row r="12" spans="1:13" x14ac:dyDescent="0.2">
      <c r="B12" s="16">
        <v>42740</v>
      </c>
      <c r="C12" s="6" t="s">
        <v>17</v>
      </c>
      <c r="D12" s="6" t="s">
        <v>89</v>
      </c>
      <c r="E12" s="15" t="s">
        <v>5</v>
      </c>
      <c r="F12" s="15"/>
      <c r="G12" s="15">
        <v>100</v>
      </c>
      <c r="I12" s="6" t="str">
        <f>TEXT(B12,"mmmm")</f>
        <v>janvier</v>
      </c>
      <c r="J12" s="6" t="str">
        <f>TEXT(B12,"aaaa")</f>
        <v>2017</v>
      </c>
    </row>
    <row r="13" spans="1:13" x14ac:dyDescent="0.2">
      <c r="B13" s="16">
        <v>42740</v>
      </c>
      <c r="C13" s="6" t="s">
        <v>18</v>
      </c>
      <c r="D13" s="6" t="s">
        <v>89</v>
      </c>
      <c r="E13" s="15" t="s">
        <v>12</v>
      </c>
      <c r="F13" s="15"/>
      <c r="G13" s="15">
        <v>100</v>
      </c>
      <c r="I13" s="6" t="str">
        <f t="shared" ref="I13:I27" si="0">TEXT(B13,"mmmm")</f>
        <v>janvier</v>
      </c>
      <c r="J13" s="6" t="str">
        <f t="shared" ref="J13:J27" si="1">TEXT(B13,"aaaa")</f>
        <v>2017</v>
      </c>
    </row>
    <row r="14" spans="1:13" x14ac:dyDescent="0.2">
      <c r="B14" s="16">
        <v>42740</v>
      </c>
      <c r="C14" s="6" t="s">
        <v>27</v>
      </c>
      <c r="D14" s="6" t="s">
        <v>89</v>
      </c>
      <c r="E14" s="15" t="s">
        <v>87</v>
      </c>
      <c r="F14" s="15"/>
      <c r="G14" s="15">
        <v>200</v>
      </c>
      <c r="I14" s="6" t="str">
        <f t="shared" si="0"/>
        <v>janvier</v>
      </c>
      <c r="J14" s="6" t="str">
        <f t="shared" si="1"/>
        <v>2017</v>
      </c>
    </row>
    <row r="15" spans="1:13" x14ac:dyDescent="0.2">
      <c r="B15" s="16">
        <v>42740</v>
      </c>
      <c r="C15" s="6" t="s">
        <v>14</v>
      </c>
      <c r="D15" s="6" t="s">
        <v>89</v>
      </c>
      <c r="E15" s="15" t="s">
        <v>5</v>
      </c>
      <c r="F15" s="15">
        <v>100</v>
      </c>
      <c r="G15" s="15"/>
      <c r="I15" s="6" t="str">
        <f t="shared" si="0"/>
        <v>janvier</v>
      </c>
      <c r="J15" s="6" t="str">
        <f t="shared" si="1"/>
        <v>2017</v>
      </c>
    </row>
    <row r="16" spans="1:13" x14ac:dyDescent="0.2">
      <c r="B16" s="16">
        <v>42740</v>
      </c>
      <c r="C16" s="6" t="s">
        <v>15</v>
      </c>
      <c r="D16" s="6" t="s">
        <v>89</v>
      </c>
      <c r="E16" s="15" t="s">
        <v>12</v>
      </c>
      <c r="F16" s="15">
        <v>100</v>
      </c>
      <c r="G16" s="15"/>
      <c r="I16" s="6" t="str">
        <f t="shared" si="0"/>
        <v>janvier</v>
      </c>
      <c r="J16" s="6" t="str">
        <f t="shared" si="1"/>
        <v>2017</v>
      </c>
    </row>
    <row r="17" spans="2:10" x14ac:dyDescent="0.2">
      <c r="B17" s="16">
        <v>42776</v>
      </c>
      <c r="C17" s="6" t="s">
        <v>8</v>
      </c>
      <c r="D17" s="6" t="s">
        <v>89</v>
      </c>
      <c r="E17" s="15" t="s">
        <v>5</v>
      </c>
      <c r="F17" s="15"/>
      <c r="G17" s="15">
        <v>50</v>
      </c>
      <c r="I17" s="6" t="str">
        <f t="shared" si="0"/>
        <v>février</v>
      </c>
      <c r="J17" s="6" t="str">
        <f t="shared" si="1"/>
        <v>2017</v>
      </c>
    </row>
    <row r="18" spans="2:10" x14ac:dyDescent="0.2">
      <c r="B18" s="16">
        <v>42776</v>
      </c>
      <c r="C18" s="6" t="s">
        <v>11</v>
      </c>
      <c r="D18" s="6" t="s">
        <v>89</v>
      </c>
      <c r="E18" s="15" t="s">
        <v>12</v>
      </c>
      <c r="F18" s="15"/>
      <c r="G18" s="15">
        <v>50</v>
      </c>
      <c r="I18" s="6" t="str">
        <f t="shared" si="0"/>
        <v>février</v>
      </c>
      <c r="J18" s="6" t="str">
        <f t="shared" si="1"/>
        <v>2017</v>
      </c>
    </row>
    <row r="19" spans="2:10" x14ac:dyDescent="0.2">
      <c r="B19" s="16">
        <v>42776</v>
      </c>
      <c r="C19" s="6" t="s">
        <v>19</v>
      </c>
      <c r="D19" s="6" t="s">
        <v>89</v>
      </c>
      <c r="E19" s="15" t="s">
        <v>87</v>
      </c>
      <c r="F19" s="15"/>
      <c r="G19" s="15">
        <v>100</v>
      </c>
      <c r="I19" s="6" t="str">
        <f t="shared" si="0"/>
        <v>février</v>
      </c>
      <c r="J19" s="6" t="str">
        <f t="shared" si="1"/>
        <v>2017</v>
      </c>
    </row>
    <row r="20" spans="2:10" x14ac:dyDescent="0.2">
      <c r="B20" s="16">
        <v>42776</v>
      </c>
      <c r="C20" s="6" t="s">
        <v>30</v>
      </c>
      <c r="D20" s="6" t="s">
        <v>89</v>
      </c>
      <c r="E20" s="15" t="s">
        <v>5</v>
      </c>
      <c r="F20" s="15">
        <v>50</v>
      </c>
      <c r="G20" s="15"/>
      <c r="I20" s="6" t="str">
        <f t="shared" si="0"/>
        <v>février</v>
      </c>
      <c r="J20" s="6" t="str">
        <f t="shared" si="1"/>
        <v>2017</v>
      </c>
    </row>
    <row r="21" spans="2:10" x14ac:dyDescent="0.2">
      <c r="B21" s="16">
        <v>42776</v>
      </c>
      <c r="C21" s="6" t="s">
        <v>16</v>
      </c>
      <c r="D21" s="6" t="s">
        <v>89</v>
      </c>
      <c r="E21" s="15" t="s">
        <v>12</v>
      </c>
      <c r="F21" s="15">
        <v>50</v>
      </c>
      <c r="G21" s="15"/>
      <c r="I21" s="6" t="str">
        <f t="shared" si="0"/>
        <v>février</v>
      </c>
      <c r="J21" s="6" t="str">
        <f t="shared" si="1"/>
        <v>2017</v>
      </c>
    </row>
    <row r="22" spans="2:10" x14ac:dyDescent="0.2">
      <c r="B22" s="16">
        <v>42776</v>
      </c>
      <c r="C22" s="6" t="s">
        <v>31</v>
      </c>
      <c r="D22" s="6" t="s">
        <v>89</v>
      </c>
      <c r="E22" s="15" t="s">
        <v>87</v>
      </c>
      <c r="F22" s="15">
        <v>300</v>
      </c>
      <c r="G22" s="15"/>
      <c r="I22" s="6" t="str">
        <f t="shared" si="0"/>
        <v>février</v>
      </c>
      <c r="J22" s="6" t="str">
        <f t="shared" si="1"/>
        <v>2017</v>
      </c>
    </row>
    <row r="23" spans="2:10" x14ac:dyDescent="0.2">
      <c r="B23" s="16">
        <v>42809</v>
      </c>
      <c r="C23" s="6" t="s">
        <v>90</v>
      </c>
      <c r="D23" s="6" t="s">
        <v>89</v>
      </c>
      <c r="E23" s="15" t="s">
        <v>5</v>
      </c>
      <c r="F23" s="15"/>
      <c r="G23" s="15">
        <v>50</v>
      </c>
      <c r="I23" s="6" t="str">
        <f t="shared" si="0"/>
        <v>mars</v>
      </c>
      <c r="J23" s="6" t="str">
        <f t="shared" si="1"/>
        <v>2017</v>
      </c>
    </row>
    <row r="24" spans="2:10" x14ac:dyDescent="0.2">
      <c r="B24" s="16">
        <v>42809</v>
      </c>
      <c r="C24" s="6" t="s">
        <v>14</v>
      </c>
      <c r="D24" s="6" t="s">
        <v>89</v>
      </c>
      <c r="E24" s="15" t="s">
        <v>12</v>
      </c>
      <c r="F24" s="15"/>
      <c r="G24" s="15">
        <v>75</v>
      </c>
      <c r="I24" s="6" t="str">
        <f t="shared" si="0"/>
        <v>mars</v>
      </c>
      <c r="J24" s="6" t="str">
        <f t="shared" si="1"/>
        <v>2017</v>
      </c>
    </row>
    <row r="25" spans="2:10" x14ac:dyDescent="0.2">
      <c r="B25" s="16">
        <v>42809</v>
      </c>
      <c r="C25" s="6" t="s">
        <v>15</v>
      </c>
      <c r="D25" s="6" t="s">
        <v>89</v>
      </c>
      <c r="E25" s="15" t="s">
        <v>87</v>
      </c>
      <c r="F25" s="15"/>
      <c r="G25" s="15">
        <v>125</v>
      </c>
      <c r="I25" s="6" t="str">
        <f t="shared" si="0"/>
        <v>mars</v>
      </c>
      <c r="J25" s="6" t="str">
        <f t="shared" si="1"/>
        <v>2017</v>
      </c>
    </row>
    <row r="26" spans="2:10" x14ac:dyDescent="0.2">
      <c r="B26" s="16">
        <v>42809</v>
      </c>
      <c r="C26" s="6" t="s">
        <v>16</v>
      </c>
      <c r="D26" s="6" t="s">
        <v>89</v>
      </c>
      <c r="E26" s="15" t="s">
        <v>5</v>
      </c>
      <c r="F26" s="15">
        <v>50</v>
      </c>
      <c r="G26" s="15"/>
      <c r="I26" s="6" t="str">
        <f t="shared" si="0"/>
        <v>mars</v>
      </c>
      <c r="J26" s="6" t="str">
        <f t="shared" si="1"/>
        <v>2017</v>
      </c>
    </row>
    <row r="27" spans="2:10" x14ac:dyDescent="0.2">
      <c r="B27" s="16">
        <v>42809</v>
      </c>
      <c r="C27" s="6" t="s">
        <v>30</v>
      </c>
      <c r="D27" s="6" t="s">
        <v>89</v>
      </c>
      <c r="E27" s="15" t="s">
        <v>12</v>
      </c>
      <c r="F27" s="15">
        <v>75</v>
      </c>
      <c r="G27" s="15"/>
      <c r="I27" s="6" t="str">
        <f t="shared" si="0"/>
        <v>mars</v>
      </c>
      <c r="J27" s="6" t="str">
        <f t="shared" si="1"/>
        <v>2017</v>
      </c>
    </row>
    <row r="28" spans="2:10" x14ac:dyDescent="0.2">
      <c r="B28" s="16">
        <v>43088.643333333333</v>
      </c>
      <c r="C28" s="6" t="s">
        <v>11</v>
      </c>
      <c r="D28" s="6" t="s">
        <v>89</v>
      </c>
      <c r="E28" s="15" t="s">
        <v>5</v>
      </c>
      <c r="F28" s="15"/>
      <c r="G28" s="15">
        <v>200</v>
      </c>
      <c r="H28" s="6" t="s">
        <v>123</v>
      </c>
      <c r="I28" s="6" t="str">
        <f t="shared" ref="I28:I42" si="2">TEXT(B28,"mmmm")</f>
        <v>décembre</v>
      </c>
      <c r="J28" s="6" t="str">
        <f t="shared" ref="J28:J42" si="3">TEXT(B28,"aaaa")</f>
        <v>2017</v>
      </c>
    </row>
    <row r="29" spans="2:10" x14ac:dyDescent="0.2">
      <c r="B29" s="16">
        <v>43088.914571759262</v>
      </c>
      <c r="C29" s="6" t="s">
        <v>8</v>
      </c>
      <c r="D29" s="6" t="s">
        <v>89</v>
      </c>
      <c r="E29" s="15" t="s">
        <v>87</v>
      </c>
      <c r="F29" s="15">
        <v>125</v>
      </c>
      <c r="G29" s="15"/>
      <c r="I29" s="6" t="str">
        <f t="shared" si="2"/>
        <v>décembre</v>
      </c>
      <c r="J29" s="6" t="str">
        <f t="shared" si="3"/>
        <v>2017</v>
      </c>
    </row>
    <row r="30" spans="2:10" x14ac:dyDescent="0.2">
      <c r="B30" s="16">
        <v>43088.914861111109</v>
      </c>
      <c r="C30" s="6" t="s">
        <v>8</v>
      </c>
      <c r="D30" s="6" t="s">
        <v>89</v>
      </c>
      <c r="E30" s="15" t="s">
        <v>5</v>
      </c>
      <c r="F30" s="15">
        <v>200</v>
      </c>
      <c r="G30" s="15"/>
      <c r="I30" s="6" t="str">
        <f t="shared" si="2"/>
        <v>décembre</v>
      </c>
      <c r="J30" s="6" t="str">
        <f t="shared" si="3"/>
        <v>2017</v>
      </c>
    </row>
    <row r="31" spans="2:10" x14ac:dyDescent="0.2">
      <c r="B31" s="16">
        <v>43097</v>
      </c>
      <c r="C31" s="6" t="s">
        <v>15</v>
      </c>
      <c r="D31" s="6" t="s">
        <v>89</v>
      </c>
      <c r="E31" s="15" t="s">
        <v>87</v>
      </c>
      <c r="F31" s="15"/>
      <c r="G31" s="15">
        <v>50</v>
      </c>
      <c r="H31" s="6" t="s">
        <v>124</v>
      </c>
      <c r="I31" s="6" t="str">
        <f t="shared" si="2"/>
        <v>décembre</v>
      </c>
      <c r="J31" s="6" t="str">
        <f t="shared" si="3"/>
        <v>2017</v>
      </c>
    </row>
    <row r="32" spans="2:10" x14ac:dyDescent="0.2">
      <c r="B32" s="16">
        <v>43117</v>
      </c>
      <c r="C32" s="6" t="s">
        <v>14</v>
      </c>
      <c r="D32" s="6" t="s">
        <v>89</v>
      </c>
      <c r="E32" s="15" t="s">
        <v>87</v>
      </c>
      <c r="F32" s="15">
        <v>125</v>
      </c>
      <c r="G32" s="15"/>
      <c r="H32" s="6" t="s">
        <v>96</v>
      </c>
      <c r="I32" s="6" t="str">
        <f t="shared" si="2"/>
        <v>janvier</v>
      </c>
      <c r="J32" s="6" t="str">
        <f t="shared" si="3"/>
        <v>2018</v>
      </c>
    </row>
    <row r="33" spans="2:10" x14ac:dyDescent="0.2">
      <c r="B33" s="16">
        <v>43117</v>
      </c>
      <c r="C33" s="6" t="s">
        <v>14</v>
      </c>
      <c r="D33" s="6" t="s">
        <v>89</v>
      </c>
      <c r="E33" s="15" t="s">
        <v>87</v>
      </c>
      <c r="F33" s="15">
        <v>500</v>
      </c>
      <c r="G33" s="15"/>
      <c r="H33" s="6" t="s">
        <v>125</v>
      </c>
      <c r="I33" s="6" t="str">
        <f t="shared" si="2"/>
        <v>janvier</v>
      </c>
      <c r="J33" s="6" t="str">
        <f t="shared" si="3"/>
        <v>2018</v>
      </c>
    </row>
    <row r="34" spans="2:10" x14ac:dyDescent="0.2">
      <c r="B34" s="16">
        <v>43143</v>
      </c>
      <c r="C34" s="6" t="s">
        <v>18</v>
      </c>
      <c r="D34" s="6" t="s">
        <v>89</v>
      </c>
      <c r="E34" s="15" t="s">
        <v>5</v>
      </c>
      <c r="F34" s="15"/>
      <c r="G34" s="15">
        <v>75</v>
      </c>
      <c r="I34" s="6" t="str">
        <f t="shared" si="2"/>
        <v>février</v>
      </c>
      <c r="J34" s="6" t="str">
        <f t="shared" si="3"/>
        <v>2018</v>
      </c>
    </row>
    <row r="35" spans="2:10" x14ac:dyDescent="0.2">
      <c r="B35" s="16">
        <v>43145</v>
      </c>
      <c r="C35" s="6" t="s">
        <v>31</v>
      </c>
      <c r="D35" s="6" t="s">
        <v>89</v>
      </c>
      <c r="E35" s="15" t="s">
        <v>87</v>
      </c>
      <c r="F35" s="15"/>
      <c r="G35" s="15">
        <v>75</v>
      </c>
      <c r="I35" s="6" t="str">
        <f t="shared" si="2"/>
        <v>février</v>
      </c>
      <c r="J35" s="6" t="str">
        <f t="shared" si="3"/>
        <v>2018</v>
      </c>
    </row>
    <row r="36" spans="2:10" x14ac:dyDescent="0.2">
      <c r="B36" s="16">
        <v>43145</v>
      </c>
      <c r="C36" s="6" t="s">
        <v>31</v>
      </c>
      <c r="D36" s="6" t="s">
        <v>89</v>
      </c>
      <c r="E36" s="15" t="s">
        <v>5</v>
      </c>
      <c r="F36" s="15">
        <v>75</v>
      </c>
      <c r="G36" s="15"/>
      <c r="I36" s="6" t="str">
        <f t="shared" si="2"/>
        <v>février</v>
      </c>
      <c r="J36" s="6" t="str">
        <f t="shared" si="3"/>
        <v>2018</v>
      </c>
    </row>
    <row r="37" spans="2:10" x14ac:dyDescent="0.2">
      <c r="B37" s="16">
        <v>43145</v>
      </c>
      <c r="C37" s="6" t="s">
        <v>31</v>
      </c>
      <c r="D37" s="6" t="s">
        <v>89</v>
      </c>
      <c r="E37" s="15" t="s">
        <v>5</v>
      </c>
      <c r="F37" s="15"/>
      <c r="G37" s="15">
        <v>250</v>
      </c>
      <c r="I37" s="6" t="str">
        <f t="shared" si="2"/>
        <v>février</v>
      </c>
      <c r="J37" s="6" t="str">
        <f t="shared" si="3"/>
        <v>2018</v>
      </c>
    </row>
    <row r="38" spans="2:10" x14ac:dyDescent="0.2">
      <c r="B38" s="16">
        <v>43176</v>
      </c>
      <c r="C38" s="6" t="s">
        <v>16</v>
      </c>
      <c r="D38" s="6" t="s">
        <v>89</v>
      </c>
      <c r="E38" s="15" t="s">
        <v>87</v>
      </c>
      <c r="F38" s="15"/>
      <c r="G38" s="15">
        <v>250</v>
      </c>
      <c r="I38" s="6" t="str">
        <f t="shared" si="2"/>
        <v>mars</v>
      </c>
      <c r="J38" s="6" t="str">
        <f t="shared" si="3"/>
        <v>2018</v>
      </c>
    </row>
    <row r="39" spans="2:10" x14ac:dyDescent="0.2">
      <c r="B39" s="16">
        <v>43176</v>
      </c>
      <c r="C39" s="6" t="s">
        <v>16</v>
      </c>
      <c r="D39" s="6" t="s">
        <v>89</v>
      </c>
      <c r="E39" s="15" t="s">
        <v>5</v>
      </c>
      <c r="F39" s="15">
        <v>250</v>
      </c>
      <c r="G39" s="15"/>
      <c r="I39" s="6" t="str">
        <f t="shared" si="2"/>
        <v>mars</v>
      </c>
      <c r="J39" s="6" t="str">
        <f t="shared" si="3"/>
        <v>2018</v>
      </c>
    </row>
    <row r="40" spans="2:10" x14ac:dyDescent="0.2">
      <c r="B40" s="16">
        <v>43223</v>
      </c>
      <c r="C40" s="6" t="s">
        <v>16</v>
      </c>
      <c r="D40" s="6" t="s">
        <v>89</v>
      </c>
      <c r="E40" s="15" t="s">
        <v>12</v>
      </c>
      <c r="F40" s="15"/>
      <c r="G40" s="15">
        <v>250</v>
      </c>
      <c r="H40" s="6" t="s">
        <v>126</v>
      </c>
      <c r="I40" s="6" t="str">
        <f t="shared" si="2"/>
        <v>mai</v>
      </c>
      <c r="J40" s="6" t="str">
        <f t="shared" si="3"/>
        <v>2018</v>
      </c>
    </row>
    <row r="41" spans="2:10" x14ac:dyDescent="0.2">
      <c r="B41" s="16">
        <v>43223</v>
      </c>
      <c r="C41" s="6" t="s">
        <v>16</v>
      </c>
      <c r="D41" s="6" t="s">
        <v>89</v>
      </c>
      <c r="E41" s="15" t="s">
        <v>87</v>
      </c>
      <c r="F41" s="15"/>
      <c r="G41" s="15">
        <v>250</v>
      </c>
      <c r="H41" s="6" t="s">
        <v>126</v>
      </c>
      <c r="I41" s="6" t="str">
        <f t="shared" si="2"/>
        <v>mai</v>
      </c>
      <c r="J41" s="6" t="str">
        <f t="shared" si="3"/>
        <v>2018</v>
      </c>
    </row>
    <row r="42" spans="2:10" x14ac:dyDescent="0.2">
      <c r="B42" s="16">
        <v>43223</v>
      </c>
      <c r="C42" s="6" t="s">
        <v>16</v>
      </c>
      <c r="D42" s="6" t="s">
        <v>89</v>
      </c>
      <c r="E42" s="15" t="s">
        <v>12</v>
      </c>
      <c r="F42" s="15">
        <v>250</v>
      </c>
      <c r="G42" s="15"/>
      <c r="H42" s="6" t="s">
        <v>126</v>
      </c>
      <c r="I42" s="6" t="str">
        <f t="shared" si="2"/>
        <v>mai</v>
      </c>
      <c r="J42" s="6" t="str">
        <f t="shared" si="3"/>
        <v>2018</v>
      </c>
    </row>
  </sheetData>
  <mergeCells count="3">
    <mergeCell ref="D9:D10"/>
    <mergeCell ref="E9:E10"/>
    <mergeCell ref="E6:F7"/>
  </mergeCells>
  <conditionalFormatting sqref="A11:A42 K11:K42">
    <cfRule type="expression" dxfId="13" priority="27">
      <formula>$B11&lt;&gt;""</formula>
    </cfRule>
  </conditionalFormatting>
  <conditionalFormatting sqref="A44:A1048576 K44:K1048576">
    <cfRule type="expression" dxfId="12" priority="29">
      <formula>$B43&lt;&gt;""</formula>
    </cfRule>
  </conditionalFormatting>
  <conditionalFormatting sqref="A43 K43">
    <cfRule type="expression" dxfId="11" priority="30">
      <formula>#REF!&lt;&gt;""</formula>
    </cfRule>
  </conditionalFormatting>
  <dataValidations count="3">
    <dataValidation type="list" allowBlank="1" showInputMessage="1" showErrorMessage="1" sqref="C6">
      <formula1>List_LieuPoudre</formula1>
    </dataValidation>
    <dataValidation type="list" allowBlank="1" showInputMessage="1" showErrorMessage="1" sqref="E4">
      <formula1>List_MvtES</formula1>
    </dataValidation>
    <dataValidation type="list" allowBlank="1" showInputMessage="1" showErrorMessage="1" sqref="C5">
      <formula1>ListAgent</formula1>
    </dataValidation>
  </dataValidations>
  <pageMargins left="0.39370078740157483" right="0.39370078740157483" top="0.39370078740157483" bottom="0.19685039370078741" header="0.31496062992125984" footer="0.11811023622047245"/>
  <pageSetup paperSize="9" scale="89" orientation="portrait" r:id="rId1"/>
  <drawing r:id="rId2"/>
  <legacyDrawing r:id="rId3"/>
  <controls>
    <mc:AlternateContent xmlns:mc="http://schemas.openxmlformats.org/markup-compatibility/2006">
      <mc:Choice Requires="x14">
        <control shapeId="36866" r:id="rId4" name="CommandButton1">
          <controlPr locked="0" defaultSize="0" autoLine="0" r:id="rId5">
            <anchor moveWithCells="1">
              <from>
                <xdr:col>7</xdr:col>
                <xdr:colOff>219075</xdr:colOff>
                <xdr:row>6</xdr:row>
                <xdr:rowOff>180975</xdr:rowOff>
              </from>
              <to>
                <xdr:col>7</xdr:col>
                <xdr:colOff>1838325</xdr:colOff>
                <xdr:row>9</xdr:row>
                <xdr:rowOff>9525</xdr:rowOff>
              </to>
            </anchor>
          </controlPr>
        </control>
      </mc:Choice>
      <mc:Fallback>
        <control shapeId="36866" r:id="rId4" name="CommandButton1"/>
      </mc:Fallback>
    </mc:AlternateContent>
    <mc:AlternateContent xmlns:mc="http://schemas.openxmlformats.org/markup-compatibility/2006">
      <mc:Choice Requires="x14">
        <control shapeId="36867" r:id="rId6" name="CommandButton2">
          <controlPr locked="0"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161925</xdr:colOff>
                <xdr:row>9</xdr:row>
                <xdr:rowOff>9525</xdr:rowOff>
              </to>
            </anchor>
          </controlPr>
        </control>
      </mc:Choice>
      <mc:Fallback>
        <control shapeId="36867" r:id="rId6" name="CommandButton2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E72907B-DF8C-452E-93D7-594E268802E2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N24"/>
  <sheetViews>
    <sheetView showGridLines="0" workbookViewId="0">
      <pane ySplit="11" topLeftCell="A12" activePane="bottomLeft" state="frozen"/>
      <selection pane="bottomLeft" activeCell="P7" sqref="P7"/>
    </sheetView>
  </sheetViews>
  <sheetFormatPr baseColWidth="10" defaultRowHeight="12.75" x14ac:dyDescent="0.2"/>
  <cols>
    <col min="1" max="1" width="1.7109375" style="6" customWidth="1"/>
    <col min="2" max="2" width="11.7109375" style="6" customWidth="1"/>
    <col min="3" max="3" width="23.7109375" style="6" customWidth="1"/>
    <col min="4" max="6" width="11.7109375" style="6" customWidth="1"/>
    <col min="7" max="11" width="13.7109375" style="6" customWidth="1"/>
    <col min="12" max="13" width="0" style="6" hidden="1" customWidth="1"/>
    <col min="14" max="14" width="1.7109375" style="6" customWidth="1"/>
    <col min="15" max="16384" width="11.42578125" style="6"/>
  </cols>
  <sheetData>
    <row r="1" spans="1:14" ht="28.5" x14ac:dyDescent="0.45">
      <c r="A1" s="4"/>
      <c r="B1" s="1" t="s">
        <v>110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3" spans="1:14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</row>
    <row r="4" spans="1:14" ht="25.5" x14ac:dyDescent="0.2">
      <c r="A4" s="7"/>
      <c r="B4" s="52" t="s">
        <v>67</v>
      </c>
      <c r="C4" s="55"/>
      <c r="D4" s="60" t="s">
        <v>116</v>
      </c>
      <c r="E4" s="73"/>
      <c r="F4" s="53" t="s">
        <v>117</v>
      </c>
      <c r="G4" s="58" t="str">
        <f t="array" ref="G4">IF($C$6="","",MAX(IF(TbMvtSphere[Véhicule]=$C$6,TbMvtSphere[Prochaine inspection])))</f>
        <v/>
      </c>
      <c r="H4" s="28"/>
      <c r="I4" s="7"/>
      <c r="J4" s="7"/>
      <c r="K4" s="7"/>
      <c r="L4" s="7"/>
      <c r="M4" s="7"/>
      <c r="N4" s="7"/>
    </row>
    <row r="5" spans="1:14" ht="25.5" x14ac:dyDescent="0.2">
      <c r="A5" s="7"/>
      <c r="B5" s="52" t="s">
        <v>77</v>
      </c>
      <c r="C5" s="56"/>
      <c r="D5" s="60"/>
      <c r="E5" s="50"/>
      <c r="F5" s="51" t="s">
        <v>118</v>
      </c>
      <c r="G5" s="58" t="str">
        <f t="array" ref="G5">IF($C$6="","",MAX(IF(TbMvtSphere[Véhicule]=$C$6,TbMvtSphere[Prochaine qualification])))</f>
        <v/>
      </c>
      <c r="H5" s="28"/>
      <c r="I5" s="7"/>
      <c r="J5" s="7"/>
      <c r="K5" s="7"/>
      <c r="L5" s="7"/>
      <c r="M5" s="7"/>
      <c r="N5" s="7"/>
    </row>
    <row r="6" spans="1:14" ht="25.5" x14ac:dyDescent="0.2">
      <c r="A6" s="7"/>
      <c r="B6" s="10" t="s">
        <v>93</v>
      </c>
      <c r="C6" s="54"/>
      <c r="D6" s="62" t="s">
        <v>115</v>
      </c>
      <c r="E6" s="74"/>
      <c r="F6" s="50"/>
      <c r="G6" s="50"/>
      <c r="H6" s="28"/>
      <c r="I6" s="7"/>
      <c r="J6" s="7"/>
      <c r="K6" s="7"/>
      <c r="L6" s="7"/>
      <c r="M6" s="7"/>
      <c r="N6" s="7"/>
    </row>
    <row r="7" spans="1:14" ht="25.5" x14ac:dyDescent="0.2">
      <c r="A7" s="7"/>
      <c r="B7" s="61" t="s">
        <v>103</v>
      </c>
      <c r="C7" s="57" t="str">
        <f>IF(C6="","",INDEX(TbBDDSphere[Fabriquant],MATCH(C6,TbBDDSphere[Véhicule],0)))</f>
        <v/>
      </c>
      <c r="D7" s="51" t="s">
        <v>102</v>
      </c>
      <c r="E7" s="57" t="str">
        <f>IF(C6="","",INDEX(TbBDDSphere[N° Identification],MATCH(C6,TbBDDSphere[Véhicule],0)))</f>
        <v/>
      </c>
      <c r="F7" s="51" t="s">
        <v>104</v>
      </c>
      <c r="G7" s="59" t="str">
        <f>IF(C6="","",INDEX(TbBDDSphere[Année Fabrication],MATCH(C6,TbBDDSphere[Véhicule],0)))</f>
        <v/>
      </c>
      <c r="H7" s="28"/>
      <c r="I7" s="7"/>
      <c r="J7" s="7"/>
      <c r="K7" s="7"/>
      <c r="L7" s="7"/>
      <c r="M7" s="7"/>
      <c r="N7" s="7"/>
    </row>
    <row r="8" spans="1:14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</row>
    <row r="9" spans="1:14" ht="15" customHeight="1" x14ac:dyDescent="0.2">
      <c r="A9" s="7"/>
      <c r="B9" s="23" t="s">
        <v>68</v>
      </c>
      <c r="C9" s="21" t="str">
        <f t="array" ref="C9">IF($C$6="","",MAX(IF(TbMvtSphere[Véhicule]=$C$6,TbMvtSphere[Date])))</f>
        <v/>
      </c>
      <c r="D9" s="95"/>
      <c r="E9" s="97"/>
      <c r="F9" s="7"/>
      <c r="G9" s="7"/>
      <c r="H9" s="7"/>
      <c r="I9" s="7"/>
      <c r="J9" s="7"/>
      <c r="K9" s="7"/>
      <c r="L9" s="7"/>
      <c r="M9" s="7"/>
      <c r="N9" s="7"/>
    </row>
    <row r="10" spans="1:14" ht="15" hidden="1" customHeight="1" x14ac:dyDescent="0.2">
      <c r="A10" s="7"/>
      <c r="B10" s="18"/>
      <c r="C10" s="41"/>
      <c r="D10" s="96"/>
      <c r="E10" s="98"/>
      <c r="F10" s="7"/>
      <c r="G10" s="7"/>
      <c r="H10" s="7"/>
      <c r="I10" s="7"/>
      <c r="J10" s="7"/>
      <c r="K10" s="7"/>
      <c r="L10" s="7"/>
      <c r="M10" s="7"/>
      <c r="N10" s="7"/>
    </row>
    <row r="11" spans="1:14" ht="25.5" x14ac:dyDescent="0.2">
      <c r="B11" s="37" t="s">
        <v>0</v>
      </c>
      <c r="C11" s="37" t="s">
        <v>35</v>
      </c>
      <c r="D11" s="37" t="s">
        <v>1</v>
      </c>
      <c r="E11" s="37" t="s">
        <v>102</v>
      </c>
      <c r="F11" s="37" t="s">
        <v>103</v>
      </c>
      <c r="G11" s="37" t="s">
        <v>104</v>
      </c>
      <c r="H11" s="37" t="s">
        <v>105</v>
      </c>
      <c r="I11" s="37" t="s">
        <v>106</v>
      </c>
      <c r="J11" s="37" t="s">
        <v>107</v>
      </c>
      <c r="K11" s="37" t="s">
        <v>114</v>
      </c>
      <c r="L11" s="37" t="s">
        <v>33</v>
      </c>
      <c r="M11" s="37" t="s">
        <v>34</v>
      </c>
    </row>
    <row r="12" spans="1:14" x14ac:dyDescent="0.2">
      <c r="B12" s="31">
        <v>42740</v>
      </c>
      <c r="C12" s="6" t="s">
        <v>17</v>
      </c>
      <c r="D12" s="15" t="s">
        <v>5</v>
      </c>
      <c r="E12" s="15">
        <v>31420</v>
      </c>
      <c r="F12" s="15" t="s">
        <v>108</v>
      </c>
      <c r="G12" s="49">
        <v>39264</v>
      </c>
      <c r="H12" s="49">
        <v>39264</v>
      </c>
      <c r="I12" s="49">
        <f>IF(H12="","",DATE(YEAR(H12),MONTH(H12)+40,DAY(H12)))</f>
        <v>40483</v>
      </c>
      <c r="J12" s="49">
        <v>39264</v>
      </c>
      <c r="K12" s="49">
        <f>IF(J12="","",DATE(YEAR(J12)+10,MONTH(J12),DAY(J12)))</f>
        <v>42917</v>
      </c>
      <c r="L12" s="6" t="str">
        <f>TEXT(B12,"mmmm")</f>
        <v>janvier</v>
      </c>
      <c r="M12" s="6" t="str">
        <f>TEXT(B12,"aaaa")</f>
        <v>2017</v>
      </c>
    </row>
    <row r="13" spans="1:14" x14ac:dyDescent="0.2">
      <c r="B13" s="31">
        <v>42776</v>
      </c>
      <c r="C13" s="6" t="s">
        <v>18</v>
      </c>
      <c r="D13" s="15" t="s">
        <v>12</v>
      </c>
      <c r="E13" s="15">
        <v>9710149</v>
      </c>
      <c r="F13" s="15" t="s">
        <v>109</v>
      </c>
      <c r="G13" s="49">
        <v>35612</v>
      </c>
      <c r="H13" s="49">
        <v>35612</v>
      </c>
      <c r="I13" s="49">
        <f t="shared" ref="I13:I23" si="0">IF(H13="","",DATE(YEAR(H13),MONTH(H13)+40,DAY(H13)))</f>
        <v>36831</v>
      </c>
      <c r="J13" s="49">
        <v>35612</v>
      </c>
      <c r="K13" s="49">
        <f t="shared" ref="K13:K23" si="1">IF(J13="","",DATE(YEAR(J13)+10,MONTH(J13),DAY(J13)))</f>
        <v>39264</v>
      </c>
      <c r="L13" s="6" t="str">
        <f t="shared" ref="L13:L23" si="2">TEXT(B13,"mmmm")</f>
        <v>février</v>
      </c>
      <c r="M13" s="6" t="str">
        <f t="shared" ref="M13:M23" si="3">TEXT(B13,"aaaa")</f>
        <v>2017</v>
      </c>
    </row>
    <row r="14" spans="1:14" x14ac:dyDescent="0.2">
      <c r="B14" s="31">
        <v>42802</v>
      </c>
      <c r="C14" s="6" t="s">
        <v>27</v>
      </c>
      <c r="D14" s="15" t="s">
        <v>5</v>
      </c>
      <c r="E14" s="15">
        <v>31420</v>
      </c>
      <c r="F14" s="15" t="s">
        <v>108</v>
      </c>
      <c r="G14" s="49">
        <v>39264</v>
      </c>
      <c r="H14" s="49">
        <v>40483</v>
      </c>
      <c r="I14" s="49">
        <f t="shared" si="0"/>
        <v>41699</v>
      </c>
      <c r="J14" s="49"/>
      <c r="K14" s="49" t="str">
        <f t="shared" si="1"/>
        <v/>
      </c>
      <c r="L14" s="6" t="str">
        <f t="shared" si="2"/>
        <v>mars</v>
      </c>
      <c r="M14" s="6" t="str">
        <f t="shared" si="3"/>
        <v>2017</v>
      </c>
    </row>
    <row r="15" spans="1:14" x14ac:dyDescent="0.2">
      <c r="B15" s="31">
        <v>42845</v>
      </c>
      <c r="C15" s="6" t="s">
        <v>14</v>
      </c>
      <c r="D15" s="15" t="s">
        <v>12</v>
      </c>
      <c r="E15" s="15">
        <v>9710149</v>
      </c>
      <c r="F15" s="15" t="s">
        <v>109</v>
      </c>
      <c r="G15" s="49">
        <v>35612</v>
      </c>
      <c r="H15" s="49">
        <v>36831</v>
      </c>
      <c r="I15" s="49">
        <f t="shared" si="0"/>
        <v>38047</v>
      </c>
      <c r="J15" s="49"/>
      <c r="K15" s="49" t="str">
        <f t="shared" si="1"/>
        <v/>
      </c>
      <c r="L15" s="6" t="str">
        <f t="shared" si="2"/>
        <v>avril</v>
      </c>
      <c r="M15" s="6" t="str">
        <f t="shared" si="3"/>
        <v>2017</v>
      </c>
    </row>
    <row r="16" spans="1:14" x14ac:dyDescent="0.2">
      <c r="B16" s="31">
        <v>42880</v>
      </c>
      <c r="C16" s="6" t="s">
        <v>15</v>
      </c>
      <c r="D16" s="15" t="s">
        <v>12</v>
      </c>
      <c r="E16" s="15">
        <v>9710149</v>
      </c>
      <c r="F16" s="15" t="s">
        <v>109</v>
      </c>
      <c r="G16" s="49">
        <v>35612</v>
      </c>
      <c r="H16" s="49">
        <v>38047</v>
      </c>
      <c r="I16" s="49">
        <f t="shared" si="0"/>
        <v>39264</v>
      </c>
      <c r="J16" s="49"/>
      <c r="K16" s="49" t="str">
        <f t="shared" si="1"/>
        <v/>
      </c>
      <c r="L16" s="6" t="str">
        <f t="shared" si="2"/>
        <v>mai</v>
      </c>
      <c r="M16" s="6" t="str">
        <f t="shared" si="3"/>
        <v>2017</v>
      </c>
    </row>
    <row r="17" spans="2:13" x14ac:dyDescent="0.2">
      <c r="B17" s="31">
        <v>42914</v>
      </c>
      <c r="C17" s="6" t="s">
        <v>8</v>
      </c>
      <c r="D17" s="15" t="s">
        <v>12</v>
      </c>
      <c r="E17" s="15">
        <v>9710149</v>
      </c>
      <c r="F17" s="15" t="s">
        <v>109</v>
      </c>
      <c r="G17" s="49">
        <v>35612</v>
      </c>
      <c r="H17" s="49">
        <v>39264</v>
      </c>
      <c r="I17" s="49">
        <f t="shared" si="0"/>
        <v>40483</v>
      </c>
      <c r="J17" s="49">
        <v>39264</v>
      </c>
      <c r="K17" s="49">
        <f t="shared" si="1"/>
        <v>42917</v>
      </c>
      <c r="L17" s="6" t="str">
        <f t="shared" si="2"/>
        <v>juin</v>
      </c>
      <c r="M17" s="6" t="str">
        <f t="shared" si="3"/>
        <v>2017</v>
      </c>
    </row>
    <row r="18" spans="2:13" x14ac:dyDescent="0.2">
      <c r="B18" s="31">
        <v>42928</v>
      </c>
      <c r="C18" s="6" t="s">
        <v>11</v>
      </c>
      <c r="D18" s="15" t="s">
        <v>5</v>
      </c>
      <c r="E18" s="15">
        <v>31420</v>
      </c>
      <c r="F18" s="15" t="s">
        <v>108</v>
      </c>
      <c r="G18" s="49">
        <v>39264</v>
      </c>
      <c r="H18" s="49">
        <v>41699</v>
      </c>
      <c r="I18" s="49">
        <f t="shared" si="0"/>
        <v>42917</v>
      </c>
      <c r="J18" s="49"/>
      <c r="K18" s="49" t="str">
        <f t="shared" si="1"/>
        <v/>
      </c>
      <c r="L18" s="6" t="str">
        <f t="shared" si="2"/>
        <v>juillet</v>
      </c>
      <c r="M18" s="6" t="str">
        <f t="shared" si="3"/>
        <v>2017</v>
      </c>
    </row>
    <row r="19" spans="2:13" x14ac:dyDescent="0.2">
      <c r="B19" s="31">
        <v>42969</v>
      </c>
      <c r="C19" s="6" t="s">
        <v>19</v>
      </c>
      <c r="D19" s="15" t="s">
        <v>5</v>
      </c>
      <c r="E19" s="15">
        <v>31420</v>
      </c>
      <c r="F19" s="15" t="s">
        <v>108</v>
      </c>
      <c r="G19" s="49">
        <v>39264</v>
      </c>
      <c r="H19" s="49">
        <v>42917</v>
      </c>
      <c r="I19" s="49">
        <f t="shared" si="0"/>
        <v>44136</v>
      </c>
      <c r="J19" s="49">
        <v>42917</v>
      </c>
      <c r="K19" s="49">
        <f t="shared" si="1"/>
        <v>46569</v>
      </c>
      <c r="L19" s="6" t="str">
        <f t="shared" si="2"/>
        <v>août</v>
      </c>
      <c r="M19" s="6" t="str">
        <f t="shared" si="3"/>
        <v>2017</v>
      </c>
    </row>
    <row r="20" spans="2:13" x14ac:dyDescent="0.2">
      <c r="B20" s="31">
        <v>42996</v>
      </c>
      <c r="C20" s="6" t="s">
        <v>30</v>
      </c>
      <c r="D20" s="15" t="s">
        <v>12</v>
      </c>
      <c r="E20" s="15">
        <v>9710149</v>
      </c>
      <c r="F20" s="15" t="s">
        <v>109</v>
      </c>
      <c r="G20" s="49">
        <v>35612</v>
      </c>
      <c r="H20" s="49">
        <v>40483</v>
      </c>
      <c r="I20" s="49">
        <f t="shared" si="0"/>
        <v>41699</v>
      </c>
      <c r="J20" s="49"/>
      <c r="K20" s="49" t="str">
        <f t="shared" si="1"/>
        <v/>
      </c>
      <c r="L20" s="6" t="str">
        <f t="shared" si="2"/>
        <v>septembre</v>
      </c>
      <c r="M20" s="6" t="str">
        <f t="shared" si="3"/>
        <v>2017</v>
      </c>
    </row>
    <row r="21" spans="2:13" x14ac:dyDescent="0.2">
      <c r="B21" s="31">
        <v>43013</v>
      </c>
      <c r="C21" s="6" t="s">
        <v>16</v>
      </c>
      <c r="D21" s="15" t="s">
        <v>12</v>
      </c>
      <c r="E21" s="15">
        <v>9710149</v>
      </c>
      <c r="F21" s="15" t="s">
        <v>109</v>
      </c>
      <c r="G21" s="49">
        <v>35612</v>
      </c>
      <c r="H21" s="49">
        <v>41699</v>
      </c>
      <c r="I21" s="49">
        <f t="shared" si="0"/>
        <v>42917</v>
      </c>
      <c r="J21" s="49"/>
      <c r="K21" s="49" t="str">
        <f t="shared" si="1"/>
        <v/>
      </c>
      <c r="L21" s="6" t="str">
        <f t="shared" si="2"/>
        <v>octobre</v>
      </c>
      <c r="M21" s="6" t="str">
        <f t="shared" si="3"/>
        <v>2017</v>
      </c>
    </row>
    <row r="22" spans="2:13" x14ac:dyDescent="0.2">
      <c r="B22" s="31">
        <v>43046</v>
      </c>
      <c r="C22" s="6" t="s">
        <v>31</v>
      </c>
      <c r="D22" s="15" t="s">
        <v>12</v>
      </c>
      <c r="E22" s="15">
        <v>9710149</v>
      </c>
      <c r="F22" s="15" t="s">
        <v>109</v>
      </c>
      <c r="G22" s="49">
        <v>35612</v>
      </c>
      <c r="H22" s="49">
        <v>42917</v>
      </c>
      <c r="I22" s="49">
        <f t="shared" si="0"/>
        <v>44136</v>
      </c>
      <c r="J22" s="49">
        <v>42917</v>
      </c>
      <c r="K22" s="49">
        <f t="shared" si="1"/>
        <v>46569</v>
      </c>
      <c r="L22" s="6" t="str">
        <f t="shared" si="2"/>
        <v>novembre</v>
      </c>
      <c r="M22" s="6" t="str">
        <f t="shared" si="3"/>
        <v>2017</v>
      </c>
    </row>
    <row r="23" spans="2:13" x14ac:dyDescent="0.2">
      <c r="B23" s="31">
        <v>43096</v>
      </c>
      <c r="C23" s="6" t="s">
        <v>90</v>
      </c>
      <c r="D23" s="15" t="s">
        <v>5</v>
      </c>
      <c r="E23" s="15">
        <v>31420</v>
      </c>
      <c r="F23" s="15" t="s">
        <v>108</v>
      </c>
      <c r="G23" s="49">
        <v>39264</v>
      </c>
      <c r="H23" s="49">
        <v>44166</v>
      </c>
      <c r="I23" s="49">
        <f t="shared" si="0"/>
        <v>45383</v>
      </c>
      <c r="J23" s="49"/>
      <c r="K23" s="49" t="str">
        <f t="shared" si="1"/>
        <v/>
      </c>
      <c r="L23" s="6" t="str">
        <f t="shared" si="2"/>
        <v>décembre</v>
      </c>
      <c r="M23" s="6" t="str">
        <f t="shared" si="3"/>
        <v>2017</v>
      </c>
    </row>
    <row r="24" spans="2:13" x14ac:dyDescent="0.2">
      <c r="B24" s="31">
        <v>43441</v>
      </c>
      <c r="C24" s="6" t="s">
        <v>8</v>
      </c>
      <c r="D24" s="15" t="s">
        <v>32</v>
      </c>
      <c r="E24" s="15">
        <v>123456</v>
      </c>
      <c r="F24" s="15" t="s">
        <v>113</v>
      </c>
      <c r="G24" s="49">
        <v>42248</v>
      </c>
      <c r="H24" s="49">
        <v>43441</v>
      </c>
      <c r="I24" s="49">
        <f>IF(H24="","",DATE(YEAR(H24),MONTH(H24)+40,DAY(H24)))</f>
        <v>44658</v>
      </c>
      <c r="J24" s="49"/>
      <c r="K24" s="49" t="str">
        <f>IF(J24="","",DATE(YEAR(J24)+10,MONTH(J24),DAY(J24)))</f>
        <v/>
      </c>
      <c r="L24" s="6" t="str">
        <f>TEXT(B24,"mmmm")</f>
        <v>décembre</v>
      </c>
      <c r="M24" s="6" t="str">
        <f>TEXT(B24,"aaaa")</f>
        <v>2018</v>
      </c>
    </row>
  </sheetData>
  <mergeCells count="2">
    <mergeCell ref="D9:D10"/>
    <mergeCell ref="E9:E10"/>
  </mergeCells>
  <conditionalFormatting sqref="A11:A23 N11:N23">
    <cfRule type="expression" dxfId="10" priority="1">
      <formula>$B11&lt;&gt;""</formula>
    </cfRule>
  </conditionalFormatting>
  <conditionalFormatting sqref="A26:A1048576 N26:N1048576">
    <cfRule type="expression" dxfId="9" priority="32">
      <formula>$B25&lt;&gt;""</formula>
    </cfRule>
  </conditionalFormatting>
  <conditionalFormatting sqref="A24:A25 N24:N25">
    <cfRule type="expression" dxfId="8" priority="33">
      <formula>#REF!&lt;&gt;""</formula>
    </cfRule>
  </conditionalFormatting>
  <dataValidations count="2">
    <dataValidation type="list" allowBlank="1" showInputMessage="1" showErrorMessage="1" sqref="C5">
      <formula1>ListAgent</formula1>
    </dataValidation>
    <dataValidation type="list" allowBlank="1" showInputMessage="1" showErrorMessage="1" sqref="C6">
      <formula1>List_VehSphere</formula1>
    </dataValidation>
  </dataValidations>
  <pageMargins left="0.7" right="0.7" top="0.75" bottom="0.75" header="0.3" footer="0.3"/>
  <ignoredErrors>
    <ignoredError sqref="G12:G23" calculatedColumn="1"/>
  </ignoredErrors>
  <drawing r:id="rId1"/>
  <legacyDrawing r:id="rId2"/>
  <controls>
    <mc:AlternateContent xmlns:mc="http://schemas.openxmlformats.org/markup-compatibility/2006">
      <mc:Choice Requires="x14">
        <control shapeId="38914" r:id="rId3" name="CommandButton2">
          <controlPr locked="0" defaultSize="0" autoLine="0" r:id="rId4">
            <anchor moveWithCells="1">
              <from>
                <xdr:col>8</xdr:col>
                <xdr:colOff>457200</xdr:colOff>
                <xdr:row>5</xdr:row>
                <xdr:rowOff>304800</xdr:rowOff>
              </from>
              <to>
                <xdr:col>9</xdr:col>
                <xdr:colOff>28575</xdr:colOff>
                <xdr:row>6</xdr:row>
                <xdr:rowOff>304800</xdr:rowOff>
              </to>
            </anchor>
          </controlPr>
        </control>
      </mc:Choice>
      <mc:Fallback>
        <control shapeId="38914" r:id="rId3" name="CommandButton2"/>
      </mc:Fallback>
    </mc:AlternateContent>
    <mc:AlternateContent xmlns:mc="http://schemas.openxmlformats.org/markup-compatibility/2006">
      <mc:Choice Requires="x14">
        <control shapeId="38913" r:id="rId5" name="CommandButton1">
          <controlPr locked="0" defaultSize="0" autoLine="0" r:id="rId6">
            <anchor moveWithCells="1">
              <from>
                <xdr:col>9</xdr:col>
                <xdr:colOff>85725</xdr:colOff>
                <xdr:row>5</xdr:row>
                <xdr:rowOff>304800</xdr:rowOff>
              </from>
              <to>
                <xdr:col>10</xdr:col>
                <xdr:colOff>790575</xdr:colOff>
                <xdr:row>6</xdr:row>
                <xdr:rowOff>304800</xdr:rowOff>
              </to>
            </anchor>
          </controlPr>
        </control>
      </mc:Choice>
      <mc:Fallback>
        <control shapeId="38913" r:id="rId5" name="CommandButton1"/>
      </mc:Fallback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C6940AC-37E3-4454-8F92-17811FC8F9E3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O23"/>
  <sheetViews>
    <sheetView showGridLines="0" tabSelected="1" workbookViewId="0">
      <pane ySplit="11" topLeftCell="A12" activePane="bottomLeft" state="frozen"/>
      <selection pane="bottomLeft" activeCell="K12" sqref="K12"/>
    </sheetView>
  </sheetViews>
  <sheetFormatPr baseColWidth="10" defaultRowHeight="12.75" x14ac:dyDescent="0.2"/>
  <cols>
    <col min="1" max="1" width="1.7109375" style="6" customWidth="1"/>
    <col min="2" max="2" width="12.28515625" style="6" customWidth="1"/>
    <col min="3" max="3" width="23.7109375" style="6" customWidth="1"/>
    <col min="4" max="5" width="11.7109375" style="6" customWidth="1"/>
    <col min="6" max="7" width="9.7109375" style="6" customWidth="1"/>
    <col min="8" max="8" width="13.7109375" style="6" customWidth="1"/>
    <col min="9" max="11" width="12.7109375" style="6" customWidth="1"/>
    <col min="12" max="14" width="0" style="6" hidden="1" customWidth="1"/>
    <col min="15" max="15" width="1.7109375" style="6" customWidth="1"/>
    <col min="16" max="16384" width="11.42578125" style="6"/>
  </cols>
  <sheetData>
    <row r="1" spans="1:15" ht="28.5" x14ac:dyDescent="0.45">
      <c r="A1" s="4"/>
      <c r="B1" s="1" t="s">
        <v>146</v>
      </c>
      <c r="C1" s="4"/>
      <c r="D1" s="4"/>
      <c r="E1" s="4"/>
      <c r="F1" s="4"/>
      <c r="G1" s="4"/>
      <c r="H1" s="5"/>
      <c r="I1" s="4"/>
      <c r="J1" s="4"/>
      <c r="K1" s="5"/>
      <c r="L1" s="4"/>
      <c r="M1" s="4"/>
      <c r="N1" s="4"/>
      <c r="O1" s="4"/>
    </row>
    <row r="2" spans="1:15" x14ac:dyDescent="0.2">
      <c r="A2" s="7"/>
      <c r="B2" s="7"/>
      <c r="C2" s="30" t="str">
        <f ca="1">"nous sommes "&amp;TEXT(TODAY(),"jjjj jj mmmm aaaa")</f>
        <v>nous sommes vendredi 07 décembre 2018</v>
      </c>
      <c r="D2" s="7"/>
      <c r="E2" s="7"/>
      <c r="F2" s="7"/>
      <c r="G2" s="7"/>
      <c r="H2" s="7"/>
      <c r="I2" s="7"/>
      <c r="J2" s="7"/>
      <c r="K2" s="79"/>
      <c r="L2" s="7"/>
      <c r="M2" s="7"/>
      <c r="N2" s="7"/>
      <c r="O2" s="7"/>
    </row>
    <row r="3" spans="1:15" ht="6" customHeight="1" x14ac:dyDescent="0.2">
      <c r="A3" s="7"/>
      <c r="B3" s="24"/>
      <c r="C3" s="8"/>
      <c r="D3" s="8"/>
      <c r="E3" s="8"/>
      <c r="F3" s="8"/>
      <c r="G3" s="8"/>
      <c r="H3" s="9"/>
      <c r="I3" s="7"/>
      <c r="J3" s="7"/>
      <c r="K3" s="7"/>
      <c r="L3" s="7"/>
      <c r="M3" s="7"/>
      <c r="N3" s="7"/>
      <c r="O3" s="7"/>
    </row>
    <row r="4" spans="1:15" ht="15" customHeight="1" x14ac:dyDescent="0.2">
      <c r="A4" s="7"/>
      <c r="B4" s="10" t="s">
        <v>67</v>
      </c>
      <c r="C4" s="17"/>
      <c r="D4" s="85" t="s">
        <v>94</v>
      </c>
      <c r="E4" s="86"/>
      <c r="F4" s="87"/>
      <c r="G4" s="78" t="s">
        <v>148</v>
      </c>
      <c r="H4" s="81" t="str">
        <f>IF(C6="","",INDEX(TbBDDBtChasse[Masse/Pression],MATCH(C6,TbBDDBtChasse[N° Identification],0)))</f>
        <v/>
      </c>
      <c r="I4" s="7"/>
      <c r="J4" s="7"/>
      <c r="K4" s="7"/>
      <c r="L4" s="7"/>
      <c r="M4" s="7"/>
      <c r="N4" s="7"/>
      <c r="O4" s="7"/>
    </row>
    <row r="5" spans="1:15" ht="15" customHeight="1" x14ac:dyDescent="0.2">
      <c r="A5" s="7"/>
      <c r="B5" s="10" t="s">
        <v>77</v>
      </c>
      <c r="C5" s="54"/>
      <c r="D5" s="78" t="s">
        <v>70</v>
      </c>
      <c r="E5" s="82" t="str">
        <f>IF(C6="","",INDEX(TbBDDBtChasse[Produit],MATCH(C6,TbBDDBtChasse[N° Identification],0)))</f>
        <v/>
      </c>
      <c r="F5" s="78"/>
      <c r="G5" s="78" t="s">
        <v>131</v>
      </c>
      <c r="H5" s="81" t="str">
        <f>IF(C6="","",INDEX(TbBDDBtChasse[Appellation],MATCH(C6,TbBDDBtChasse[N° Identification],0)))</f>
        <v/>
      </c>
      <c r="I5" s="7"/>
      <c r="J5" s="7"/>
      <c r="K5" s="7"/>
      <c r="L5" s="7"/>
      <c r="M5" s="7"/>
      <c r="N5" s="7"/>
      <c r="O5" s="7"/>
    </row>
    <row r="6" spans="1:15" ht="15" customHeight="1" x14ac:dyDescent="0.2">
      <c r="A6" s="7"/>
      <c r="B6" s="10" t="s">
        <v>150</v>
      </c>
      <c r="C6" s="54"/>
      <c r="D6" s="78" t="s">
        <v>129</v>
      </c>
      <c r="E6" s="83" t="str">
        <f>IF(C6="","",INDEX(TbBDDBtChasse[Capacité],MATCH(C6,TbBDDBtChasse[N° Identification],0)))</f>
        <v/>
      </c>
      <c r="F6" s="88"/>
      <c r="G6" s="78" t="s">
        <v>114</v>
      </c>
      <c r="H6" s="92" t="str">
        <f t="array" ref="H6">IF($C$6="","",MAX(IF(TbMvtBtChasse[N° Identification]=$C$6,TbMvtBtChasse[Prochaine qualification])))</f>
        <v/>
      </c>
      <c r="I6" s="7"/>
      <c r="J6" s="7"/>
      <c r="K6" s="7"/>
      <c r="L6" s="7"/>
      <c r="M6" s="7"/>
      <c r="N6" s="7"/>
      <c r="O6" s="7"/>
    </row>
    <row r="7" spans="1:15" ht="15" customHeight="1" x14ac:dyDescent="0.2">
      <c r="A7" s="7"/>
      <c r="B7" s="12" t="s">
        <v>149</v>
      </c>
      <c r="C7" s="84"/>
      <c r="D7" s="78"/>
      <c r="E7" s="78"/>
      <c r="F7" s="78"/>
      <c r="G7" s="78"/>
      <c r="H7" s="89"/>
      <c r="I7" s="7"/>
      <c r="J7" s="7"/>
      <c r="K7" s="7"/>
      <c r="L7" s="7"/>
      <c r="M7" s="7"/>
      <c r="N7" s="7"/>
      <c r="O7" s="7"/>
    </row>
    <row r="8" spans="1:15" ht="6" customHeight="1" x14ac:dyDescent="0.2">
      <c r="A8" s="7"/>
      <c r="B8" s="25"/>
      <c r="C8" s="13"/>
      <c r="D8" s="13"/>
      <c r="E8" s="13"/>
      <c r="F8" s="13"/>
      <c r="G8" s="13"/>
      <c r="H8" s="14"/>
      <c r="I8" s="7"/>
      <c r="J8" s="7"/>
      <c r="K8" s="7"/>
      <c r="L8" s="7"/>
      <c r="M8" s="7"/>
      <c r="N8" s="7"/>
      <c r="O8" s="7"/>
    </row>
    <row r="9" spans="1:15" ht="15" customHeight="1" x14ac:dyDescent="0.2">
      <c r="A9" s="7"/>
      <c r="B9" s="23" t="s">
        <v>68</v>
      </c>
      <c r="C9" s="21" t="str">
        <f t="array" ref="C9">IF($C$6="","",MAX(IF(TbMvtBtChasse[N° Identification]=$C$6,TbMvtBtChasse[Date])))</f>
        <v/>
      </c>
      <c r="D9" s="95"/>
      <c r="E9" s="9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 ht="15" customHeight="1" x14ac:dyDescent="0.2">
      <c r="A10" s="7"/>
      <c r="B10" s="75"/>
      <c r="C10" s="76"/>
      <c r="D10" s="96"/>
      <c r="E10" s="98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 s="63" customFormat="1" ht="25.5" x14ac:dyDescent="0.2">
      <c r="B11" s="37" t="s">
        <v>0</v>
      </c>
      <c r="C11" s="37" t="s">
        <v>35</v>
      </c>
      <c r="D11" s="37" t="s">
        <v>4</v>
      </c>
      <c r="E11" s="37" t="s">
        <v>102</v>
      </c>
      <c r="F11" s="37" t="s">
        <v>70</v>
      </c>
      <c r="G11" s="37" t="s">
        <v>129</v>
      </c>
      <c r="H11" s="37" t="s">
        <v>147</v>
      </c>
      <c r="I11" s="37" t="s">
        <v>131</v>
      </c>
      <c r="J11" s="37" t="s">
        <v>107</v>
      </c>
      <c r="K11" s="37" t="s">
        <v>114</v>
      </c>
      <c r="L11" s="37" t="s">
        <v>75</v>
      </c>
      <c r="M11" s="37" t="s">
        <v>33</v>
      </c>
      <c r="N11" s="37" t="s">
        <v>34</v>
      </c>
    </row>
    <row r="12" spans="1:15" x14ac:dyDescent="0.2">
      <c r="B12" s="16">
        <v>43075.792673611111</v>
      </c>
      <c r="C12" s="6" t="s">
        <v>14</v>
      </c>
      <c r="D12" s="15" t="s">
        <v>12</v>
      </c>
      <c r="E12" s="15">
        <v>68340</v>
      </c>
      <c r="F12" s="15" t="s">
        <v>132</v>
      </c>
      <c r="G12" s="15" t="s">
        <v>133</v>
      </c>
      <c r="H12" s="15" t="s">
        <v>134</v>
      </c>
      <c r="I12" s="6" t="s">
        <v>135</v>
      </c>
      <c r="J12" s="49">
        <v>41913</v>
      </c>
      <c r="K12" s="49">
        <f t="shared" ref="K12:K22" si="0">IF(J12="","",DATE(YEAR(J12)+10,MONTH(J12),DAY(J12)))</f>
        <v>45566</v>
      </c>
      <c r="M12" s="6" t="str">
        <f>TEXT(B12,"mmmm")</f>
        <v>décembre</v>
      </c>
      <c r="N12" s="6" t="str">
        <f>TEXT(B12,"aaaa")</f>
        <v>2017</v>
      </c>
    </row>
    <row r="13" spans="1:15" x14ac:dyDescent="0.2">
      <c r="B13" s="16">
        <v>43075.801701388889</v>
      </c>
      <c r="C13" s="6" t="s">
        <v>11</v>
      </c>
      <c r="D13" s="15" t="s">
        <v>87</v>
      </c>
      <c r="E13" s="15">
        <v>72316</v>
      </c>
      <c r="F13" s="15" t="s">
        <v>132</v>
      </c>
      <c r="G13" s="15" t="s">
        <v>136</v>
      </c>
      <c r="H13" s="15" t="s">
        <v>137</v>
      </c>
      <c r="I13" s="6" t="s">
        <v>138</v>
      </c>
      <c r="J13" s="49">
        <v>37926</v>
      </c>
      <c r="K13" s="49">
        <f t="shared" si="0"/>
        <v>41579</v>
      </c>
      <c r="M13" s="6" t="str">
        <f t="shared" ref="M13:M22" si="1">TEXT(B13,"mmmm")</f>
        <v>décembre</v>
      </c>
      <c r="N13" s="6" t="str">
        <f t="shared" ref="N13:N22" si="2">TEXT(B13,"aaaa")</f>
        <v>2017</v>
      </c>
    </row>
    <row r="14" spans="1:15" x14ac:dyDescent="0.2">
      <c r="B14" s="16">
        <v>43075.802094907405</v>
      </c>
      <c r="C14" s="6" t="s">
        <v>14</v>
      </c>
      <c r="D14" s="15" t="s">
        <v>87</v>
      </c>
      <c r="E14" s="15">
        <v>77215</v>
      </c>
      <c r="F14" s="15" t="s">
        <v>132</v>
      </c>
      <c r="G14" s="15" t="s">
        <v>136</v>
      </c>
      <c r="H14" s="15" t="s">
        <v>137</v>
      </c>
      <c r="I14" s="6" t="s">
        <v>138</v>
      </c>
      <c r="J14" s="49">
        <v>40787</v>
      </c>
      <c r="K14" s="49">
        <f t="shared" si="0"/>
        <v>44440</v>
      </c>
      <c r="M14" s="6" t="str">
        <f t="shared" si="1"/>
        <v>décembre</v>
      </c>
      <c r="N14" s="6" t="str">
        <f t="shared" si="2"/>
        <v>2017</v>
      </c>
    </row>
    <row r="15" spans="1:15" x14ac:dyDescent="0.2">
      <c r="B15" s="16">
        <v>43075.80269675926</v>
      </c>
      <c r="C15" s="6" t="s">
        <v>11</v>
      </c>
      <c r="D15" s="15" t="s">
        <v>12</v>
      </c>
      <c r="E15" s="15">
        <v>72284</v>
      </c>
      <c r="F15" s="15" t="s">
        <v>132</v>
      </c>
      <c r="G15" s="15" t="s">
        <v>136</v>
      </c>
      <c r="H15" s="15" t="s">
        <v>137</v>
      </c>
      <c r="I15" s="6" t="s">
        <v>138</v>
      </c>
      <c r="J15" s="49">
        <v>39173</v>
      </c>
      <c r="K15" s="49">
        <f t="shared" si="0"/>
        <v>42826</v>
      </c>
      <c r="M15" s="6" t="str">
        <f t="shared" si="1"/>
        <v>décembre</v>
      </c>
      <c r="N15" s="6" t="str">
        <f t="shared" si="2"/>
        <v>2017</v>
      </c>
    </row>
    <row r="16" spans="1:15" x14ac:dyDescent="0.2">
      <c r="B16" s="16">
        <v>43075.803287037037</v>
      </c>
      <c r="C16" s="6" t="s">
        <v>14</v>
      </c>
      <c r="D16" s="15" t="s">
        <v>87</v>
      </c>
      <c r="E16" s="15" t="s">
        <v>139</v>
      </c>
      <c r="F16" s="15" t="s">
        <v>132</v>
      </c>
      <c r="G16" s="15" t="s">
        <v>140</v>
      </c>
      <c r="H16" s="15" t="s">
        <v>141</v>
      </c>
      <c r="I16" s="6" t="s">
        <v>142</v>
      </c>
      <c r="J16" s="49">
        <v>38749</v>
      </c>
      <c r="K16" s="49">
        <f t="shared" si="0"/>
        <v>42401</v>
      </c>
      <c r="M16" s="6" t="str">
        <f t="shared" si="1"/>
        <v>décembre</v>
      </c>
      <c r="N16" s="6" t="str">
        <f t="shared" si="2"/>
        <v>2017</v>
      </c>
    </row>
    <row r="17" spans="2:14" x14ac:dyDescent="0.2">
      <c r="B17" s="16">
        <v>43075.804039351853</v>
      </c>
      <c r="C17" s="6" t="s">
        <v>11</v>
      </c>
      <c r="D17" s="15" t="s">
        <v>5</v>
      </c>
      <c r="E17" s="15" t="s">
        <v>143</v>
      </c>
      <c r="F17" s="15" t="s">
        <v>132</v>
      </c>
      <c r="G17" s="15" t="s">
        <v>140</v>
      </c>
      <c r="H17" s="15" t="s">
        <v>141</v>
      </c>
      <c r="I17" s="6" t="s">
        <v>142</v>
      </c>
      <c r="J17" s="49">
        <v>39661</v>
      </c>
      <c r="K17" s="49">
        <f t="shared" si="0"/>
        <v>43313</v>
      </c>
      <c r="M17" s="6" t="str">
        <f t="shared" si="1"/>
        <v>décembre</v>
      </c>
      <c r="N17" s="6" t="str">
        <f t="shared" si="2"/>
        <v>2017</v>
      </c>
    </row>
    <row r="18" spans="2:14" x14ac:dyDescent="0.2">
      <c r="B18" s="16">
        <v>43075.804247685184</v>
      </c>
      <c r="C18" s="6" t="s">
        <v>14</v>
      </c>
      <c r="D18" s="15" t="s">
        <v>87</v>
      </c>
      <c r="E18" s="15" t="s">
        <v>144</v>
      </c>
      <c r="F18" s="15" t="s">
        <v>132</v>
      </c>
      <c r="G18" s="15" t="s">
        <v>140</v>
      </c>
      <c r="H18" s="15" t="s">
        <v>141</v>
      </c>
      <c r="I18" s="6" t="s">
        <v>142</v>
      </c>
      <c r="J18" s="49">
        <v>39995</v>
      </c>
      <c r="K18" s="49">
        <f t="shared" si="0"/>
        <v>43647</v>
      </c>
      <c r="M18" s="6" t="str">
        <f t="shared" si="1"/>
        <v>décembre</v>
      </c>
      <c r="N18" s="6" t="str">
        <f t="shared" si="2"/>
        <v>2017</v>
      </c>
    </row>
    <row r="19" spans="2:14" x14ac:dyDescent="0.2">
      <c r="B19" s="16">
        <v>43117</v>
      </c>
      <c r="C19" s="6" t="s">
        <v>14</v>
      </c>
      <c r="D19" s="15" t="s">
        <v>87</v>
      </c>
      <c r="E19" s="15">
        <v>713492</v>
      </c>
      <c r="F19" s="15" t="s">
        <v>132</v>
      </c>
      <c r="G19" s="15" t="s">
        <v>133</v>
      </c>
      <c r="H19" s="15" t="s">
        <v>134</v>
      </c>
      <c r="I19" s="6" t="s">
        <v>135</v>
      </c>
      <c r="J19" s="49">
        <v>38473</v>
      </c>
      <c r="K19" s="49">
        <f t="shared" si="0"/>
        <v>42125</v>
      </c>
      <c r="M19" s="6" t="str">
        <f t="shared" si="1"/>
        <v>janvier</v>
      </c>
      <c r="N19" s="6" t="str">
        <f t="shared" si="2"/>
        <v>2018</v>
      </c>
    </row>
    <row r="20" spans="2:14" x14ac:dyDescent="0.2">
      <c r="B20" s="16">
        <v>43223</v>
      </c>
      <c r="C20" s="6" t="s">
        <v>16</v>
      </c>
      <c r="D20" s="15" t="s">
        <v>87</v>
      </c>
      <c r="E20" s="15" t="s">
        <v>139</v>
      </c>
      <c r="F20" s="15" t="s">
        <v>132</v>
      </c>
      <c r="G20" s="15" t="s">
        <v>140</v>
      </c>
      <c r="H20" s="15" t="s">
        <v>141</v>
      </c>
      <c r="I20" s="6" t="s">
        <v>142</v>
      </c>
      <c r="J20" s="49">
        <v>43191</v>
      </c>
      <c r="K20" s="49">
        <f t="shared" si="0"/>
        <v>46844</v>
      </c>
      <c r="M20" s="6" t="str">
        <f t="shared" si="1"/>
        <v>mai</v>
      </c>
      <c r="N20" s="6" t="str">
        <f t="shared" si="2"/>
        <v>2018</v>
      </c>
    </row>
    <row r="21" spans="2:14" x14ac:dyDescent="0.2">
      <c r="B21" s="16">
        <v>43223</v>
      </c>
      <c r="C21" s="6" t="s">
        <v>16</v>
      </c>
      <c r="D21" s="15" t="s">
        <v>87</v>
      </c>
      <c r="E21" s="15" t="s">
        <v>143</v>
      </c>
      <c r="F21" s="15" t="s">
        <v>132</v>
      </c>
      <c r="G21" s="15" t="s">
        <v>140</v>
      </c>
      <c r="H21" s="15" t="s">
        <v>141</v>
      </c>
      <c r="I21" s="6" t="s">
        <v>142</v>
      </c>
      <c r="J21" s="49">
        <v>43191</v>
      </c>
      <c r="K21" s="49">
        <f t="shared" si="0"/>
        <v>46844</v>
      </c>
      <c r="M21" s="6" t="str">
        <f t="shared" si="1"/>
        <v>mai</v>
      </c>
      <c r="N21" s="6" t="str">
        <f t="shared" si="2"/>
        <v>2018</v>
      </c>
    </row>
    <row r="22" spans="2:14" x14ac:dyDescent="0.2">
      <c r="B22" s="16">
        <v>43223</v>
      </c>
      <c r="C22" s="6" t="s">
        <v>16</v>
      </c>
      <c r="D22" s="15" t="s">
        <v>12</v>
      </c>
      <c r="E22" s="15">
        <v>72316</v>
      </c>
      <c r="F22" s="15" t="s">
        <v>132</v>
      </c>
      <c r="G22" s="15" t="s">
        <v>136</v>
      </c>
      <c r="H22" s="15" t="s">
        <v>137</v>
      </c>
      <c r="I22" s="6" t="s">
        <v>138</v>
      </c>
      <c r="J22" s="49">
        <v>42064</v>
      </c>
      <c r="K22" s="49">
        <f t="shared" si="0"/>
        <v>45717</v>
      </c>
      <c r="M22" s="6" t="str">
        <f t="shared" si="1"/>
        <v>mai</v>
      </c>
      <c r="N22" s="6" t="str">
        <f t="shared" si="2"/>
        <v>2018</v>
      </c>
    </row>
    <row r="23" spans="2:14" x14ac:dyDescent="0.2">
      <c r="B23" s="16">
        <v>43441</v>
      </c>
      <c r="C23" s="6" t="s">
        <v>8</v>
      </c>
      <c r="D23" s="15" t="s">
        <v>5</v>
      </c>
      <c r="E23" s="15">
        <v>713492</v>
      </c>
      <c r="F23" s="15" t="s">
        <v>132</v>
      </c>
      <c r="G23" s="15" t="s">
        <v>133</v>
      </c>
      <c r="H23" s="15" t="s">
        <v>134</v>
      </c>
      <c r="I23" s="6" t="s">
        <v>135</v>
      </c>
      <c r="J23" s="49">
        <v>42101</v>
      </c>
      <c r="K23" s="49">
        <f>IF(J23="","",DATE(YEAR(J23)+10,MONTH(J23),DAY(J23)))</f>
        <v>45754</v>
      </c>
      <c r="M23" s="6" t="str">
        <f>TEXT(B23,"mmmm")</f>
        <v>décembre</v>
      </c>
      <c r="N23" s="6" t="str">
        <f>TEXT(B23,"aaaa")</f>
        <v>2018</v>
      </c>
    </row>
  </sheetData>
  <mergeCells count="2">
    <mergeCell ref="D9:D10"/>
    <mergeCell ref="E9:E10"/>
  </mergeCells>
  <dataValidations count="3">
    <dataValidation type="list" allowBlank="1" showInputMessage="1" showErrorMessage="1" sqref="C6">
      <formula1>List_BtChasse</formula1>
    </dataValidation>
    <dataValidation type="list" allowBlank="1" showInputMessage="1" showErrorMessage="1" sqref="C5">
      <formula1>ListAgent</formula1>
    </dataValidation>
    <dataValidation type="list" allowBlank="1" showInputMessage="1" showErrorMessage="1" sqref="E4">
      <formula1>List_LieuPoudre</formula1>
    </dataValidation>
  </dataValidations>
  <pageMargins left="0.39370078740157483" right="0.39370078740157483" top="0.39370078740157483" bottom="0.19685039370078741" header="0.31496062992125984" footer="0.11811023622047245"/>
  <pageSetup paperSize="9" scale="71" orientation="portrait" r:id="rId1"/>
  <drawing r:id="rId2"/>
  <legacyDrawing r:id="rId3"/>
  <controls>
    <mc:AlternateContent xmlns:mc="http://schemas.openxmlformats.org/markup-compatibility/2006">
      <mc:Choice Requires="x14">
        <control shapeId="43014" r:id="rId4" name="CommandButton2">
          <controlPr locked="0" defaultSize="0" autoLine="0" r:id="rId5">
            <anchor moveWithCells="1">
              <from>
                <xdr:col>8</xdr:col>
                <xdr:colOff>381000</xdr:colOff>
                <xdr:row>7</xdr:row>
                <xdr:rowOff>0</xdr:rowOff>
              </from>
              <to>
                <xdr:col>9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3014" r:id="rId4" name="CommandButton2"/>
      </mc:Fallback>
    </mc:AlternateContent>
    <mc:AlternateContent xmlns:mc="http://schemas.openxmlformats.org/markup-compatibility/2006">
      <mc:Choice Requires="x14">
        <control shapeId="43013" r:id="rId6" name="CommandButton1">
          <controlPr locked="0" defaultSize="0" autoLine="0" r:id="rId7">
            <anchor moveWithCells="1">
              <from>
                <xdr:col>9</xdr:col>
                <xdr:colOff>76200</xdr:colOff>
                <xdr:row>7</xdr:row>
                <xdr:rowOff>0</xdr:rowOff>
              </from>
              <to>
                <xdr:col>14</xdr:col>
                <xdr:colOff>0</xdr:colOff>
                <xdr:row>9</xdr:row>
                <xdr:rowOff>57150</xdr:rowOff>
              </to>
            </anchor>
          </controlPr>
        </control>
      </mc:Choice>
      <mc:Fallback>
        <control shapeId="43013" r:id="rId6" name="CommandButton1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7FAF50-7A11-48FA-9D69-97F2E39A47F4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E9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4:M50"/>
  <sheetViews>
    <sheetView showGridLines="0" topLeftCell="A25" workbookViewId="0">
      <selection activeCell="C31" sqref="C31"/>
    </sheetView>
  </sheetViews>
  <sheetFormatPr baseColWidth="10" defaultRowHeight="12.75" x14ac:dyDescent="0.2"/>
  <cols>
    <col min="1" max="1" width="11.42578125" style="6"/>
    <col min="2" max="2" width="8.140625" style="6" customWidth="1"/>
    <col min="3" max="3" width="9" style="6" bestFit="1" customWidth="1"/>
    <col min="4" max="4" width="9.5703125" style="6" customWidth="1"/>
    <col min="5" max="5" width="11.140625" style="6" customWidth="1"/>
    <col min="6" max="6" width="10.5703125" style="6" customWidth="1"/>
    <col min="7" max="7" width="11.140625" style="6" customWidth="1"/>
    <col min="8" max="8" width="10" style="6" customWidth="1"/>
    <col min="9" max="9" width="9.28515625" style="6" customWidth="1"/>
    <col min="10" max="10" width="11.7109375" style="6" customWidth="1"/>
    <col min="11" max="16384" width="11.42578125" style="6"/>
  </cols>
  <sheetData>
    <row r="4" spans="1:13" x14ac:dyDescent="0.2">
      <c r="A4" s="26" t="s">
        <v>98</v>
      </c>
    </row>
    <row r="6" spans="1:13" x14ac:dyDescent="0.2">
      <c r="A6" s="103" t="s">
        <v>89</v>
      </c>
      <c r="B6" s="32"/>
      <c r="C6" s="33" t="s">
        <v>81</v>
      </c>
      <c r="E6" s="22"/>
      <c r="F6" s="72" t="s">
        <v>99</v>
      </c>
    </row>
    <row r="7" spans="1:13" x14ac:dyDescent="0.2">
      <c r="A7" s="103"/>
      <c r="B7" s="35" t="s">
        <v>87</v>
      </c>
      <c r="C7" s="34">
        <v>500</v>
      </c>
      <c r="F7" s="43" t="s">
        <v>100</v>
      </c>
      <c r="G7" s="44">
        <v>225</v>
      </c>
      <c r="H7" s="44"/>
      <c r="I7" s="44"/>
      <c r="M7" s="40"/>
    </row>
    <row r="8" spans="1:13" x14ac:dyDescent="0.2">
      <c r="A8" s="103"/>
      <c r="B8" s="35" t="s">
        <v>32</v>
      </c>
      <c r="C8" s="34">
        <v>250</v>
      </c>
      <c r="F8" s="43" t="s">
        <v>101</v>
      </c>
      <c r="G8" s="44">
        <v>450</v>
      </c>
      <c r="H8" s="44"/>
      <c r="I8" s="44"/>
    </row>
    <row r="9" spans="1:13" x14ac:dyDescent="0.2">
      <c r="A9" s="103"/>
      <c r="B9" s="35" t="s">
        <v>5</v>
      </c>
      <c r="C9" s="34">
        <v>250</v>
      </c>
    </row>
    <row r="10" spans="1:13" x14ac:dyDescent="0.2">
      <c r="A10" s="103"/>
      <c r="B10" s="35" t="s">
        <v>12</v>
      </c>
      <c r="C10" s="34">
        <v>250</v>
      </c>
      <c r="F10" s="38" t="s">
        <v>97</v>
      </c>
      <c r="G10" s="39">
        <v>500</v>
      </c>
      <c r="H10" s="39"/>
      <c r="I10" s="39"/>
    </row>
    <row r="11" spans="1:13" x14ac:dyDescent="0.2">
      <c r="A11" s="103"/>
    </row>
    <row r="12" spans="1:13" x14ac:dyDescent="0.2">
      <c r="A12" s="103"/>
      <c r="F12" s="46" t="s">
        <v>84</v>
      </c>
      <c r="G12" s="47">
        <v>25</v>
      </c>
      <c r="H12" s="47"/>
      <c r="I12" s="47"/>
    </row>
    <row r="13" spans="1:13" x14ac:dyDescent="0.2">
      <c r="A13" s="103"/>
      <c r="F13" s="45" t="s">
        <v>127</v>
      </c>
      <c r="G13" s="70">
        <f>(C7/G12)</f>
        <v>20</v>
      </c>
      <c r="H13" s="70"/>
      <c r="I13" s="70"/>
    </row>
    <row r="14" spans="1:13" x14ac:dyDescent="0.2">
      <c r="A14" s="103"/>
      <c r="B14" s="32"/>
      <c r="C14" s="33" t="s">
        <v>82</v>
      </c>
      <c r="D14" s="33" t="s">
        <v>83</v>
      </c>
    </row>
    <row r="15" spans="1:13" x14ac:dyDescent="0.2">
      <c r="A15" s="103"/>
      <c r="B15" s="35" t="s">
        <v>87</v>
      </c>
      <c r="C15" s="34">
        <v>1050</v>
      </c>
      <c r="D15" s="34">
        <v>1050</v>
      </c>
    </row>
    <row r="16" spans="1:13" ht="15" x14ac:dyDescent="0.25">
      <c r="A16" s="103"/>
      <c r="B16" s="35" t="s">
        <v>5</v>
      </c>
      <c r="C16" s="34">
        <v>725</v>
      </c>
      <c r="D16" s="34">
        <v>725</v>
      </c>
      <c r="F16" s="6" t="str">
        <f>'Mvt poudre'!D9</f>
        <v>STOCK REEL</v>
      </c>
      <c r="G16" s="42">
        <f>'Mvt poudre'!E9</f>
        <v>500</v>
      </c>
      <c r="H16" s="42"/>
      <c r="I16" s="42"/>
      <c r="J16"/>
    </row>
    <row r="17" spans="1:13" ht="15" x14ac:dyDescent="0.25">
      <c r="A17" s="103"/>
      <c r="B17" s="35" t="s">
        <v>12</v>
      </c>
      <c r="C17" s="34">
        <v>475</v>
      </c>
      <c r="D17" s="34">
        <v>475</v>
      </c>
      <c r="F17"/>
      <c r="G17"/>
      <c r="H17"/>
      <c r="I17"/>
      <c r="J17"/>
    </row>
    <row r="18" spans="1:13" ht="15" x14ac:dyDescent="0.25">
      <c r="A18" s="103"/>
      <c r="B18"/>
      <c r="C18"/>
      <c r="D18"/>
      <c r="F18"/>
      <c r="G18"/>
      <c r="H18"/>
      <c r="I18"/>
      <c r="J18"/>
    </row>
    <row r="19" spans="1:13" ht="15" x14ac:dyDescent="0.25">
      <c r="F19"/>
      <c r="G19"/>
      <c r="H19"/>
      <c r="I19"/>
      <c r="J19"/>
    </row>
    <row r="20" spans="1:13" ht="15" x14ac:dyDescent="0.25">
      <c r="A20" s="103" t="s">
        <v>128</v>
      </c>
      <c r="F20"/>
      <c r="G20"/>
      <c r="H20"/>
      <c r="I20"/>
      <c r="J20"/>
    </row>
    <row r="21" spans="1:13" ht="39.75" x14ac:dyDescent="0.2">
      <c r="A21" s="103"/>
      <c r="B21" s="67" t="s">
        <v>122</v>
      </c>
      <c r="C21" s="64" t="s">
        <v>102</v>
      </c>
      <c r="D21" s="33" t="s">
        <v>119</v>
      </c>
      <c r="E21" s="33" t="s">
        <v>120</v>
      </c>
      <c r="J21" s="68" t="s">
        <v>121</v>
      </c>
      <c r="K21" s="64" t="s">
        <v>102</v>
      </c>
      <c r="L21" s="33" t="s">
        <v>119</v>
      </c>
      <c r="M21" s="33" t="s">
        <v>120</v>
      </c>
    </row>
    <row r="22" spans="1:13" x14ac:dyDescent="0.2">
      <c r="A22" s="103"/>
      <c r="B22" s="66" t="str">
        <f t="array" ref="B22">IFERROR(INDEX(TbBDDSphere[Véhicule],SMALL(IF((TbBDDSphere[Véhicule]&lt;&gt;"")*(TbBDDSphere[Status]="Actif"),ROW(TbBDDSphere[Véhicule])-MIN(ROW(Param!$Q$3))+1,""),ROWS(B$22:B22))),"")</f>
        <v>Sécu 1</v>
      </c>
      <c r="C22" s="33">
        <f t="array" ref="C22">IF($B22="","",INDEX(TbBDDSphere[N° Identification],MATCH($B22,TbBDDSphere[Véhicule],0)))</f>
        <v>123456</v>
      </c>
      <c r="D22" s="69">
        <f t="array" ref="D22">IF($B22="","",MAX(IF(TbMvtSphere[Véhicule]=$B22,TbMvtSphere[Inspection (maxi 40 mois)])))</f>
        <v>43441</v>
      </c>
      <c r="E22" s="65">
        <f t="array" ref="E22">IF($B22="","",MAX(IF(TbMvtSphere[Véhicule]=$B22,TbMvtSphere[Prochaine inspection])))</f>
        <v>44658</v>
      </c>
      <c r="J22" s="66" t="str">
        <f t="array" ref="J22">IFERROR(INDEX(TbBDDSphere[Véhicule],SMALL(IF((TbBDDSphere[Véhicule]&lt;&gt;"")*(TbBDDSphere[Status]="Actif"),ROW(TbBDDSphere[Véhicule])-MIN(ROW(Param!$Q$3))+1,""),ROWS(J$22:J22))),"")</f>
        <v>Sécu 1</v>
      </c>
      <c r="K22" s="33">
        <f t="array" ref="K22">IF($J22="","",INDEX(TbBDDSphere[N° Identification],MATCH($J22,TbBDDSphere[Véhicule],0)))</f>
        <v>123456</v>
      </c>
      <c r="L22" s="69">
        <f t="array" ref="L22">IF($B22="","",MAX(IF(TbMvtSphere[Véhicule]=$B22,TbMvtSphere[Qualification (maxi 10 ans)])))</f>
        <v>0</v>
      </c>
      <c r="M22" s="65">
        <f t="array" ref="M22">IF($B22="","",MAX(IF(TbMvtSphere[Véhicule]=$B22,TbMvtSphere[Prochaine qualification])))</f>
        <v>0</v>
      </c>
    </row>
    <row r="23" spans="1:13" x14ac:dyDescent="0.2">
      <c r="A23" s="103"/>
      <c r="B23" s="66" t="str">
        <f t="array" ref="B23">IFERROR(INDEX(TbBDDSphere[Véhicule],SMALL(IF((TbBDDSphere[Véhicule]&lt;&gt;"")*(TbBDDSphere[Status]="Actif"),ROW(TbBDDSphere[Véhicule])-MIN(ROW(Param!$Q$3))+1,""),ROWS(B$22:B23))),"")</f>
        <v>Sécu 2</v>
      </c>
      <c r="C23" s="33">
        <f t="array" ref="C23">IF($B23="","",INDEX(TbBDDSphere[N° Identification],MATCH($B23,TbBDDSphere[Véhicule],0)))</f>
        <v>31420</v>
      </c>
      <c r="D23" s="69">
        <f t="array" ref="D23">IF($B23="","",MAX(IF(TbMvtSphere[Véhicule]=$B23,TbMvtSphere[Inspection (maxi 40 mois)])))</f>
        <v>44166</v>
      </c>
      <c r="E23" s="65">
        <f t="array" ref="E23">IF($B23="","",MAX(IF(TbMvtSphere[Véhicule]=$B23,TbMvtSphere[Prochaine inspection])))</f>
        <v>45383</v>
      </c>
      <c r="J23" s="66" t="str">
        <f t="array" ref="J23">IFERROR(INDEX(TbBDDSphere[Véhicule],SMALL(IF((TbBDDSphere[Véhicule]&lt;&gt;"")*(TbBDDSphere[Status]="Actif"),ROW(TbBDDSphere[Véhicule])-MIN(ROW(Param!$Q$3))+1,""),ROWS(J$22:J23))),"")</f>
        <v>Sécu 2</v>
      </c>
      <c r="K23" s="33">
        <f t="array" ref="K23">IF($J23="","",INDEX(TbBDDSphere[N° Identification],MATCH($J23,TbBDDSphere[Véhicule],0)))</f>
        <v>31420</v>
      </c>
      <c r="L23" s="69">
        <f t="array" ref="L23">IF($B23="","",MAX(IF(TbMvtSphere[Véhicule]=$B23,TbMvtSphere[Qualification (maxi 10 ans)])))</f>
        <v>42917</v>
      </c>
      <c r="M23" s="65">
        <f t="array" ref="M23">IF($B23="","",MAX(IF(TbMvtSphere[Véhicule]=$B23,TbMvtSphere[Prochaine qualification])))</f>
        <v>46569</v>
      </c>
    </row>
    <row r="24" spans="1:13" ht="15" x14ac:dyDescent="0.25">
      <c r="A24" s="103"/>
      <c r="B24" s="66" t="str">
        <f t="array" ref="B24">IFERROR(INDEX(TbBDDSphere[Véhicule],SMALL(IF((TbBDDSphere[Véhicule]&lt;&gt;"")*(TbBDDSphere[Status]="Actif"),ROW(TbBDDSphere[Véhicule])-MIN(ROW(Param!$Q$3))+1,""),ROWS(B$22:B24))),"")</f>
        <v>Sécu 3</v>
      </c>
      <c r="C24" s="33">
        <f t="array" ref="C24">IF($B24="","",INDEX(TbBDDSphere[N° Identification],MATCH($B24,TbBDDSphere[Véhicule],0)))</f>
        <v>9710149</v>
      </c>
      <c r="D24" s="69">
        <f t="array" ref="D24">IF($B24="","",MAX(IF(TbMvtSphere[Véhicule]=$B24,TbMvtSphere[Inspection (maxi 40 mois)])))</f>
        <v>42917</v>
      </c>
      <c r="E24" s="65">
        <f t="array" ref="E24">IF($B24="","",MAX(IF(TbMvtSphere[Véhicule]=$B24,TbMvtSphere[Prochaine inspection])))</f>
        <v>44136</v>
      </c>
      <c r="F24"/>
      <c r="G24"/>
      <c r="H24"/>
      <c r="I24"/>
      <c r="J24" s="66" t="str">
        <f t="array" ref="J24">IFERROR(INDEX(TbBDDSphere[Véhicule],SMALL(IF((TbBDDSphere[Véhicule]&lt;&gt;"")*(TbBDDSphere[Status]="Actif"),ROW(TbBDDSphere[Véhicule])-MIN(ROW(Param!$Q$3))+1,""),ROWS(J$22:J24))),"")</f>
        <v>Sécu 3</v>
      </c>
      <c r="K24" s="33">
        <f t="array" ref="K24">IF($J24="","",INDEX(TbBDDSphere[N° Identification],MATCH($J24,TbBDDSphere[Véhicule],0)))</f>
        <v>9710149</v>
      </c>
      <c r="L24" s="69">
        <f t="array" ref="L24">IF($B24="","",MAX(IF(TbMvtSphere[Véhicule]=$B24,TbMvtSphere[Qualification (maxi 10 ans)])))</f>
        <v>42917</v>
      </c>
      <c r="M24" s="65">
        <f t="array" ref="M24">IF($B24="","",MAX(IF(TbMvtSphere[Véhicule]=$B24,TbMvtSphere[Prochaine qualification])))</f>
        <v>46569</v>
      </c>
    </row>
    <row r="25" spans="1:13" ht="15" x14ac:dyDescent="0.25">
      <c r="A25" s="103"/>
      <c r="B25" s="66" t="str">
        <f t="array" ref="B25">IFERROR(INDEX(TbBDDSphere[Véhicule],SMALL(IF((TbBDDSphere[Véhicule]&lt;&gt;"")*(TbBDDSphere[Status]="Actif"),ROW(TbBDDSphere[Véhicule])-MIN(ROW(Param!$Q$3))+1,""),ROWS(B$22:B25))),"")</f>
        <v/>
      </c>
      <c r="C25" s="33" t="str">
        <f t="array" ref="C25">IF($B25="","",INDEX(TbBDDSphere[N° Identification],MATCH($B25,TbBDDSphere[Véhicule],0)))</f>
        <v/>
      </c>
      <c r="D25" s="69" t="str">
        <f t="array" ref="D25">IF($B25="","",MAX(IF(TbMvtSphere[Véhicule]=$B25,TbMvtSphere[Inspection (maxi 40 mois)])))</f>
        <v/>
      </c>
      <c r="E25" s="65" t="str">
        <f t="array" ref="E25">IF($B25="","",MAX(IF(TbMvtSphere[Véhicule]=$B25,TbMvtSphere[Prochaine inspection])))</f>
        <v/>
      </c>
      <c r="F25"/>
      <c r="G25"/>
      <c r="H25"/>
      <c r="I25"/>
      <c r="J25" s="66" t="str">
        <f t="array" ref="J25">IFERROR(INDEX(TbBDDSphere[Véhicule],SMALL(IF((TbBDDSphere[Véhicule]&lt;&gt;"")*(TbBDDSphere[Status]="Actif"),ROW(TbBDDSphere[Véhicule])-MIN(ROW(Param!$Q$3))+1,""),ROWS(J$22:J25))),"")</f>
        <v/>
      </c>
      <c r="K25" s="33" t="str">
        <f t="array" ref="K25">IF($J25="","",INDEX(TbBDDSphere[N° Identification],MATCH($J25,TbBDDSphere[Véhicule],0)))</f>
        <v/>
      </c>
      <c r="L25" s="69" t="str">
        <f t="array" ref="L25">IF($B25="","",MAX(IF(TbMvtSphere[Véhicule]=$B25,TbMvtSphere[Qualification (maxi 10 ans)])))</f>
        <v/>
      </c>
      <c r="M25" s="65" t="str">
        <f t="array" ref="M25">IF($B25="","",MAX(IF(TbMvtSphere[Véhicule]=$B25,TbMvtSphere[Prochaine qualification])))</f>
        <v/>
      </c>
    </row>
    <row r="26" spans="1:13" ht="15" x14ac:dyDescent="0.25">
      <c r="A26" s="103"/>
      <c r="F26"/>
      <c r="G26"/>
      <c r="H26"/>
      <c r="I26"/>
      <c r="J26"/>
    </row>
    <row r="27" spans="1:13" ht="15" x14ac:dyDescent="0.25">
      <c r="F27"/>
      <c r="G27"/>
      <c r="H27"/>
      <c r="I27"/>
      <c r="J27"/>
    </row>
    <row r="28" spans="1:13" ht="15" customHeight="1" x14ac:dyDescent="0.2">
      <c r="A28" s="104" t="s">
        <v>151</v>
      </c>
    </row>
    <row r="29" spans="1:13" ht="12.75" customHeight="1" x14ac:dyDescent="0.2">
      <c r="A29" s="104"/>
    </row>
    <row r="30" spans="1:13" ht="39.75" x14ac:dyDescent="0.2">
      <c r="A30" s="104"/>
      <c r="B30" s="67" t="s">
        <v>122</v>
      </c>
      <c r="C30" s="77">
        <f t="array" ref="C30">IFERROR(INDEX(TbBDDBtChasse[N° Identification],SMALL(IF((TbBDDBtChasse[N° Identification]&lt;&gt;"")*(TbBDDBtChasse[Status]="Actif"),ROW(TbBDDBtChasse[N° Identification])-MIN(ROW(Param!$W$3))+1,""),COLUMNS($C$30:C30))),"")</f>
        <v>713492</v>
      </c>
      <c r="D30" s="77">
        <f t="array" ref="D30">IFERROR(INDEX(TbBDDBtChasse[N° Identification],SMALL(IF((TbBDDBtChasse[N° Identification]&lt;&gt;"")*(TbBDDBtChasse[Status]="Actif"),ROW(TbBDDBtChasse[N° Identification])-MIN(ROW(Param!$W$3))+1,""),COLUMNS($C$30:D30))),"")</f>
        <v>68340</v>
      </c>
      <c r="E30" s="77">
        <f t="array" ref="E30">IFERROR(INDEX(TbBDDBtChasse[N° Identification],SMALL(IF((TbBDDBtChasse[N° Identification]&lt;&gt;"")*(TbBDDBtChasse[Status]="Actif"),ROW(TbBDDBtChasse[N° Identification])-MIN(ROW(Param!$W$3))+1,""),COLUMNS($C$30:E30))),"")</f>
        <v>72316</v>
      </c>
      <c r="F30" s="77">
        <f t="array" ref="F30">IFERROR(INDEX(TbBDDBtChasse[N° Identification],SMALL(IF((TbBDDBtChasse[N° Identification]&lt;&gt;"")*(TbBDDBtChasse[Status]="Actif"),ROW(TbBDDBtChasse[N° Identification])-MIN(ROW(Param!$W$3))+1,""),COLUMNS($C$30:F30))),"")</f>
        <v>77215</v>
      </c>
      <c r="G30" s="77">
        <f t="array" ref="G30">IFERROR(INDEX(TbBDDBtChasse[N° Identification],SMALL(IF((TbBDDBtChasse[N° Identification]&lt;&gt;"")*(TbBDDBtChasse[Status]="Actif"),ROW(TbBDDBtChasse[N° Identification])-MIN(ROW(Param!$W$3))+1,""),COLUMNS($C$30:G30))),"")</f>
        <v>72284</v>
      </c>
      <c r="H30" s="77"/>
      <c r="I30" s="77"/>
      <c r="J30" s="77" t="str">
        <f t="array" ref="J30">IFERROR(INDEX(TbBDDBtChasse[N° Identification],SMALL(IF((TbBDDBtChasse[N° Identification]&lt;&gt;"")*(TbBDDBtChasse[Status]="Actif"),ROW(TbBDDBtChasse[N° Identification])-MIN(ROW(Param!$W$3))+1,""),COLUMNS($C$30:J30))),"")</f>
        <v>WNQ033</v>
      </c>
      <c r="K30" s="77" t="str">
        <f t="array" ref="K30">IFERROR(INDEX(TbBDDBtChasse[N° Identification],SMALL(IF((TbBDDBtChasse[N° Identification]&lt;&gt;"")*(TbBDDBtChasse[Status]="Actif"),ROW(TbBDDBtChasse[N° Identification])-MIN(ROW(Param!$W$3))+1,""),COLUMNS($C$30:K30))),"")</f>
        <v/>
      </c>
      <c r="L30" s="77" t="str">
        <f t="array" ref="L30">IFERROR(INDEX(TbBDDBtChasse[N° Identification],SMALL(IF((TbBDDBtChasse[N° Identification]&lt;&gt;"")*(TbBDDBtChasse[Status]="Actif"),ROW(TbBDDBtChasse[N° Identification])-MIN(ROW(Param!$W$3))+1,""),COLUMNS($C$30:L30))),"")</f>
        <v/>
      </c>
      <c r="M30" s="77" t="str">
        <f t="array" ref="M30">IFERROR(INDEX(TbBDDBtChasse[N° Identification],SMALL(IF((TbBDDBtChasse[N° Identification]&lt;&gt;"")*(TbBDDBtChasse[Status]="Actif"),ROW(TbBDDBtChasse[N° Identification])-MIN(ROW(Param!$W$3))+1,""),COLUMNS($C$30:M30))),"")</f>
        <v/>
      </c>
    </row>
    <row r="31" spans="1:13" x14ac:dyDescent="0.2">
      <c r="A31" s="104"/>
      <c r="B31" s="66" t="str">
        <f t="array" ref="B31">IFERROR(INDEX(TbBDDPoudre[Lieu],SMALL(IF((TbBDDPoudre[Lieu]&lt;&gt;"")*(TbBDDPoudre[Status]="Actif"),ROW(TbBDDPoudre[Lieu])-MIN(ROW(Param!$M$3))+1,""),ROWS(B$31:B31))),"")</f>
        <v>Réserve</v>
      </c>
      <c r="C31" s="90">
        <f t="array" ref="C31">IF($B31="","",MAX(IF(TbMvtBtChasse[Lieu]=$B31,TbMvtBtChasse[Prochaine qualification])))</f>
        <v>46844</v>
      </c>
      <c r="D31" s="90">
        <f t="array" ref="D31">IF($B31="","",MAX(IF(TbMvtBtChasse[Lieu]=$B31,TbMvtBtChasse[Prochaine qualification])))</f>
        <v>46844</v>
      </c>
      <c r="E31" s="90">
        <f t="array" ref="E31">IF($B31="","",MAX(IF(TbMvtBtChasse[Lieu]=$B31,TbMvtBtChasse[Prochaine qualification])))</f>
        <v>46844</v>
      </c>
      <c r="F31" s="90">
        <f t="array" ref="F31">IF($B31="","",MAX(IF(TbMvtBtChasse[Lieu]=$B31,TbMvtBtChasse[Prochaine qualification])))</f>
        <v>46844</v>
      </c>
      <c r="G31" s="90">
        <f t="array" ref="G31">IF($B31="","",MAX(IF(TbMvtBtChasse[Lieu]=$B31,TbMvtBtChasse[Prochaine qualification])))</f>
        <v>46844</v>
      </c>
      <c r="H31" s="90"/>
      <c r="I31" s="90"/>
      <c r="J31" s="90">
        <f t="array" ref="J31">IF($B31="","",MAX(IF(TbMvtBtChasse[Lieu]=$B31,TbMvtBtChasse[Prochaine qualification])))</f>
        <v>46844</v>
      </c>
      <c r="K31" s="90">
        <f t="array" ref="K31">IF($B31="","",MAX(IF(TbMvtBtChasse[Lieu]=$B31,TbMvtBtChasse[Prochaine qualification])))</f>
        <v>46844</v>
      </c>
      <c r="L31" s="90">
        <f t="array" ref="L31">IF($B31="","",MAX(IF(TbMvtBtChasse[Lieu]=$B31,TbMvtBtChasse[Prochaine qualification])))</f>
        <v>46844</v>
      </c>
      <c r="M31" s="33"/>
    </row>
    <row r="32" spans="1:13" x14ac:dyDescent="0.2">
      <c r="A32" s="104"/>
      <c r="B32" s="66" t="str">
        <f t="array" ref="B32">IFERROR(INDEX(TbBDDPoudre[Lieu],SMALL(IF((TbBDDPoudre[Lieu]&lt;&gt;"")*(TbBDDPoudre[Status]="Actif"),ROW(TbBDDPoudre[Lieu])-MIN(ROW(Param!$M$3))+1,""),ROWS(B$31:B32))),"")</f>
        <v>Sécu 1</v>
      </c>
      <c r="C32" s="90">
        <f t="array" ref="C32">IF($B32="","",MAX(IF(TbMvtBtChasse[Lieu]=$B32,TbMvtBtChasse[Prochaine qualification])))</f>
        <v>0</v>
      </c>
      <c r="D32" s="90">
        <f t="array" ref="D32">IF($B32="","",MAX(IF(TbMvtBtChasse[Lieu]=$B32,TbMvtBtChasse[Prochaine qualification])))</f>
        <v>0</v>
      </c>
      <c r="E32" s="90">
        <f t="array" ref="E32">IF($B32="","",MAX(IF(TbMvtBtChasse[Lieu]=$B32,TbMvtBtChasse[Prochaine qualification])))</f>
        <v>0</v>
      </c>
      <c r="F32" s="90">
        <f t="array" ref="F32">IF($B32="","",MAX(IF(TbMvtBtChasse[Lieu]=$B32,TbMvtBtChasse[Prochaine qualification])))</f>
        <v>0</v>
      </c>
      <c r="G32" s="90">
        <f t="array" ref="G32">IF($B32="","",MAX(IF(TbMvtBtChasse[Lieu]=$B32,TbMvtBtChasse[Prochaine qualification])))</f>
        <v>0</v>
      </c>
      <c r="H32" s="90"/>
      <c r="I32" s="90"/>
      <c r="J32" s="90">
        <f t="array" ref="J32">IF($B32="","",MAX(IF(TbMvtBtChasse[Lieu]=$B32,TbMvtBtChasse[Prochaine qualification])))</f>
        <v>0</v>
      </c>
      <c r="K32" s="90">
        <f t="array" ref="K32">IF($B32="","",MAX(IF(TbMvtBtChasse[Lieu]=$B32,TbMvtBtChasse[Prochaine qualification])))</f>
        <v>0</v>
      </c>
      <c r="L32" s="90">
        <f t="array" ref="L32">IF($B32="","",MAX(IF(TbMvtBtChasse[Lieu]=$B32,TbMvtBtChasse[Prochaine qualification])))</f>
        <v>0</v>
      </c>
      <c r="M32" s="33"/>
    </row>
    <row r="33" spans="1:13" x14ac:dyDescent="0.2">
      <c r="A33" s="104"/>
      <c r="B33" s="66" t="str">
        <f t="array" ref="B33">IFERROR(INDEX(TbBDDPoudre[Lieu],SMALL(IF((TbBDDPoudre[Lieu]&lt;&gt;"")*(TbBDDPoudre[Status]="Actif"),ROW(TbBDDPoudre[Lieu])-MIN(ROW(Param!$M$3))+1,""),ROWS(B$31:B33))),"")</f>
        <v>Sécu 2</v>
      </c>
      <c r="C33" s="90">
        <f t="array" ref="C33">IF($B33="","",MAX(IF(TbMvtBtChasse[Lieu]=$B33,TbMvtBtChasse[Prochaine qualification])))</f>
        <v>45754</v>
      </c>
      <c r="D33" s="90">
        <f t="array" ref="D33">IF($B33="","",MAX(IF(TbMvtBtChasse[Lieu]=$B33,TbMvtBtChasse[Prochaine qualification])))</f>
        <v>45754</v>
      </c>
      <c r="E33" s="90">
        <f t="array" ref="E33">IF($B33="","",MAX(IF(TbMvtBtChasse[Lieu]=$B33,TbMvtBtChasse[Prochaine qualification])))</f>
        <v>45754</v>
      </c>
      <c r="F33" s="90">
        <f t="array" ref="F33">IF($B33="","",MAX(IF(TbMvtBtChasse[Lieu]=$B33,TbMvtBtChasse[Prochaine qualification])))</f>
        <v>45754</v>
      </c>
      <c r="G33" s="90">
        <f t="array" ref="G33">IF($B33="","",MAX(IF(TbMvtBtChasse[Lieu]=$B33,TbMvtBtChasse[Prochaine qualification])))</f>
        <v>45754</v>
      </c>
      <c r="H33" s="90"/>
      <c r="I33" s="90"/>
      <c r="J33" s="90">
        <f t="array" ref="J33">IF($B33="","",MAX(IF(TbMvtBtChasse[Lieu]=$B33,TbMvtBtChasse[Prochaine qualification])))</f>
        <v>45754</v>
      </c>
      <c r="K33" s="90">
        <f t="array" ref="K33">IF($B33="","",MAX(IF(TbMvtBtChasse[Lieu]=$B33,TbMvtBtChasse[Prochaine qualification])))</f>
        <v>45754</v>
      </c>
      <c r="L33" s="90">
        <f t="array" ref="L33">IF($B33="","",MAX(IF(TbMvtBtChasse[Lieu]=$B33,TbMvtBtChasse[Prochaine qualification])))</f>
        <v>45754</v>
      </c>
      <c r="M33" s="33"/>
    </row>
    <row r="34" spans="1:13" x14ac:dyDescent="0.2">
      <c r="A34" s="104"/>
      <c r="B34" s="66" t="str">
        <f t="array" ref="B34">IFERROR(INDEX(TbBDDPoudre[Lieu],SMALL(IF((TbBDDPoudre[Lieu]&lt;&gt;"")*(TbBDDPoudre[Status]="Actif"),ROW(TbBDDPoudre[Lieu])-MIN(ROW(Param!$M$3))+1,""),ROWS(B$31:B34))),"")</f>
        <v>Sécu 3</v>
      </c>
      <c r="C34" s="90">
        <f t="array" ref="C34">IF($B34="","",MAX(IF(TbMvtBtChasse[Lieu]=$B34,TbMvtBtChasse[Prochaine qualification])))</f>
        <v>45717</v>
      </c>
      <c r="D34" s="90">
        <f t="array" ref="D34">IF($B34="","",MAX(IF(TbMvtBtChasse[Lieu]=$B34,TbMvtBtChasse[Prochaine qualification])))</f>
        <v>45717</v>
      </c>
      <c r="E34" s="90">
        <f t="array" ref="E34">IF($B34="","",MAX(IF(TbMvtBtChasse[Lieu]=$B34,TbMvtBtChasse[Prochaine qualification])))</f>
        <v>45717</v>
      </c>
      <c r="F34" s="90">
        <f t="array" ref="F34">IF($B34="","",MAX(IF(TbMvtBtChasse[Lieu]=$B34,TbMvtBtChasse[Prochaine qualification])))</f>
        <v>45717</v>
      </c>
      <c r="G34" s="90">
        <f t="array" ref="G34">IF($B34="","",MAX(IF(TbMvtBtChasse[Lieu]=$B34,TbMvtBtChasse[Prochaine qualification])))</f>
        <v>45717</v>
      </c>
      <c r="H34" s="90"/>
      <c r="I34" s="90"/>
      <c r="J34" s="90">
        <f t="array" ref="J34">IF($B34="","",MAX(IF(TbMvtBtChasse[Lieu]=$B34,TbMvtBtChasse[Prochaine qualification])))</f>
        <v>45717</v>
      </c>
      <c r="K34" s="90">
        <f t="array" ref="K34">IF($B34="","",MAX(IF(TbMvtBtChasse[Lieu]=$B34,TbMvtBtChasse[Prochaine qualification])))</f>
        <v>45717</v>
      </c>
      <c r="L34" s="90">
        <f t="array" ref="L34">IF($B34="","",MAX(IF(TbMvtBtChasse[Lieu]=$B34,TbMvtBtChasse[Prochaine qualification])))</f>
        <v>45717</v>
      </c>
      <c r="M34" s="33"/>
    </row>
    <row r="35" spans="1:13" x14ac:dyDescent="0.2">
      <c r="A35" s="104"/>
    </row>
    <row r="37" spans="1:13" x14ac:dyDescent="0.2">
      <c r="B37" s="94" t="s">
        <v>152</v>
      </c>
    </row>
    <row r="38" spans="1:13" x14ac:dyDescent="0.2">
      <c r="C38" s="33">
        <v>713492</v>
      </c>
      <c r="D38" s="33">
        <v>68340</v>
      </c>
      <c r="E38" s="33">
        <v>72316</v>
      </c>
      <c r="F38" s="33">
        <v>77215</v>
      </c>
      <c r="G38" s="15"/>
      <c r="H38" s="15"/>
      <c r="I38" s="15"/>
    </row>
    <row r="39" spans="1:13" x14ac:dyDescent="0.2">
      <c r="B39" s="91" t="s">
        <v>87</v>
      </c>
      <c r="C39" s="33"/>
      <c r="D39" s="33"/>
      <c r="E39" s="33"/>
      <c r="F39" s="93">
        <v>44440</v>
      </c>
      <c r="G39" s="15"/>
      <c r="H39" s="15"/>
      <c r="I39" s="15"/>
    </row>
    <row r="40" spans="1:13" x14ac:dyDescent="0.2">
      <c r="B40" s="91" t="s">
        <v>32</v>
      </c>
      <c r="C40" s="33"/>
      <c r="D40" s="33"/>
      <c r="E40" s="33"/>
      <c r="F40" s="33"/>
      <c r="G40" s="15"/>
      <c r="H40" s="15"/>
      <c r="I40" s="15"/>
    </row>
    <row r="41" spans="1:13" x14ac:dyDescent="0.2">
      <c r="B41" s="91" t="s">
        <v>5</v>
      </c>
      <c r="C41" s="93">
        <v>45748</v>
      </c>
      <c r="D41" s="33"/>
      <c r="E41" s="33"/>
      <c r="F41" s="33"/>
      <c r="G41" s="15"/>
      <c r="H41" s="15"/>
      <c r="I41" s="15"/>
    </row>
    <row r="42" spans="1:13" x14ac:dyDescent="0.2">
      <c r="B42" s="91" t="s">
        <v>12</v>
      </c>
      <c r="C42" s="33"/>
      <c r="D42" s="93">
        <v>45566</v>
      </c>
      <c r="E42" s="93">
        <v>45717</v>
      </c>
      <c r="F42" s="33"/>
      <c r="G42" s="15"/>
      <c r="H42" s="15"/>
      <c r="I42" s="15"/>
    </row>
    <row r="47" spans="1:13" ht="15" x14ac:dyDescent="0.25">
      <c r="B47" s="105" t="s">
        <v>4</v>
      </c>
      <c r="C47" s="105" t="s">
        <v>155</v>
      </c>
      <c r="D47" s="105" t="s">
        <v>156</v>
      </c>
      <c r="E47" s="105" t="s">
        <v>144</v>
      </c>
      <c r="F47" s="105" t="s">
        <v>139</v>
      </c>
      <c r="G47" s="105" t="s">
        <v>143</v>
      </c>
      <c r="H47" s="105" t="s">
        <v>153</v>
      </c>
      <c r="I47" s="105" t="s">
        <v>154</v>
      </c>
      <c r="K47" s="107" t="s">
        <v>157</v>
      </c>
    </row>
    <row r="48" spans="1:13" ht="15" x14ac:dyDescent="0.25">
      <c r="B48" s="105" t="s">
        <v>87</v>
      </c>
      <c r="C48" s="106"/>
      <c r="D48" s="106">
        <v>44440</v>
      </c>
      <c r="E48" s="106">
        <v>43647</v>
      </c>
      <c r="F48" s="106">
        <v>46844</v>
      </c>
      <c r="G48" s="106">
        <v>46844</v>
      </c>
      <c r="H48" s="106"/>
      <c r="I48" s="106"/>
    </row>
    <row r="49" spans="2:9" ht="15" x14ac:dyDescent="0.25">
      <c r="B49" s="105" t="s">
        <v>5</v>
      </c>
      <c r="C49" s="106"/>
      <c r="D49" s="106"/>
      <c r="E49" s="106"/>
      <c r="F49" s="106"/>
      <c r="G49" s="106"/>
      <c r="H49" s="106"/>
      <c r="I49" s="106">
        <v>45754</v>
      </c>
    </row>
    <row r="50" spans="2:9" ht="15" x14ac:dyDescent="0.25">
      <c r="B50" s="105" t="s">
        <v>12</v>
      </c>
      <c r="C50" s="106">
        <v>45566</v>
      </c>
      <c r="D50" s="106"/>
      <c r="E50" s="106"/>
      <c r="F50" s="106"/>
      <c r="G50" s="106"/>
      <c r="H50" s="106">
        <v>45717</v>
      </c>
      <c r="I50" s="106"/>
    </row>
  </sheetData>
  <mergeCells count="3">
    <mergeCell ref="A6:A18"/>
    <mergeCell ref="A20:A26"/>
    <mergeCell ref="A28:A35"/>
  </mergeCells>
  <pageMargins left="0.39370078740157483" right="0.39370078740157483" top="0.39370078740157483" bottom="0.19685039370078741" header="0.31496062992125984" footer="0.11811023622047245"/>
  <pageSetup paperSize="9" scale="82" orientation="landscape" r:id="rId3"/>
  <drawing r:id="rId4"/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E7D9809F-F74C-413C-9E17-934BD89F42F1}">
            <x14:iconSet iconSet="3TrafficLights2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G16:I16</xm:sqref>
        </x14:conditionalFormatting>
        <x14:conditionalFormatting xmlns:xm="http://schemas.microsoft.com/office/excel/2006/main" pivot="1">
          <x14:cfRule type="iconSet" priority="4" id="{DA51F10C-4288-4C48-9FE1-81BEB20EBEE7}">
            <x14:iconSet iconSet="3Flags">
              <x14:cfvo type="percent">
                <xm:f>0</xm:f>
              </x14:cfvo>
              <x14:cfvo type="num">
                <xm:f>Param!$L$3</xm:f>
              </x14:cfvo>
              <x14:cfvo type="num" gte="0">
                <xm:f>Param!$K$3</xm:f>
              </x14:cfvo>
            </x14:iconSet>
          </x14:cfRule>
          <xm:sqref>C7</xm:sqref>
        </x14:conditionalFormatting>
        <x14:conditionalFormatting xmlns:xm="http://schemas.microsoft.com/office/excel/2006/main" pivot="1">
          <x14:cfRule type="iconSet" priority="3" id="{7D465146-FC70-4B4C-836D-6970E4A9491A}">
            <x14:iconSet iconSet="3Flags">
              <x14:cfvo type="percent">
                <xm:f>0</xm:f>
              </x14:cfvo>
              <x14:cfvo type="num">
                <xm:f>Param!$L$6</xm:f>
              </x14:cfvo>
              <x14:cfvo type="num" gte="0">
                <xm:f>Param!$K$6</xm:f>
              </x14:cfvo>
            </x14:iconSet>
          </x14:cfRule>
          <xm:sqref>C8</xm:sqref>
        </x14:conditionalFormatting>
        <x14:conditionalFormatting xmlns:xm="http://schemas.microsoft.com/office/excel/2006/main" pivot="1">
          <x14:cfRule type="iconSet" priority="2" id="{EB0FFF6C-3230-44BA-970E-40EBC3A4119A}">
            <x14:iconSet iconSet="3Flags">
              <x14:cfvo type="percent">
                <xm:f>0</xm:f>
              </x14:cfvo>
              <x14:cfvo type="num">
                <xm:f>Param!$L$4</xm:f>
              </x14:cfvo>
              <x14:cfvo type="num" gte="0">
                <xm:f>Param!$K$4</xm:f>
              </x14:cfvo>
            </x14:iconSet>
          </x14:cfRule>
          <xm:sqref>C9</xm:sqref>
        </x14:conditionalFormatting>
        <x14:conditionalFormatting xmlns:xm="http://schemas.microsoft.com/office/excel/2006/main" pivot="1">
          <x14:cfRule type="iconSet" priority="1" id="{980FEEBA-432F-404C-AA59-457956C92038}">
            <x14:iconSet iconSet="3Flags">
              <x14:cfvo type="percent">
                <xm:f>0</xm:f>
              </x14:cfvo>
              <x14:cfvo type="num">
                <xm:f>Param!$L$5</xm:f>
              </x14:cfvo>
              <x14:cfvo type="num" gte="0">
                <xm:f>Param!$K$5</xm:f>
              </x14:cfvo>
            </x14:iconSet>
          </x14:cfRule>
          <xm:sqref>C10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7C2B573-D316-403F-9A13-9ED0943751C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Agent</vt:lpstr>
      <vt:lpstr>Param</vt:lpstr>
      <vt:lpstr>Mvt poudre</vt:lpstr>
      <vt:lpstr>Mvt sphere</vt:lpstr>
      <vt:lpstr>Mvt BtChasse</vt:lpstr>
      <vt:lpstr>Graphique poudre</vt:lpstr>
      <vt:lpstr>List_BtChasse</vt:lpstr>
      <vt:lpstr>List_LieuPoudre</vt:lpstr>
      <vt:lpstr>List_MvtES</vt:lpstr>
      <vt:lpstr>List_VehSphere</vt:lpstr>
      <vt:lpstr>ListAgent</vt:lpstr>
      <vt:lpstr>ListVehicule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Jean-Eric</cp:lastModifiedBy>
  <cp:lastPrinted>2018-12-07T00:22:59Z</cp:lastPrinted>
  <dcterms:created xsi:type="dcterms:W3CDTF">2018-02-13T08:05:11Z</dcterms:created>
  <dcterms:modified xsi:type="dcterms:W3CDTF">2018-12-07T18:42:57Z</dcterms:modified>
</cp:coreProperties>
</file>