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718" activeTab="7"/>
  </bookViews>
  <sheets>
    <sheet name="Tableau de Bord" sheetId="1" r:id="rId1"/>
    <sheet name="Taux de productivité" sheetId="5" r:id="rId2"/>
    <sheet name="Données de Calcul " sheetId="6" r:id="rId3"/>
    <sheet name="TablepourTCD" sheetId="23" r:id="rId4"/>
    <sheet name="TCD" sheetId="25" r:id="rId5"/>
    <sheet name="Feuil6" sheetId="29" r:id="rId6"/>
    <sheet name="Sept." sheetId="17" r:id="rId7"/>
    <sheet name="Feuil1" sheetId="30" r:id="rId8"/>
  </sheets>
  <definedNames>
    <definedName name="cs_mois" comment="critère de sélection">'Tableau de Bord'!$D$22</definedName>
    <definedName name="cs_zone" comment="critère de sélection">'Tableau de Bord'!$B$22</definedName>
    <definedName name="d.mois" comment="liste déroulante">tbl_Productivité[Mois]</definedName>
    <definedName name="s.zone" comment="liste déroulante">tbl_Productivité[#Headers]</definedName>
    <definedName name="Segment_MOIS">#N/A</definedName>
    <definedName name="Segment_ZONE">#N/A</definedName>
    <definedName name="Tableauprod">tbl_Productivité[#All]</definedName>
    <definedName name="Tableevolution">tbl_Evolution[#All]</definedName>
  </definedNames>
  <calcPr calcId="162913"/>
  <pivotCaches>
    <pivotCache cacheId="4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29" l="1"/>
  <c r="C3" i="30" l="1"/>
  <c r="B4" i="30"/>
  <c r="E4" i="30" l="1"/>
  <c r="C4" i="30"/>
  <c r="C24" i="23"/>
  <c r="O16" i="5" l="1"/>
  <c r="O13" i="5"/>
  <c r="O14" i="5"/>
  <c r="O15" i="5"/>
  <c r="O12" i="5"/>
  <c r="A7" i="29" l="1"/>
  <c r="A6" i="29"/>
  <c r="A5" i="29"/>
  <c r="A4" i="29"/>
  <c r="A3" i="29"/>
  <c r="A2" i="29"/>
  <c r="L2" i="29"/>
  <c r="K2" i="29"/>
  <c r="J2" i="29"/>
  <c r="I2" i="29"/>
  <c r="H2" i="29"/>
  <c r="G2" i="29"/>
  <c r="F2" i="29"/>
  <c r="E2" i="29"/>
  <c r="D2" i="29"/>
  <c r="C2" i="29"/>
  <c r="B2" i="29"/>
  <c r="C2" i="23"/>
  <c r="C3" i="23"/>
  <c r="C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C41" i="23"/>
  <c r="C42" i="23"/>
  <c r="C43" i="23"/>
  <c r="C44" i="23"/>
  <c r="C45" i="23"/>
  <c r="C46" i="23"/>
  <c r="C47" i="23"/>
  <c r="C48" i="23"/>
  <c r="C49" i="23"/>
  <c r="C50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64" i="23"/>
  <c r="C65" i="23"/>
  <c r="C66" i="23"/>
  <c r="C67" i="23"/>
  <c r="K18" i="5" l="1"/>
  <c r="U3" i="1" l="1"/>
  <c r="U2" i="1"/>
  <c r="O17" i="5"/>
  <c r="L26" i="5"/>
  <c r="D28" i="5"/>
  <c r="N28" i="5"/>
  <c r="E28" i="5"/>
  <c r="F28" i="5"/>
  <c r="G28" i="5"/>
  <c r="H28" i="5"/>
  <c r="I28" i="5"/>
  <c r="J28" i="5"/>
  <c r="K28" i="5"/>
  <c r="L28" i="5"/>
  <c r="M28" i="5"/>
  <c r="N25" i="5"/>
  <c r="N26" i="5"/>
  <c r="N27" i="5"/>
  <c r="D24" i="5"/>
  <c r="E24" i="5"/>
  <c r="F24" i="5"/>
  <c r="G24" i="5"/>
  <c r="H24" i="5"/>
  <c r="I24" i="5"/>
  <c r="J24" i="5"/>
  <c r="K24" i="5"/>
  <c r="L24" i="5"/>
  <c r="M24" i="5"/>
  <c r="N24" i="5"/>
  <c r="D25" i="5"/>
  <c r="E25" i="5"/>
  <c r="F25" i="5"/>
  <c r="G25" i="5"/>
  <c r="H25" i="5"/>
  <c r="I25" i="5"/>
  <c r="J25" i="5"/>
  <c r="K25" i="5"/>
  <c r="L25" i="5"/>
  <c r="M25" i="5"/>
  <c r="D26" i="5"/>
  <c r="E26" i="5"/>
  <c r="F26" i="5"/>
  <c r="G26" i="5"/>
  <c r="H26" i="5"/>
  <c r="I26" i="5"/>
  <c r="J26" i="5"/>
  <c r="K26" i="5"/>
  <c r="M26" i="5"/>
  <c r="D27" i="5"/>
  <c r="E27" i="5"/>
  <c r="F27" i="5"/>
  <c r="G27" i="5"/>
  <c r="H27" i="5"/>
  <c r="I27" i="5"/>
  <c r="J27" i="5"/>
  <c r="K27" i="5"/>
  <c r="L27" i="5"/>
  <c r="M27" i="5"/>
  <c r="E23" i="5"/>
  <c r="F23" i="5"/>
  <c r="G23" i="5"/>
  <c r="H23" i="5"/>
  <c r="I23" i="5"/>
  <c r="J23" i="5"/>
  <c r="K23" i="5"/>
  <c r="L23" i="5"/>
  <c r="M23" i="5"/>
  <c r="N23" i="5"/>
  <c r="D23" i="5"/>
  <c r="O28" i="5" l="1"/>
  <c r="O27" i="5"/>
  <c r="O26" i="5"/>
  <c r="O25" i="5"/>
  <c r="O23" i="5"/>
  <c r="O24" i="5"/>
  <c r="D29" i="5"/>
  <c r="E18" i="5"/>
  <c r="F18" i="5"/>
  <c r="G18" i="5"/>
  <c r="H18" i="5"/>
  <c r="I18" i="5"/>
  <c r="J18" i="5"/>
  <c r="L18" i="5"/>
  <c r="M18" i="5"/>
  <c r="N18" i="5"/>
  <c r="D18" i="5"/>
  <c r="O18" i="5" l="1"/>
  <c r="K29" i="5"/>
  <c r="N29" i="5"/>
  <c r="F29" i="5"/>
  <c r="I29" i="5"/>
  <c r="L29" i="5"/>
  <c r="H29" i="5"/>
  <c r="M29" i="5"/>
  <c r="G29" i="5"/>
  <c r="J29" i="5"/>
  <c r="E29" i="5"/>
  <c r="O29" i="5" l="1"/>
</calcChain>
</file>

<file path=xl/sharedStrings.xml><?xml version="1.0" encoding="utf-8"?>
<sst xmlns="http://schemas.openxmlformats.org/spreadsheetml/2006/main" count="216" uniqueCount="46">
  <si>
    <t>Naka</t>
  </si>
  <si>
    <t>Fraisage</t>
  </si>
  <si>
    <t>Tournage</t>
  </si>
  <si>
    <t>Polissage</t>
  </si>
  <si>
    <t>Métrologie</t>
  </si>
  <si>
    <t>Anodisation</t>
  </si>
  <si>
    <t>Nettoyage</t>
  </si>
  <si>
    <t>Torche</t>
  </si>
  <si>
    <t>Contrôle Visuel</t>
  </si>
  <si>
    <t>SB-SG</t>
  </si>
  <si>
    <t>Marquage - Gravage</t>
  </si>
  <si>
    <t>Mois</t>
  </si>
  <si>
    <t>Juillet</t>
  </si>
  <si>
    <t>Août</t>
  </si>
  <si>
    <t>Septembre</t>
  </si>
  <si>
    <t>Octobre</t>
  </si>
  <si>
    <t>Novembre</t>
  </si>
  <si>
    <t>Décembre</t>
  </si>
  <si>
    <t>Moyenne</t>
  </si>
  <si>
    <t>Annuel</t>
  </si>
  <si>
    <t>TAUX D'EVOLUTION</t>
  </si>
  <si>
    <t>TAUX DE PRODUCTIVITE</t>
  </si>
  <si>
    <t>Date</t>
  </si>
  <si>
    <t>Heure</t>
  </si>
  <si>
    <t>MOIS</t>
  </si>
  <si>
    <t>ZONE</t>
  </si>
  <si>
    <t>Moyenne Annuelle</t>
  </si>
  <si>
    <t>JUILLET</t>
  </si>
  <si>
    <t>AOÛT</t>
  </si>
  <si>
    <t>SEPTEMBRE</t>
  </si>
  <si>
    <t>OCTOBRE</t>
  </si>
  <si>
    <t>NOVEMBRE</t>
  </si>
  <si>
    <t>DÉCEMBRE</t>
  </si>
  <si>
    <t>TAUX DE PRODUCTION</t>
  </si>
  <si>
    <t>Moyenne de TAUX DE PRODUCTION</t>
  </si>
  <si>
    <t>Total général</t>
  </si>
  <si>
    <t>UPDOWN</t>
  </si>
  <si>
    <t>q</t>
  </si>
  <si>
    <t>p</t>
  </si>
  <si>
    <t>initial</t>
  </si>
  <si>
    <t>modifié avec plages nommées</t>
  </si>
  <si>
    <t>(voir gestionnaire de noms)</t>
  </si>
  <si>
    <t>=cs_mois</t>
  </si>
  <si>
    <t>=cs_zone</t>
  </si>
  <si>
    <t>=INDEX(tbl_Productivité;EQUIV(C3;d.mois;0);EQUIV(B4;s.zone;0))</t>
  </si>
  <si>
    <t>=INDEX(tbl_Productivité[[Mois]:[Marquage - Gravage]];EQUIV(Feuil1!C3;tbl_Productivité[Mois];0);EQUIV(Feuil1!B4;tbl_Productivité[[#En-têtes];[Mois]:[Marquage - Gravage]];0))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</si>
</sst>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h:mm;@"/>
    <numFmt numFmtId="167" formatCode="0.0%"/>
    <numFmt numFmtId="168" formatCode="0.00%;[Red]\(0.00%\)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11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10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0" fontId="2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0" fontId="4" fillId="0" borderId="0" xfId="0" applyNumberFormat="1" applyFont="1" applyFill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165" fontId="9" fillId="3" borderId="0" xfId="0" applyNumberFormat="1" applyFont="1" applyFill="1" applyAlignment="1">
      <alignment horizontal="center" vertical="center"/>
    </xf>
    <xf numFmtId="164" fontId="9" fillId="3" borderId="0" xfId="0" applyNumberFormat="1" applyFont="1" applyFill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1" fillId="0" borderId="0" xfId="2"/>
    <xf numFmtId="167" fontId="0" fillId="0" borderId="0" xfId="1" applyNumberFormat="1" applyFont="1"/>
    <xf numFmtId="0" fontId="11" fillId="0" borderId="0" xfId="2" applyAlignment="1">
      <alignment horizontal="left" indent="1"/>
    </xf>
    <xf numFmtId="0" fontId="0" fillId="0" borderId="0" xfId="0" pivotButton="1" applyAlignment="1"/>
    <xf numFmtId="0" fontId="0" fillId="0" borderId="0" xfId="0" applyAlignment="1"/>
    <xf numFmtId="0" fontId="0" fillId="0" borderId="0" xfId="0" applyAlignment="1">
      <alignment vertical="center"/>
    </xf>
    <xf numFmtId="168" fontId="0" fillId="0" borderId="0" xfId="0" applyNumberFormat="1" applyAlignment="1">
      <alignment vertical="center"/>
    </xf>
    <xf numFmtId="167" fontId="1" fillId="0" borderId="0" xfId="1" applyNumberFormat="1" applyFont="1"/>
  </cellXfs>
  <cellStyles count="3">
    <cellStyle name="Normal" xfId="0" builtinId="0"/>
    <cellStyle name="Pourcentage" xfId="1" builtinId="5"/>
    <cellStyle name="Texte explicatif" xfId="2" builtinId="53"/>
  </cellStyles>
  <dxfs count="141"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68" formatCode="0.00%;[Red]\(0.00%\);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68" formatCode="0.00%;[Red]\(0.00%\);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68" formatCode="0.00%;[Red]\(0.00%\);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numFmt numFmtId="167" formatCode="0.0%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4.9989318521683403E-2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89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[TDBTauxderendement2016.xlsx]TCD!Tableau croisé dynamique18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200" b="1" i="0" u="sng">
                <a:solidFill>
                  <a:schemeClr val="tx1"/>
                </a:solidFill>
              </a:rPr>
              <a:t>Tendance d'évolution du taux de productivité</a:t>
            </a:r>
          </a:p>
        </c:rich>
      </c:tx>
      <c:layout>
        <c:manualLayout>
          <c:xMode val="edge"/>
          <c:yMode val="edge"/>
          <c:x val="0.20697418982791421"/>
          <c:y val="2.7580726721086468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0.12869225721784777"/>
          <c:y val="0.15782407407407409"/>
          <c:w val="0.84075218722659673"/>
          <c:h val="0.80285870516185476"/>
        </c:manualLayout>
      </c:layou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TCD!$A$4:$A$10</c:f>
              <c:strCache>
                <c:ptCount val="6"/>
                <c:pt idx="0">
                  <c:v>JUILLET</c:v>
                </c:pt>
                <c:pt idx="1">
                  <c:v>AOÛT</c:v>
                </c:pt>
                <c:pt idx="2">
                  <c:v>SEPTEMBRE</c:v>
                </c:pt>
                <c:pt idx="3">
                  <c:v>OCTOBRE</c:v>
                </c:pt>
                <c:pt idx="4">
                  <c:v>NOVEMBRE</c:v>
                </c:pt>
                <c:pt idx="5">
                  <c:v>DÉCEMBRE</c:v>
                </c:pt>
              </c:strCache>
            </c:strRef>
          </c:cat>
          <c:val>
            <c:numRef>
              <c:f>TCD!$B$4:$B$10</c:f>
              <c:numCache>
                <c:formatCode>0.00%;[Red]\(0.00%\);</c:formatCode>
                <c:ptCount val="6"/>
                <c:pt idx="0">
                  <c:v>0.68</c:v>
                </c:pt>
                <c:pt idx="1">
                  <c:v>0.72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17-4124-882D-1BBE51ECBC9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11953160"/>
        <c:axId val="411954144"/>
      </c:lineChart>
      <c:catAx>
        <c:axId val="411953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4144"/>
        <c:crosses val="autoZero"/>
        <c:auto val="1"/>
        <c:lblAlgn val="ctr"/>
        <c:lblOffset val="100"/>
        <c:noMultiLvlLbl val="0"/>
      </c:catAx>
      <c:valAx>
        <c:axId val="41195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;[Red]\(0.00%\)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1953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rPr>
              <a:t>Taux de productivité</a:t>
            </a:r>
          </a:p>
        </c:rich>
      </c:tx>
      <c:layout>
        <c:manualLayout>
          <c:xMode val="edge"/>
          <c:yMode val="edge"/>
          <c:x val="0.35428455818022747"/>
          <c:y val="1.851851851851851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400" b="1" i="0" u="sng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de productivité'!$C$12</c:f>
              <c:strCache>
                <c:ptCount val="1"/>
                <c:pt idx="0">
                  <c:v>Juillet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productivité'!$D$12:$O$12</c15:sqref>
                  </c15:fullRef>
                </c:ext>
              </c:extLst>
              <c:f>'Taux de productivité'!$D$12:$N$12</c:f>
              <c:numCache>
                <c:formatCode>0.00%</c:formatCode>
                <c:ptCount val="11"/>
                <c:pt idx="0">
                  <c:v>0.85</c:v>
                </c:pt>
                <c:pt idx="1">
                  <c:v>0.84</c:v>
                </c:pt>
                <c:pt idx="2">
                  <c:v>0.95</c:v>
                </c:pt>
                <c:pt idx="3">
                  <c:v>0.9</c:v>
                </c:pt>
                <c:pt idx="4">
                  <c:v>0.8</c:v>
                </c:pt>
                <c:pt idx="5">
                  <c:v>0.83</c:v>
                </c:pt>
                <c:pt idx="6">
                  <c:v>0.87</c:v>
                </c:pt>
                <c:pt idx="7">
                  <c:v>0.88</c:v>
                </c:pt>
                <c:pt idx="8">
                  <c:v>0.89</c:v>
                </c:pt>
                <c:pt idx="9">
                  <c:v>0.87</c:v>
                </c:pt>
                <c:pt idx="10">
                  <c:v>0.68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81-4371-AF2F-5F4419F87F1F}"/>
            </c:ext>
          </c:extLst>
        </c:ser>
        <c:ser>
          <c:idx val="1"/>
          <c:order val="1"/>
          <c:tx>
            <c:strRef>
              <c:f>'Taux de productivité'!$C$13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productivité'!$D$13:$O$13</c15:sqref>
                  </c15:fullRef>
                </c:ext>
              </c:extLst>
              <c:f>'Taux de productivité'!$D$13:$N$13</c:f>
              <c:numCache>
                <c:formatCode>0.00%</c:formatCode>
                <c:ptCount val="11"/>
                <c:pt idx="0">
                  <c:v>0.92</c:v>
                </c:pt>
                <c:pt idx="1">
                  <c:v>0.94</c:v>
                </c:pt>
                <c:pt idx="2">
                  <c:v>0.97</c:v>
                </c:pt>
                <c:pt idx="3">
                  <c:v>0.89</c:v>
                </c:pt>
                <c:pt idx="4">
                  <c:v>0.83</c:v>
                </c:pt>
                <c:pt idx="5">
                  <c:v>0.88</c:v>
                </c:pt>
                <c:pt idx="6">
                  <c:v>0.92</c:v>
                </c:pt>
                <c:pt idx="7">
                  <c:v>0.9</c:v>
                </c:pt>
                <c:pt idx="8">
                  <c:v>0.91</c:v>
                </c:pt>
                <c:pt idx="9">
                  <c:v>0.65</c:v>
                </c:pt>
                <c:pt idx="10">
                  <c:v>0.72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E581-4371-AF2F-5F4419F87F1F}"/>
            </c:ext>
          </c:extLst>
        </c:ser>
        <c:ser>
          <c:idx val="2"/>
          <c:order val="2"/>
          <c:tx>
            <c:strRef>
              <c:f>'Taux de productivité'!$C$14</c:f>
              <c:strCache>
                <c:ptCount val="1"/>
                <c:pt idx="0">
                  <c:v>Septembre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productivité'!$D$14:$O$14</c15:sqref>
                  </c15:fullRef>
                </c:ext>
              </c:extLst>
              <c:f>'Taux de productivité'!$D$14:$N$14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2-E581-4371-AF2F-5F4419F87F1F}"/>
            </c:ext>
          </c:extLst>
        </c:ser>
        <c:ser>
          <c:idx val="3"/>
          <c:order val="3"/>
          <c:tx>
            <c:strRef>
              <c:f>'Taux de productivité'!$C$15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productivité'!$D$15:$O$15</c15:sqref>
                  </c15:fullRef>
                </c:ext>
              </c:extLst>
              <c:f>'Taux de productivité'!$D$15:$N$15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3-E581-4371-AF2F-5F4419F87F1F}"/>
            </c:ext>
          </c:extLst>
        </c:ser>
        <c:ser>
          <c:idx val="4"/>
          <c:order val="4"/>
          <c:tx>
            <c:strRef>
              <c:f>'Taux de productivité'!$C$16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productivité'!$D$16:$O$16</c15:sqref>
                  </c15:fullRef>
                </c:ext>
              </c:extLst>
              <c:f>'Taux de productivité'!$D$16:$N$16</c:f>
              <c:numCache>
                <c:formatCode>0.00%</c:formatCode>
                <c:ptCount val="11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4-E581-4371-AF2F-5F4419F87F1F}"/>
            </c:ext>
          </c:extLst>
        </c:ser>
        <c:ser>
          <c:idx val="5"/>
          <c:order val="5"/>
          <c:tx>
            <c:strRef>
              <c:f>'Taux de productivité'!$C$17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'Taux de productivité'!$D$11:$O$11</c15:sqref>
                  </c15:fullRef>
                </c:ext>
              </c:extLst>
              <c:f>'Taux de productivité'!$D$11:$N$11</c:f>
              <c:strCache>
                <c:ptCount val="11"/>
                <c:pt idx="0">
                  <c:v>Naka</c:v>
                </c:pt>
                <c:pt idx="1">
                  <c:v>Fraisage</c:v>
                </c:pt>
                <c:pt idx="2">
                  <c:v>Tournage</c:v>
                </c:pt>
                <c:pt idx="3">
                  <c:v>Polissage</c:v>
                </c:pt>
                <c:pt idx="4">
                  <c:v>Métrologie</c:v>
                </c:pt>
                <c:pt idx="5">
                  <c:v>Anodisation</c:v>
                </c:pt>
                <c:pt idx="6">
                  <c:v>Nettoyage</c:v>
                </c:pt>
                <c:pt idx="7">
                  <c:v>Torche</c:v>
                </c:pt>
                <c:pt idx="8">
                  <c:v>Contrôle Visuel</c:v>
                </c:pt>
                <c:pt idx="9">
                  <c:v>SB-SG</c:v>
                </c:pt>
                <c:pt idx="10">
                  <c:v>Marquage - Gravage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'Taux de productivité'!$D$17:$O$17</c15:sqref>
                  </c15:fullRef>
                </c:ext>
              </c:extLst>
              <c:f>'Taux de productivité'!$D$17:$N$17</c:f>
              <c:numCache>
                <c:formatCode>0.00%</c:formatCode>
                <c:ptCount val="11"/>
              </c:numCache>
            </c:numRef>
          </c:val>
          <c:extLst>
            <c:ext xmlns:c16="http://schemas.microsoft.com/office/drawing/2014/chart" uri="{C3380CC4-5D6E-409C-BE32-E72D297353CC}">
              <c16:uniqueId val="{00000005-E581-4371-AF2F-5F4419F87F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32121904"/>
        <c:axId val="732122232"/>
        <c:extLst/>
      </c:barChart>
      <c:catAx>
        <c:axId val="73212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2232"/>
        <c:crosses val="autoZero"/>
        <c:auto val="1"/>
        <c:lblAlgn val="ctr"/>
        <c:lblOffset val="100"/>
        <c:noMultiLvlLbl val="0"/>
      </c:catAx>
      <c:valAx>
        <c:axId val="732122232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212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Torche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numFmt formatCode="0.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</c:f>
              <c:strCache>
                <c:ptCount val="1"/>
                <c:pt idx="0">
                  <c:v>Juillet</c:v>
                </c:pt>
              </c:strCache>
            </c:strRef>
          </c:cat>
          <c:val>
            <c:numRef>
              <c:f>Feuil1!$C$4</c:f>
              <c:numCache>
                <c:formatCode>0.0%</c:formatCode>
                <c:ptCount val="1"/>
                <c:pt idx="0">
                  <c:v>0.88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E5-4F5B-B7BF-BE7765EC01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9969128"/>
        <c:axId val="399969456"/>
      </c:barChart>
      <c:catAx>
        <c:axId val="39996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9969456"/>
        <c:crosses val="autoZero"/>
        <c:auto val="1"/>
        <c:lblAlgn val="ctr"/>
        <c:lblOffset val="100"/>
        <c:noMultiLvlLbl val="0"/>
      </c:catAx>
      <c:valAx>
        <c:axId val="399969456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9969128"/>
        <c:crosses val="autoZero"/>
        <c:crossBetween val="between"/>
        <c:majorUnit val="0.25"/>
        <c:minorUnit val="0.12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3.xml"/><Relationship Id="rId3" Type="http://schemas.openxmlformats.org/officeDocument/2006/relationships/hyperlink" Target="#'Tableau de Bord'!A1"/><Relationship Id="rId7" Type="http://schemas.openxmlformats.org/officeDocument/2006/relationships/chart" Target="../charts/chart2.xml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chart" Target="../charts/chart1.xml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Tableau de Bord'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5" Type="http://schemas.openxmlformats.org/officeDocument/2006/relationships/hyperlink" Target="#'Taux de productivit&#233;'!A1"/><Relationship Id="rId4" Type="http://schemas.openxmlformats.org/officeDocument/2006/relationships/hyperlink" Target="#'Donn&#233;es de Calcul 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8</xdr:row>
      <xdr:rowOff>28577</xdr:rowOff>
    </xdr:from>
    <xdr:to>
      <xdr:col>5</xdr:col>
      <xdr:colOff>66675</xdr:colOff>
      <xdr:row>17</xdr:row>
      <xdr:rowOff>47625</xdr:rowOff>
    </xdr:to>
    <xdr:sp macro="" textlink="">
      <xdr:nvSpPr>
        <xdr:cNvPr id="4" name="Rectangle 3"/>
        <xdr:cNvSpPr/>
      </xdr:nvSpPr>
      <xdr:spPr>
        <a:xfrm>
          <a:off x="19050" y="1400177"/>
          <a:ext cx="2028825" cy="1704973"/>
        </a:xfrm>
        <a:prstGeom prst="rect">
          <a:avLst/>
        </a:prstGeom>
        <a:noFill/>
        <a:ln w="28575">
          <a:solidFill>
            <a:schemeClr val="accent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>
            <a:noFill/>
          </a:endParaRPr>
        </a:p>
      </xdr:txBody>
    </xdr:sp>
    <xdr:clientData/>
  </xdr:twoCellAnchor>
  <xdr:twoCellAnchor editAs="absolute">
    <xdr:from>
      <xdr:col>1</xdr:col>
      <xdr:colOff>95250</xdr:colOff>
      <xdr:row>1</xdr:row>
      <xdr:rowOff>0</xdr:rowOff>
    </xdr:from>
    <xdr:to>
      <xdr:col>12</xdr:col>
      <xdr:colOff>1114425</xdr:colOff>
      <xdr:row>7</xdr:row>
      <xdr:rowOff>108570</xdr:rowOff>
    </xdr:to>
    <xdr:grpSp>
      <xdr:nvGrpSpPr>
        <xdr:cNvPr id="20" name="Groupe 19"/>
        <xdr:cNvGrpSpPr/>
      </xdr:nvGrpSpPr>
      <xdr:grpSpPr>
        <a:xfrm>
          <a:off x="200025" y="38100"/>
          <a:ext cx="9248775" cy="1251570"/>
          <a:chOff x="390525" y="38100"/>
          <a:chExt cx="11468100" cy="1251570"/>
        </a:xfrm>
      </xdr:grpSpPr>
      <xdr:sp macro="" textlink="">
        <xdr:nvSpPr>
          <xdr:cNvPr id="3" name="Rectangle à coins arrondis 2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b="1"/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8" name="Rectangle à coins arrondis 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1"/>
              <a:t>TABLEAU</a:t>
            </a:r>
            <a:r>
              <a:rPr lang="fr-FR" sz="800" b="1" baseline="0"/>
              <a:t> DE BORD</a:t>
            </a:r>
            <a:endParaRPr lang="fr-FR" sz="800" b="1"/>
          </a:p>
        </xdr:txBody>
      </xdr:sp>
      <xdr:sp macro="" textlink="">
        <xdr:nvSpPr>
          <xdr:cNvPr id="9" name="Rectangle à coins arrondis 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DONNEES </a:t>
            </a:r>
          </a:p>
        </xdr:txBody>
      </xdr:sp>
      <xdr:sp macro="" textlink="">
        <xdr:nvSpPr>
          <xdr:cNvPr id="10" name="Rectangle à coins arrondis 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DETAILS </a:t>
            </a:r>
          </a:p>
        </xdr:txBody>
      </xdr:sp>
      <xdr:sp macro="" textlink="">
        <xdr:nvSpPr>
          <xdr:cNvPr id="18" name="Rectangle à coins arrondis 17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  <xdr:twoCellAnchor editAs="absolute">
    <xdr:from>
      <xdr:col>1</xdr:col>
      <xdr:colOff>47626</xdr:colOff>
      <xdr:row>12</xdr:row>
      <xdr:rowOff>47625</xdr:rowOff>
    </xdr:from>
    <xdr:to>
      <xdr:col>4</xdr:col>
      <xdr:colOff>276225</xdr:colOff>
      <xdr:row>16</xdr:row>
      <xdr:rowOff>85725</xdr:rowOff>
    </xdr:to>
    <xdr:grpSp>
      <xdr:nvGrpSpPr>
        <xdr:cNvPr id="12" name="Groupe 11"/>
        <xdr:cNvGrpSpPr/>
      </xdr:nvGrpSpPr>
      <xdr:grpSpPr>
        <a:xfrm>
          <a:off x="152401" y="2152650"/>
          <a:ext cx="2038349" cy="800100"/>
          <a:chOff x="142876" y="2152650"/>
          <a:chExt cx="1809749" cy="800100"/>
        </a:xfrm>
      </xdr:grpSpPr>
      <xdr:sp macro="" textlink="">
        <xdr:nvSpPr>
          <xdr:cNvPr id="21" name="Rectangle à coins arrondis 20"/>
          <xdr:cNvSpPr/>
        </xdr:nvSpPr>
        <xdr:spPr>
          <a:xfrm>
            <a:off x="194831" y="2152650"/>
            <a:ext cx="1714499" cy="800100"/>
          </a:xfrm>
          <a:prstGeom prst="roundRect">
            <a:avLst/>
          </a:prstGeom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$U$2">
        <xdr:nvSpPr>
          <xdr:cNvPr id="22" name="Rectangle 21"/>
          <xdr:cNvSpPr/>
        </xdr:nvSpPr>
        <xdr:spPr>
          <a:xfrm>
            <a:off x="541194" y="2238375"/>
            <a:ext cx="987136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06F1FB64-84B2-4FE6-B36E-EAE69A67D275}" type="TxLink">
              <a:rPr lang="en-US" sz="1800" b="1" i="0" u="none" strike="noStrike">
                <a:solidFill>
                  <a:schemeClr val="bg1"/>
                </a:solidFill>
                <a:latin typeface="Calibri"/>
              </a:rPr>
              <a:pPr algn="ctr"/>
              <a:t>8:46</a:t>
            </a:fld>
            <a:endParaRPr lang="fr-FR" sz="1800" b="1">
              <a:solidFill>
                <a:schemeClr val="bg1"/>
              </a:solidFill>
            </a:endParaRPr>
          </a:p>
        </xdr:txBody>
      </xdr:sp>
      <xdr:sp macro="" textlink="$U$3">
        <xdr:nvSpPr>
          <xdr:cNvPr id="23" name="Rectangle 22"/>
          <xdr:cNvSpPr/>
        </xdr:nvSpPr>
        <xdr:spPr>
          <a:xfrm>
            <a:off x="142876" y="2543175"/>
            <a:ext cx="1809749" cy="32385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A6E3A41B-2802-4A38-B138-D9DB78E88ADE}" type="TxLink">
              <a:rPr lang="en-US" sz="1200" b="1" i="0" u="none" strike="noStrike">
                <a:solidFill>
                  <a:schemeClr val="bg1"/>
                </a:solidFill>
                <a:latin typeface="Calibri"/>
              </a:rPr>
              <a:pPr algn="ctr"/>
              <a:t>lundi 12 septembre 2016</a:t>
            </a:fld>
            <a:endParaRPr lang="fr-FR" sz="24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absolute">
    <xdr:from>
      <xdr:col>11</xdr:col>
      <xdr:colOff>352426</xdr:colOff>
      <xdr:row>30</xdr:row>
      <xdr:rowOff>0</xdr:rowOff>
    </xdr:from>
    <xdr:to>
      <xdr:col>12</xdr:col>
      <xdr:colOff>332026</xdr:colOff>
      <xdr:row>33</xdr:row>
      <xdr:rowOff>170100</xdr:rowOff>
    </xdr:to>
    <xdr:sp macro="" textlink="">
      <xdr:nvSpPr>
        <xdr:cNvPr id="2" name="Ellipse 1"/>
        <xdr:cNvSpPr/>
      </xdr:nvSpPr>
      <xdr:spPr>
        <a:xfrm>
          <a:off x="6905626" y="5457825"/>
          <a:ext cx="741600" cy="741600"/>
        </a:xfrm>
        <a:prstGeom prst="ellipse">
          <a:avLst/>
        </a:prstGeom>
        <a:gradFill>
          <a:gsLst>
            <a:gs pos="0">
              <a:schemeClr val="accent1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55000">
              <a:schemeClr val="accent1">
                <a:lumMod val="60000"/>
                <a:lumOff val="40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495301</xdr:colOff>
      <xdr:row>30</xdr:row>
      <xdr:rowOff>1</xdr:rowOff>
    </xdr:from>
    <xdr:to>
      <xdr:col>12</xdr:col>
      <xdr:colOff>1238251</xdr:colOff>
      <xdr:row>33</xdr:row>
      <xdr:rowOff>171451</xdr:rowOff>
    </xdr:to>
    <xdr:sp macro="" textlink="">
      <xdr:nvSpPr>
        <xdr:cNvPr id="14" name="Ellipse 13"/>
        <xdr:cNvSpPr/>
      </xdr:nvSpPr>
      <xdr:spPr>
        <a:xfrm>
          <a:off x="7810501" y="5457826"/>
          <a:ext cx="742950" cy="742950"/>
        </a:xfrm>
        <a:prstGeom prst="ellipse">
          <a:avLst/>
        </a:prstGeom>
        <a:gradFill>
          <a:gsLst>
            <a:gs pos="90055">
              <a:schemeClr val="accent2">
                <a:lumMod val="75000"/>
              </a:schemeClr>
            </a:gs>
            <a:gs pos="0">
              <a:schemeClr val="accent2">
                <a:lumMod val="20000"/>
                <a:lumOff val="80000"/>
              </a:schemeClr>
            </a:gs>
            <a:gs pos="100000">
              <a:schemeClr val="accent1">
                <a:lumMod val="75000"/>
              </a:schemeClr>
            </a:gs>
            <a:gs pos="42000">
              <a:schemeClr val="accent2">
                <a:lumMod val="40000"/>
                <a:lumOff val="60000"/>
              </a:schemeClr>
            </a:gs>
            <a:gs pos="100000">
              <a:schemeClr val="accent2">
                <a:lumMod val="75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104775</xdr:colOff>
      <xdr:row>9</xdr:row>
      <xdr:rowOff>9526</xdr:rowOff>
    </xdr:from>
    <xdr:to>
      <xdr:col>4</xdr:col>
      <xdr:colOff>228600</xdr:colOff>
      <xdr:row>11</xdr:row>
      <xdr:rowOff>133350</xdr:rowOff>
    </xdr:to>
    <xdr:sp macro="" textlink="">
      <xdr:nvSpPr>
        <xdr:cNvPr id="6" name="Rectangle 5"/>
        <xdr:cNvSpPr/>
      </xdr:nvSpPr>
      <xdr:spPr>
        <a:xfrm>
          <a:off x="200025" y="1543051"/>
          <a:ext cx="1704975" cy="504824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u="sng"/>
            <a:t>OUTILS TABLEAU DE BORD</a:t>
          </a:r>
        </a:p>
      </xdr:txBody>
    </xdr:sp>
    <xdr:clientData/>
  </xdr:twoCellAnchor>
  <xdr:twoCellAnchor>
    <xdr:from>
      <xdr:col>0</xdr:col>
      <xdr:colOff>28576</xdr:colOff>
      <xdr:row>17</xdr:row>
      <xdr:rowOff>123824</xdr:rowOff>
    </xdr:from>
    <xdr:to>
      <xdr:col>5</xdr:col>
      <xdr:colOff>66675</xdr:colOff>
      <xdr:row>22</xdr:row>
      <xdr:rowOff>85725</xdr:rowOff>
    </xdr:to>
    <xdr:grpSp>
      <xdr:nvGrpSpPr>
        <xdr:cNvPr id="13" name="Groupe 12"/>
        <xdr:cNvGrpSpPr/>
      </xdr:nvGrpSpPr>
      <xdr:grpSpPr>
        <a:xfrm>
          <a:off x="28576" y="3181349"/>
          <a:ext cx="2305049" cy="971551"/>
          <a:chOff x="38101" y="3819524"/>
          <a:chExt cx="2019300" cy="990601"/>
        </a:xfrm>
      </xdr:grpSpPr>
      <xdr:sp macro="" textlink="">
        <xdr:nvSpPr>
          <xdr:cNvPr id="7" name="Rectangle 6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/>
          <xdr:cNvSpPr/>
        </xdr:nvSpPr>
        <xdr:spPr>
          <a:xfrm>
            <a:off x="114300" y="3851218"/>
            <a:ext cx="1838325" cy="361950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  <xdr:twoCellAnchor editAs="absolute">
    <xdr:from>
      <xdr:col>5</xdr:col>
      <xdr:colOff>123825</xdr:colOff>
      <xdr:row>8</xdr:row>
      <xdr:rowOff>9525</xdr:rowOff>
    </xdr:from>
    <xdr:to>
      <xdr:col>11</xdr:col>
      <xdr:colOff>190500</xdr:colOff>
      <xdr:row>19</xdr:row>
      <xdr:rowOff>19050</xdr:rowOff>
    </xdr:to>
    <xdr:graphicFrame macro="">
      <xdr:nvGraphicFramePr>
        <xdr:cNvPr id="11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11</xdr:col>
      <xdr:colOff>238125</xdr:colOff>
      <xdr:row>8</xdr:row>
      <xdr:rowOff>9526</xdr:rowOff>
    </xdr:from>
    <xdr:to>
      <xdr:col>12</xdr:col>
      <xdr:colOff>1304925</xdr:colOff>
      <xdr:row>18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5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91325" y="1381126"/>
              <a:ext cx="182880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247650</xdr:colOff>
      <xdr:row>18</xdr:row>
      <xdr:rowOff>161926</xdr:rowOff>
    </xdr:from>
    <xdr:to>
      <xdr:col>12</xdr:col>
      <xdr:colOff>1314450</xdr:colOff>
      <xdr:row>29</xdr:row>
      <xdr:rowOff>104776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7" name="ZO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3409951"/>
              <a:ext cx="1828800" cy="1962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152399</xdr:colOff>
      <xdr:row>19</xdr:row>
      <xdr:rowOff>66675</xdr:rowOff>
    </xdr:from>
    <xdr:to>
      <xdr:col>11</xdr:col>
      <xdr:colOff>200024</xdr:colOff>
      <xdr:row>33</xdr:row>
      <xdr:rowOff>266700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28576</xdr:colOff>
      <xdr:row>22</xdr:row>
      <xdr:rowOff>142874</xdr:rowOff>
    </xdr:from>
    <xdr:to>
      <xdr:col>5</xdr:col>
      <xdr:colOff>66675</xdr:colOff>
      <xdr:row>33</xdr:row>
      <xdr:rowOff>276225</xdr:rowOff>
    </xdr:to>
    <xdr:grpSp>
      <xdr:nvGrpSpPr>
        <xdr:cNvPr id="24" name="Groupe 23"/>
        <xdr:cNvGrpSpPr/>
      </xdr:nvGrpSpPr>
      <xdr:grpSpPr>
        <a:xfrm>
          <a:off x="28576" y="4210049"/>
          <a:ext cx="2305049" cy="2095501"/>
          <a:chOff x="38101" y="3819524"/>
          <a:chExt cx="2019300" cy="990601"/>
        </a:xfrm>
      </xdr:grpSpPr>
      <xdr:sp macro="" textlink="">
        <xdr:nvSpPr>
          <xdr:cNvPr id="26" name="Rectangle 25"/>
          <xdr:cNvSpPr/>
        </xdr:nvSpPr>
        <xdr:spPr>
          <a:xfrm>
            <a:off x="38101" y="3819524"/>
            <a:ext cx="2019300" cy="990601"/>
          </a:xfrm>
          <a:prstGeom prst="rect">
            <a:avLst/>
          </a:prstGeom>
          <a:noFill/>
          <a:ln w="28575">
            <a:solidFill>
              <a:schemeClr val="accent1"/>
            </a:solidFill>
          </a:ln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114300" y="3851218"/>
            <a:ext cx="1838325" cy="175432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 u="sng"/>
              <a:t>CRITERE</a:t>
            </a:r>
            <a:r>
              <a:rPr lang="fr-FR" sz="1200" b="1" u="sng" baseline="0"/>
              <a:t>S DE SELECTION</a:t>
            </a:r>
            <a:endParaRPr lang="fr-FR" sz="1200" b="1" u="sng"/>
          </a:p>
        </xdr:txBody>
      </xdr:sp>
    </xdr:grpSp>
    <xdr:clientData/>
  </xdr:twoCellAnchor>
  <xdr:twoCellAnchor>
    <xdr:from>
      <xdr:col>1</xdr:col>
      <xdr:colOff>0</xdr:colOff>
      <xdr:row>26</xdr:row>
      <xdr:rowOff>28574</xdr:rowOff>
    </xdr:from>
    <xdr:to>
      <xdr:col>4</xdr:col>
      <xdr:colOff>342900</xdr:colOff>
      <xdr:row>33</xdr:row>
      <xdr:rowOff>152399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161925</xdr:colOff>
      <xdr:row>0</xdr:row>
      <xdr:rowOff>28575</xdr:rowOff>
    </xdr:from>
    <xdr:to>
      <xdr:col>13</xdr:col>
      <xdr:colOff>695325</xdr:colOff>
      <xdr:row>6</xdr:row>
      <xdr:rowOff>260970</xdr:rowOff>
    </xdr:to>
    <xdr:grpSp>
      <xdr:nvGrpSpPr>
        <xdr:cNvPr id="25" name="Groupe 24"/>
        <xdr:cNvGrpSpPr/>
      </xdr:nvGrpSpPr>
      <xdr:grpSpPr>
        <a:xfrm>
          <a:off x="381000" y="28575"/>
          <a:ext cx="13030200" cy="1251570"/>
          <a:chOff x="390525" y="38100"/>
          <a:chExt cx="11468100" cy="1251570"/>
        </a:xfrm>
      </xdr:grpSpPr>
      <xdr:sp macro="" textlink="">
        <xdr:nvSpPr>
          <xdr:cNvPr id="26" name="Rectangle à coins arrondis 25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27" name="Image 26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28" name="Rectangle à coins arrondis 27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29" name="Rectangle à coins arrondis 28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30" name="Rectangle à coins arrondis 29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31" name="Rectangle à coins arrondis 30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180975</xdr:colOff>
      <xdr:row>0</xdr:row>
      <xdr:rowOff>47625</xdr:rowOff>
    </xdr:from>
    <xdr:to>
      <xdr:col>17</xdr:col>
      <xdr:colOff>47625</xdr:colOff>
      <xdr:row>7</xdr:row>
      <xdr:rowOff>99045</xdr:rowOff>
    </xdr:to>
    <xdr:grpSp>
      <xdr:nvGrpSpPr>
        <xdr:cNvPr id="9" name="Groupe 8"/>
        <xdr:cNvGrpSpPr/>
      </xdr:nvGrpSpPr>
      <xdr:grpSpPr>
        <a:xfrm>
          <a:off x="400050" y="47625"/>
          <a:ext cx="12668250" cy="1251570"/>
          <a:chOff x="390525" y="38100"/>
          <a:chExt cx="11468100" cy="1251570"/>
        </a:xfrm>
      </xdr:grpSpPr>
      <xdr:sp macro="" textlink="">
        <xdr:nvSpPr>
          <xdr:cNvPr id="10" name="Rectangle à coins arrondis 9"/>
          <xdr:cNvSpPr/>
        </xdr:nvSpPr>
        <xdr:spPr>
          <a:xfrm>
            <a:off x="390525" y="38100"/>
            <a:ext cx="11468100" cy="1228725"/>
          </a:xfrm>
          <a:prstGeom prst="roundRect">
            <a:avLst/>
          </a:prstGeom>
          <a:solidFill>
            <a:schemeClr val="accent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11" name="Image 10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7895" b="89474" l="2920" r="100000">
                        <a14:backgroundMark x1="15328" y1="68421" x2="15328" y2="68421"/>
                        <a14:backgroundMark x1="33577" y1="65789" x2="33577" y2="65789"/>
                        <a14:backgroundMark x1="51825" y1="55263" x2="51825" y2="55263"/>
                      </a14:backgroundRemoval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391775" y="924892"/>
            <a:ext cx="1304925" cy="364778"/>
          </a:xfrm>
          <a:prstGeom prst="rect">
            <a:avLst/>
          </a:prstGeom>
        </xdr:spPr>
      </xdr:pic>
      <xdr:sp macro="" textlink="">
        <xdr:nvSpPr>
          <xdr:cNvPr id="12" name="Rectangle à coins arrondis 11">
            <a:hlinkClick xmlns:r="http://schemas.openxmlformats.org/officeDocument/2006/relationships" r:id="rId3"/>
          </xdr:cNvPr>
          <xdr:cNvSpPr/>
        </xdr:nvSpPr>
        <xdr:spPr>
          <a:xfrm>
            <a:off x="2638425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TABLEAU</a:t>
            </a:r>
            <a:r>
              <a:rPr lang="fr-FR" sz="1100" baseline="0"/>
              <a:t> DE BORD</a:t>
            </a:r>
            <a:endParaRPr lang="fr-FR" sz="1100"/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4"/>
          </xdr:cNvPr>
          <xdr:cNvSpPr/>
        </xdr:nvSpPr>
        <xdr:spPr>
          <a:xfrm>
            <a:off x="811530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DONNEES 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5"/>
          </xdr:cNvPr>
          <xdr:cNvSpPr/>
        </xdr:nvSpPr>
        <xdr:spPr>
          <a:xfrm>
            <a:off x="5391150" y="738709"/>
            <a:ext cx="1438275" cy="383977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5">
              <a:shade val="50000"/>
            </a:schemeClr>
          </a:lnRef>
          <a:fillRef idx="1">
            <a:schemeClr val="accent5"/>
          </a:fillRef>
          <a:effectRef idx="0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DETAILS </a:t>
            </a:r>
          </a:p>
        </xdr:txBody>
      </xdr:sp>
      <xdr:sp macro="" textlink="">
        <xdr:nvSpPr>
          <xdr:cNvPr id="15" name="Rectangle à coins arrondis 14"/>
          <xdr:cNvSpPr/>
        </xdr:nvSpPr>
        <xdr:spPr>
          <a:xfrm>
            <a:off x="1885950" y="95250"/>
            <a:ext cx="8410575" cy="352425"/>
          </a:xfrm>
          <a:prstGeom prst="round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 b="1"/>
              <a:t>TAUX DE PRODUCTIVITE 2016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0</xdr:row>
      <xdr:rowOff>85725</xdr:rowOff>
    </xdr:from>
    <xdr:to>
      <xdr:col>2</xdr:col>
      <xdr:colOff>485775</xdr:colOff>
      <xdr:row>5</xdr:row>
      <xdr:rowOff>133350</xdr:rowOff>
    </xdr:to>
    <xdr:sp macro="" textlink="">
      <xdr:nvSpPr>
        <xdr:cNvPr id="2" name="Multiplication 1"/>
        <xdr:cNvSpPr/>
      </xdr:nvSpPr>
      <xdr:spPr>
        <a:xfrm>
          <a:off x="1219200" y="85725"/>
          <a:ext cx="1038225" cy="1000125"/>
        </a:xfrm>
        <a:prstGeom prst="mathMultiply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523875</xdr:colOff>
      <xdr:row>7</xdr:row>
      <xdr:rowOff>0</xdr:rowOff>
    </xdr:from>
    <xdr:to>
      <xdr:col>9</xdr:col>
      <xdr:colOff>389692</xdr:colOff>
      <xdr:row>28</xdr:row>
      <xdr:rowOff>113786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62075" y="1333500"/>
          <a:ext cx="6666667" cy="411428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2625.339395370371" missingItemsLimit="0" createdVersion="6" refreshedVersion="6" minRefreshableVersion="3" recordCount="66">
  <cacheSource type="worksheet">
    <worksheetSource name="tbl_Données"/>
  </cacheSource>
  <cacheFields count="3">
    <cacheField name="ZONE" numFmtId="0">
      <sharedItems count="11">
        <s v="Naka"/>
        <s v="Fraisage"/>
        <s v="Tournage"/>
        <s v="Polissage"/>
        <s v="Métrologie"/>
        <s v="Anodisation"/>
        <s v="Nettoyage"/>
        <s v="Torche"/>
        <s v="Contrôle Visuel"/>
        <s v="SB-SG"/>
        <s v="Marquage - Gravage"/>
      </sharedItems>
    </cacheField>
    <cacheField name="MOIS" numFmtId="10">
      <sharedItems count="6">
        <s v="JUILLET"/>
        <s v="AOÛT"/>
        <s v="SEPTEMBRE"/>
        <s v="OCTOBRE"/>
        <s v="NOVEMBRE"/>
        <s v="DÉCEMBRE"/>
      </sharedItems>
    </cacheField>
    <cacheField name="TAUX DE PRODUCTION" numFmtId="10">
      <sharedItems containsSemiMixedTypes="0" containsString="0" containsNumber="1" minValue="0" maxValue="0.97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n v="0.85"/>
  </r>
  <r>
    <x v="0"/>
    <x v="1"/>
    <n v="0.92"/>
  </r>
  <r>
    <x v="0"/>
    <x v="2"/>
    <n v="0"/>
  </r>
  <r>
    <x v="0"/>
    <x v="3"/>
    <n v="0"/>
  </r>
  <r>
    <x v="0"/>
    <x v="4"/>
    <n v="0"/>
  </r>
  <r>
    <x v="0"/>
    <x v="5"/>
    <n v="0"/>
  </r>
  <r>
    <x v="1"/>
    <x v="0"/>
    <n v="0.84"/>
  </r>
  <r>
    <x v="1"/>
    <x v="1"/>
    <n v="0.94"/>
  </r>
  <r>
    <x v="1"/>
    <x v="2"/>
    <n v="0"/>
  </r>
  <r>
    <x v="1"/>
    <x v="3"/>
    <n v="0"/>
  </r>
  <r>
    <x v="1"/>
    <x v="4"/>
    <n v="0"/>
  </r>
  <r>
    <x v="1"/>
    <x v="5"/>
    <n v="0"/>
  </r>
  <r>
    <x v="2"/>
    <x v="0"/>
    <n v="0.95"/>
  </r>
  <r>
    <x v="2"/>
    <x v="1"/>
    <n v="0.97"/>
  </r>
  <r>
    <x v="2"/>
    <x v="2"/>
    <n v="0"/>
  </r>
  <r>
    <x v="2"/>
    <x v="3"/>
    <n v="0"/>
  </r>
  <r>
    <x v="2"/>
    <x v="4"/>
    <n v="0"/>
  </r>
  <r>
    <x v="2"/>
    <x v="5"/>
    <n v="0"/>
  </r>
  <r>
    <x v="3"/>
    <x v="0"/>
    <n v="0.9"/>
  </r>
  <r>
    <x v="3"/>
    <x v="1"/>
    <n v="0.89"/>
  </r>
  <r>
    <x v="3"/>
    <x v="2"/>
    <n v="0"/>
  </r>
  <r>
    <x v="3"/>
    <x v="3"/>
    <n v="0"/>
  </r>
  <r>
    <x v="3"/>
    <x v="4"/>
    <n v="0"/>
  </r>
  <r>
    <x v="3"/>
    <x v="5"/>
    <n v="0"/>
  </r>
  <r>
    <x v="4"/>
    <x v="0"/>
    <n v="0.8"/>
  </r>
  <r>
    <x v="4"/>
    <x v="1"/>
    <n v="0.83"/>
  </r>
  <r>
    <x v="4"/>
    <x v="2"/>
    <n v="0"/>
  </r>
  <r>
    <x v="4"/>
    <x v="3"/>
    <n v="0"/>
  </r>
  <r>
    <x v="4"/>
    <x v="4"/>
    <n v="0"/>
  </r>
  <r>
    <x v="4"/>
    <x v="5"/>
    <n v="0"/>
  </r>
  <r>
    <x v="5"/>
    <x v="0"/>
    <n v="0.83"/>
  </r>
  <r>
    <x v="5"/>
    <x v="1"/>
    <n v="0.88"/>
  </r>
  <r>
    <x v="5"/>
    <x v="2"/>
    <n v="0"/>
  </r>
  <r>
    <x v="5"/>
    <x v="3"/>
    <n v="0"/>
  </r>
  <r>
    <x v="5"/>
    <x v="4"/>
    <n v="0"/>
  </r>
  <r>
    <x v="5"/>
    <x v="5"/>
    <n v="0"/>
  </r>
  <r>
    <x v="6"/>
    <x v="0"/>
    <n v="0.87"/>
  </r>
  <r>
    <x v="6"/>
    <x v="1"/>
    <n v="0.92"/>
  </r>
  <r>
    <x v="6"/>
    <x v="2"/>
    <n v="0"/>
  </r>
  <r>
    <x v="6"/>
    <x v="3"/>
    <n v="0"/>
  </r>
  <r>
    <x v="6"/>
    <x v="4"/>
    <n v="0"/>
  </r>
  <r>
    <x v="6"/>
    <x v="5"/>
    <n v="0"/>
  </r>
  <r>
    <x v="7"/>
    <x v="0"/>
    <n v="0.88"/>
  </r>
  <r>
    <x v="7"/>
    <x v="1"/>
    <n v="0.9"/>
  </r>
  <r>
    <x v="7"/>
    <x v="2"/>
    <n v="0"/>
  </r>
  <r>
    <x v="7"/>
    <x v="3"/>
    <n v="0"/>
  </r>
  <r>
    <x v="7"/>
    <x v="4"/>
    <n v="0"/>
  </r>
  <r>
    <x v="7"/>
    <x v="5"/>
    <n v="0"/>
  </r>
  <r>
    <x v="8"/>
    <x v="0"/>
    <n v="0.89"/>
  </r>
  <r>
    <x v="8"/>
    <x v="1"/>
    <n v="0.91"/>
  </r>
  <r>
    <x v="8"/>
    <x v="2"/>
    <n v="0"/>
  </r>
  <r>
    <x v="8"/>
    <x v="3"/>
    <n v="0"/>
  </r>
  <r>
    <x v="8"/>
    <x v="4"/>
    <n v="0"/>
  </r>
  <r>
    <x v="8"/>
    <x v="5"/>
    <n v="0"/>
  </r>
  <r>
    <x v="9"/>
    <x v="0"/>
    <n v="0.87"/>
  </r>
  <r>
    <x v="9"/>
    <x v="1"/>
    <n v="0.65"/>
  </r>
  <r>
    <x v="9"/>
    <x v="2"/>
    <n v="0"/>
  </r>
  <r>
    <x v="9"/>
    <x v="3"/>
    <n v="0"/>
  </r>
  <r>
    <x v="9"/>
    <x v="4"/>
    <n v="0"/>
  </r>
  <r>
    <x v="9"/>
    <x v="5"/>
    <n v="0"/>
  </r>
  <r>
    <x v="10"/>
    <x v="0"/>
    <n v="0.68"/>
  </r>
  <r>
    <x v="10"/>
    <x v="1"/>
    <n v="0.72"/>
  </r>
  <r>
    <x v="10"/>
    <x v="2"/>
    <n v="0"/>
  </r>
  <r>
    <x v="10"/>
    <x v="3"/>
    <n v="0"/>
  </r>
  <r>
    <x v="10"/>
    <x v="4"/>
    <n v="0"/>
  </r>
  <r>
    <x v="10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8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">
  <location ref="A3:B10" firstHeaderRow="1" firstDataRow="1" firstDataCol="1" rowPageCount="1" colPageCount="1"/>
  <pivotFields count="3">
    <pivotField axis="axisPage" compact="0" outline="0" multipleItemSelectionAllowed="1" showAll="0">
      <items count="12">
        <item h="1" x="5"/>
        <item h="1" x="8"/>
        <item h="1" x="1"/>
        <item x="10"/>
        <item h="1" x="4"/>
        <item h="1" x="0"/>
        <item h="1" x="6"/>
        <item h="1" x="3"/>
        <item h="1" x="9"/>
        <item h="1" x="7"/>
        <item h="1" x="2"/>
        <item t="default"/>
      </items>
    </pivotField>
    <pivotField axis="axisRow" compact="0" outline="0" multipleItemSelectionAllowed="1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0" hier="-1"/>
  </pageFields>
  <dataFields count="1">
    <dataField name="Moyenne de TAUX DE PRODUCTION" fld="2" subtotal="average" baseField="1" baseItem="2" numFmtId="168"/>
  </dataFields>
  <formats count="22">
    <format dxfId="80">
      <pivotArea outline="0" collapsedLevelsAreSubtotals="1" fieldPosition="0"/>
    </format>
    <format dxfId="79">
      <pivotArea outline="0" collapsedLevelsAreSubtotals="1" fieldPosition="0"/>
    </format>
    <format dxfId="78">
      <pivotArea dataOnly="0" labelOnly="1" fieldPosition="0">
        <references count="1">
          <reference field="1" count="0"/>
        </references>
      </pivotArea>
    </format>
    <format dxfId="77">
      <pivotArea dataOnly="0" labelOnly="1" grandRow="1" outline="0" fieldPosition="0"/>
    </format>
    <format dxfId="76">
      <pivotArea outline="0" collapsedLevelsAreSubtotals="1" fieldPosition="0"/>
    </format>
    <format dxfId="75">
      <pivotArea dataOnly="0" labelOnly="1" fieldPosition="0">
        <references count="1">
          <reference field="1" count="0"/>
        </references>
      </pivotArea>
    </format>
    <format dxfId="74">
      <pivotArea dataOnly="0" labelOnly="1" grandRow="1" outline="0" fieldPosition="0"/>
    </format>
    <format dxfId="58">
      <pivotArea outline="0" fieldPosition="0">
        <references count="1">
          <reference field="4294967294" count="1">
            <x v="0"/>
          </reference>
        </references>
      </pivotArea>
    </format>
    <format dxfId="57">
      <pivotArea type="all" dataOnly="0" outline="0" fieldPosition="0"/>
    </format>
    <format dxfId="56">
      <pivotArea outline="0" collapsedLevelsAreSubtotals="1" fieldPosition="0"/>
    </format>
    <format dxfId="55">
      <pivotArea field="1" type="button" dataOnly="0" labelOnly="1" outline="0" axis="axisRow" fieldPosition="0"/>
    </format>
    <format dxfId="54">
      <pivotArea dataOnly="0" labelOnly="1" outline="0" axis="axisValues" fieldPosition="0"/>
    </format>
    <format dxfId="53">
      <pivotArea dataOnly="0" labelOnly="1" outline="0" fieldPosition="0">
        <references count="1">
          <reference field="1" count="0"/>
        </references>
      </pivotArea>
    </format>
    <format dxfId="52">
      <pivotArea dataOnly="0" labelOnly="1" grandRow="1" outline="0" fieldPosition="0"/>
    </format>
    <format dxfId="51">
      <pivotArea dataOnly="0" labelOnly="1" outline="0" axis="axisValues" fieldPosition="0"/>
    </format>
    <format dxfId="50">
      <pivotArea type="all" dataOnly="0" outline="0" fieldPosition="0"/>
    </format>
    <format dxfId="49">
      <pivotArea outline="0" collapsedLevelsAreSubtotals="1" fieldPosition="0"/>
    </format>
    <format dxfId="48">
      <pivotArea field="1" type="button" dataOnly="0" labelOnly="1" outline="0" axis="axisRow" fieldPosition="0"/>
    </format>
    <format dxfId="47">
      <pivotArea dataOnly="0" labelOnly="1" outline="0" axis="axisValues" fieldPosition="0"/>
    </format>
    <format dxfId="46">
      <pivotArea dataOnly="0" labelOnly="1" outline="0" fieldPosition="0">
        <references count="1">
          <reference field="1" count="0"/>
        </references>
      </pivotArea>
    </format>
    <format dxfId="45">
      <pivotArea dataOnly="0" labelOnly="1" grandRow="1" outline="0" fieldPosition="0"/>
    </format>
    <format dxfId="44">
      <pivotArea dataOnly="0" labelOnly="1" outline="0" axis="axisValues" fieldPosition="0"/>
    </format>
  </formats>
  <chartFormats count="1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5" name="Tableau croisé dynamique18"/>
  </pivotTables>
  <data>
    <tabular pivotCacheId="1">
      <items count="6">
        <i x="0" s="1"/>
        <i x="1" s="1"/>
        <i x="2" s="1"/>
        <i x="3" s="1"/>
        <i x="4" s="1"/>
        <i x="5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" sourceName="ZONE">
  <pivotTables>
    <pivotTable tabId="25" name="Tableau croisé dynamique18"/>
  </pivotTables>
  <data>
    <tabular pivotCacheId="1">
      <items count="11">
        <i x="5"/>
        <i x="8"/>
        <i x="1"/>
        <i x="10" s="1"/>
        <i x="4"/>
        <i x="0"/>
        <i x="6"/>
        <i x="3"/>
        <i x="9"/>
        <i x="7"/>
        <i x="2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style="SlicerStyleLight5" rowHeight="241300"/>
  <slicer name="ZONE" cache="Segment_ZONE" caption="ZONE" columnCount="2" style="SlicerStyleLight2" rowHeight="241300"/>
</slicers>
</file>

<file path=xl/tables/table1.xml><?xml version="1.0" encoding="utf-8"?>
<table xmlns="http://schemas.openxmlformats.org/spreadsheetml/2006/main" id="1" name="tbl_Productivité" displayName="tbl_Productivité" ref="C11:O18" totalsRowCount="1" headerRowDxfId="138" dataDxfId="137" totalsRowDxfId="136">
  <autoFilter ref="C11:O17"/>
  <tableColumns count="13">
    <tableColumn id="1" name="Mois" totalsRowLabel="Moyenne Annuelle" dataDxfId="135" totalsRowDxfId="134"/>
    <tableColumn id="2" name="Naka" totalsRowFunction="custom" dataDxfId="133" totalsRowDxfId="132">
      <totalsRowFormula>AVERAGE(tbl_Productivité[Naka])</totalsRowFormula>
    </tableColumn>
    <tableColumn id="3" name="Fraisage" totalsRowFunction="custom" dataDxfId="131" totalsRowDxfId="130">
      <totalsRowFormula>AVERAGE(tbl_Productivité[Fraisage])</totalsRowFormula>
    </tableColumn>
    <tableColumn id="4" name="Tournage" totalsRowFunction="custom" dataDxfId="129" totalsRowDxfId="128">
      <totalsRowFormula>AVERAGE(tbl_Productivité[Tournage])</totalsRowFormula>
    </tableColumn>
    <tableColumn id="5" name="Polissage" totalsRowFunction="custom" dataDxfId="127" totalsRowDxfId="126">
      <totalsRowFormula>AVERAGE(tbl_Productivité[Polissage])</totalsRowFormula>
    </tableColumn>
    <tableColumn id="6" name="Métrologie" totalsRowFunction="custom" dataDxfId="125" totalsRowDxfId="124">
      <totalsRowFormula>AVERAGE(tbl_Productivité[Métrologie])</totalsRowFormula>
    </tableColumn>
    <tableColumn id="7" name="Anodisation" totalsRowFunction="custom" dataDxfId="123" totalsRowDxfId="122">
      <totalsRowFormula>AVERAGE(tbl_Productivité[Anodisation])</totalsRowFormula>
    </tableColumn>
    <tableColumn id="8" name="Nettoyage" totalsRowFunction="custom" dataDxfId="121" totalsRowDxfId="120">
      <totalsRowFormula>AVERAGE(tbl_Productivité[Nettoyage])</totalsRowFormula>
    </tableColumn>
    <tableColumn id="9" name="Torche" totalsRowFunction="custom" dataDxfId="119" totalsRowDxfId="118">
      <totalsRowFormula>AVERAGE(tbl_Productivité[Torche])</totalsRowFormula>
    </tableColumn>
    <tableColumn id="10" name="Contrôle Visuel" totalsRowFunction="custom" dataDxfId="117" totalsRowDxfId="116">
      <totalsRowFormula>AVERAGE(tbl_Productivité[Contrôle Visuel])</totalsRowFormula>
    </tableColumn>
    <tableColumn id="11" name="SB-SG" totalsRowFunction="custom" dataDxfId="115" totalsRowDxfId="114">
      <totalsRowFormula>AVERAGE(tbl_Productivité[SB-SG])</totalsRowFormula>
    </tableColumn>
    <tableColumn id="12" name="Marquage - Gravage" totalsRowFunction="custom" dataDxfId="113" totalsRowDxfId="112">
      <totalsRowFormula>AVERAGE(tbl_Productivité[Marquage - Gravage])</totalsRowFormula>
    </tableColumn>
    <tableColumn id="13" name="Moyenne" totalsRowFunction="custom" dataDxfId="111" totalsRowDxfId="110">
      <calculatedColumnFormula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calculatedColumnFormula>
      <totalsRowFormula>AVERAGE(tbl_Productivité[[#Totals],[Naka]:[Marquage - Gravage]])</totalsRow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bl_Evolution" displayName="tbl_Evolution" ref="C22:O29" totalsRowCount="1" headerRowDxfId="109" dataDxfId="108" totalsRowDxfId="107">
  <autoFilter ref="C22:O28"/>
  <tableColumns count="13">
    <tableColumn id="1" name="Mois" totalsRowLabel="Moyenne Annuelle" dataDxfId="106" totalsRowDxfId="105"/>
    <tableColumn id="2" name="Naka" totalsRowFunction="custom" dataDxfId="104" totalsRowDxfId="103">
      <calculatedColumnFormula>(D13-D12)/D12</calculatedColumnFormula>
      <totalsRowFormula>AVERAGE(D23:D27)</totalsRowFormula>
    </tableColumn>
    <tableColumn id="3" name="Fraisage" totalsRowFunction="custom" dataDxfId="102" totalsRowDxfId="101">
      <totalsRowFormula>AVERAGE(E23:E27)</totalsRowFormula>
    </tableColumn>
    <tableColumn id="4" name="Tournage" totalsRowFunction="custom" dataDxfId="100" totalsRowDxfId="99">
      <totalsRowFormula>AVERAGE(F23:F27)</totalsRowFormula>
    </tableColumn>
    <tableColumn id="5" name="Polissage" totalsRowFunction="custom" dataDxfId="98" totalsRowDxfId="97">
      <totalsRowFormula>AVERAGE(G23:G27)</totalsRowFormula>
    </tableColumn>
    <tableColumn id="6" name="Métrologie" totalsRowFunction="custom" dataDxfId="96" totalsRowDxfId="95">
      <totalsRowFormula>AVERAGE(H23:H27)</totalsRowFormula>
    </tableColumn>
    <tableColumn id="7" name="Anodisation" totalsRowFunction="custom" dataDxfId="94" totalsRowDxfId="93">
      <totalsRowFormula>AVERAGE(I23:I27)</totalsRowFormula>
    </tableColumn>
    <tableColumn id="8" name="Nettoyage" totalsRowFunction="custom" dataDxfId="92" totalsRowDxfId="91">
      <totalsRowFormula>AVERAGE(J23:J27)</totalsRowFormula>
    </tableColumn>
    <tableColumn id="9" name="Torche" totalsRowFunction="custom" dataDxfId="90" totalsRowDxfId="89">
      <totalsRowFormula>AVERAGE(K23:K27)</totalsRowFormula>
    </tableColumn>
    <tableColumn id="10" name="Contrôle Visuel" totalsRowFunction="custom" dataDxfId="88" totalsRowDxfId="87">
      <totalsRowFormula>AVERAGE(L23:L27)</totalsRowFormula>
    </tableColumn>
    <tableColumn id="11" name="SB-SG" totalsRowFunction="custom" dataDxfId="86" totalsRowDxfId="85">
      <totalsRowFormula>AVERAGE(M23:M27)</totalsRowFormula>
    </tableColumn>
    <tableColumn id="12" name="Marquage - Gravage" totalsRowFunction="custom" dataDxfId="84" totalsRowDxfId="83">
      <totalsRowFormula>AVERAGE(N23:N27)</totalsRowFormula>
    </tableColumn>
    <tableColumn id="13" name="Moyenne" totalsRowFunction="custom" dataDxfId="82" totalsRowDxfId="81">
      <totalsRowFormula>AVERAGE(O23:O27)</totalsRow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bl_Données" displayName="tbl_Données" comment="données source TCD" ref="A1:C67" totalsRowShown="0" headerRowCellStyle="Normal" dataCellStyle="Normal">
  <autoFilter ref="A1:C67"/>
  <tableColumns count="3">
    <tableColumn id="1" name="ZONE" dataCellStyle="Normal"/>
    <tableColumn id="2" name="MOIS" dataCellStyle="Normal"/>
    <tableColumn id="3" name="TAUX DE PRODUCTION" dataDxfId="66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34"/>
  <sheetViews>
    <sheetView showGridLines="0" workbookViewId="0">
      <pane ySplit="8" topLeftCell="A21" activePane="bottomLeft" state="frozen"/>
      <selection pane="bottomLeft" activeCell="B22" sqref="B22:C22"/>
    </sheetView>
  </sheetViews>
  <sheetFormatPr baseColWidth="10" defaultColWidth="11.375" defaultRowHeight="15" x14ac:dyDescent="0.25"/>
  <cols>
    <col min="1" max="1" width="1.375" style="6" customWidth="1"/>
    <col min="2" max="2" width="8.875" style="6" customWidth="1"/>
    <col min="3" max="3" width="3.875" style="6" customWidth="1"/>
    <col min="4" max="4" width="11" style="6" customWidth="1"/>
    <col min="5" max="5" width="4.625" style="6" customWidth="1"/>
    <col min="6" max="12" width="11.375" style="6"/>
    <col min="13" max="13" width="21.125" style="6" customWidth="1"/>
    <col min="14" max="15" width="11.375" style="6"/>
    <col min="16" max="16" width="11.125" style="6" customWidth="1"/>
    <col min="17" max="20" width="11.375" style="6"/>
    <col min="21" max="21" width="21.875" style="6" bestFit="1" customWidth="1"/>
    <col min="22" max="16384" width="11.375" style="6"/>
  </cols>
  <sheetData>
    <row r="1" spans="8:21" ht="3" customHeight="1" x14ac:dyDescent="0.25"/>
    <row r="2" spans="8:21" x14ac:dyDescent="0.25">
      <c r="T2" s="14" t="s">
        <v>22</v>
      </c>
      <c r="U2" s="15">
        <f ca="1">NOW()</f>
        <v>42625.365368865743</v>
      </c>
    </row>
    <row r="3" spans="8:21" x14ac:dyDescent="0.25">
      <c r="T3" s="14" t="s">
        <v>23</v>
      </c>
      <c r="U3" s="16">
        <f ca="1">TODAY()</f>
        <v>42625</v>
      </c>
    </row>
    <row r="9" spans="8:21" ht="12.75" customHeight="1" x14ac:dyDescent="0.25"/>
    <row r="14" spans="8:21" x14ac:dyDescent="0.25">
      <c r="H14" s="7"/>
    </row>
    <row r="20" spans="2:5" ht="7.5" customHeight="1" x14ac:dyDescent="0.25"/>
    <row r="21" spans="2:5" ht="25.5" customHeight="1" thickBot="1" x14ac:dyDescent="0.3">
      <c r="B21" s="19" t="s">
        <v>25</v>
      </c>
      <c r="C21" s="19"/>
      <c r="D21" s="19" t="s">
        <v>24</v>
      </c>
      <c r="E21" s="19"/>
    </row>
    <row r="22" spans="2:5" ht="16.5" thickBot="1" x14ac:dyDescent="0.3">
      <c r="B22" s="20" t="s">
        <v>7</v>
      </c>
      <c r="C22" s="21"/>
      <c r="D22" s="17" t="s">
        <v>12</v>
      </c>
      <c r="E22" s="18"/>
    </row>
    <row r="24" spans="2:5" ht="4.5" customHeight="1" x14ac:dyDescent="0.25"/>
    <row r="34" ht="27.75" customHeight="1" x14ac:dyDescent="0.25"/>
  </sheetData>
  <mergeCells count="4">
    <mergeCell ref="D22:E22"/>
    <mergeCell ref="D21:E21"/>
    <mergeCell ref="B21:C21"/>
    <mergeCell ref="B22:C22"/>
  </mergeCells>
  <dataValidations count="2">
    <dataValidation type="list" allowBlank="1" showInputMessage="1" showErrorMessage="1" sqref="D22:E22">
      <formula1>d.mois</formula1>
    </dataValidation>
    <dataValidation type="list" allowBlank="1" showInputMessage="1" showErrorMessage="1" sqref="B22:C22">
      <formula1>s.zone</formula1>
    </dataValidation>
  </dataValidations>
  <pageMargins left="0.7" right="0.7" top="0.75" bottom="0.75" header="0.3" footer="0.3"/>
  <pageSetup paperSize="9" orientation="landscape" horizontalDpi="4294967293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O29"/>
  <sheetViews>
    <sheetView showGridLines="0" workbookViewId="0">
      <pane ySplit="7" topLeftCell="A8" activePane="bottomLeft" state="frozen"/>
      <selection pane="bottomLeft" activeCell="D23" sqref="D23"/>
    </sheetView>
  </sheetViews>
  <sheetFormatPr baseColWidth="10" defaultColWidth="11.375" defaultRowHeight="15" x14ac:dyDescent="0.25"/>
  <cols>
    <col min="1" max="2" width="2.875" style="2" customWidth="1"/>
    <col min="3" max="3" width="19" style="2" bestFit="1" customWidth="1"/>
    <col min="4" max="4" width="10.375" style="2" bestFit="1" customWidth="1"/>
    <col min="5" max="5" width="12.875" style="2" bestFit="1" customWidth="1"/>
    <col min="6" max="7" width="13.875" style="2" bestFit="1" customWidth="1"/>
    <col min="8" max="8" width="14.875" style="2" bestFit="1" customWidth="1"/>
    <col min="9" max="9" width="16.25" style="2" bestFit="1" customWidth="1"/>
    <col min="10" max="10" width="18.25" style="2" bestFit="1" customWidth="1"/>
    <col min="11" max="11" width="11.625" style="2" bestFit="1" customWidth="1"/>
    <col min="12" max="12" width="19.25" style="2" bestFit="1" customWidth="1"/>
    <col min="13" max="13" width="10.875" style="2" bestFit="1" customWidth="1"/>
    <col min="14" max="14" width="23.625" style="2" bestFit="1" customWidth="1"/>
    <col min="15" max="15" width="14.125" style="2" bestFit="1" customWidth="1"/>
    <col min="16" max="16384" width="11.375" style="2"/>
  </cols>
  <sheetData>
    <row r="1" spans="3:15" ht="3.75" customHeight="1" x14ac:dyDescent="0.25"/>
    <row r="6" spans="3:15" ht="16.5" customHeight="1" x14ac:dyDescent="0.25"/>
    <row r="7" spans="3:15" ht="28.5" customHeight="1" x14ac:dyDescent="0.25"/>
    <row r="8" spans="3:15" ht="15.75" thickBot="1" x14ac:dyDescent="0.3"/>
    <row r="9" spans="3:15" ht="19.5" thickBot="1" x14ac:dyDescent="0.35">
      <c r="C9" s="22" t="s">
        <v>21</v>
      </c>
      <c r="D9" s="23"/>
      <c r="E9" s="24"/>
    </row>
    <row r="11" spans="3:15" x14ac:dyDescent="0.25">
      <c r="C11" s="3" t="s">
        <v>11</v>
      </c>
      <c r="D11" s="3" t="s">
        <v>0</v>
      </c>
      <c r="E11" s="3" t="s">
        <v>1</v>
      </c>
      <c r="F11" s="3" t="s">
        <v>2</v>
      </c>
      <c r="G11" s="3" t="s">
        <v>3</v>
      </c>
      <c r="H11" s="3" t="s">
        <v>4</v>
      </c>
      <c r="I11" s="3" t="s">
        <v>5</v>
      </c>
      <c r="J11" s="3" t="s">
        <v>6</v>
      </c>
      <c r="K11" s="3" t="s">
        <v>7</v>
      </c>
      <c r="L11" s="3" t="s">
        <v>8</v>
      </c>
      <c r="M11" s="3" t="s">
        <v>9</v>
      </c>
      <c r="N11" s="3" t="s">
        <v>10</v>
      </c>
      <c r="O11" s="3" t="s">
        <v>18</v>
      </c>
    </row>
    <row r="12" spans="3:15" ht="15.75" x14ac:dyDescent="0.25">
      <c r="C12" s="3" t="s">
        <v>12</v>
      </c>
      <c r="D12" s="8">
        <v>0.85</v>
      </c>
      <c r="E12" s="8">
        <v>0.84</v>
      </c>
      <c r="F12" s="8">
        <v>0.95</v>
      </c>
      <c r="G12" s="8">
        <v>0.9</v>
      </c>
      <c r="H12" s="8">
        <v>0.8</v>
      </c>
      <c r="I12" s="8">
        <v>0.83</v>
      </c>
      <c r="J12" s="8">
        <v>0.87</v>
      </c>
      <c r="K12" s="8">
        <v>0.88</v>
      </c>
      <c r="L12" s="8">
        <v>0.89</v>
      </c>
      <c r="M12" s="8">
        <v>0.87</v>
      </c>
      <c r="N12" s="8">
        <v>0.68</v>
      </c>
      <c r="O12" s="9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>0.85090909090909084</v>
      </c>
    </row>
    <row r="13" spans="3:15" ht="15.75" x14ac:dyDescent="0.25">
      <c r="C13" s="3" t="s">
        <v>13</v>
      </c>
      <c r="D13" s="8">
        <v>0.92</v>
      </c>
      <c r="E13" s="8">
        <v>0.94</v>
      </c>
      <c r="F13" s="8">
        <v>0.97</v>
      </c>
      <c r="G13" s="8">
        <v>0.89</v>
      </c>
      <c r="H13" s="8">
        <v>0.83</v>
      </c>
      <c r="I13" s="8">
        <v>0.88</v>
      </c>
      <c r="J13" s="8">
        <v>0.92</v>
      </c>
      <c r="K13" s="8">
        <v>0.9</v>
      </c>
      <c r="L13" s="8">
        <v>0.91</v>
      </c>
      <c r="M13" s="8">
        <v>0.65</v>
      </c>
      <c r="N13" s="8">
        <v>0.72</v>
      </c>
      <c r="O13" s="9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>0.86636363636363645</v>
      </c>
    </row>
    <row r="14" spans="3:15" ht="15.75" x14ac:dyDescent="0.25">
      <c r="C14" s="3" t="s">
        <v>14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9" t="str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/>
      </c>
    </row>
    <row r="15" spans="3:15" ht="15.75" x14ac:dyDescent="0.25">
      <c r="C15" s="3" t="s">
        <v>15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9" t="str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/>
      </c>
    </row>
    <row r="16" spans="3:15" ht="15.75" x14ac:dyDescent="0.25">
      <c r="C16" s="3" t="s">
        <v>16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9" t="str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/>
      </c>
    </row>
    <row r="17" spans="3:15" ht="15.75" x14ac:dyDescent="0.25">
      <c r="C17" s="3" t="s">
        <v>17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9" t="str">
        <f>IF(AND(tbl_Productivité[[#This Row],[Naka]]="",tbl_Productivité[[#This Row],[Fraisage]]="",tbl_Productivité[[#This Row],[Tournage]]="",tbl_Productivité[[#This Row],[Polissage]]="",tbl_Productivité[[#This Row],[Métrologie]]="",tbl_Productivité[[#This Row],[Anodisation]]="",tbl_Productivité[[#This Row],[Nettoyage]]="",tbl_Productivité[[#This Row],[Torche]]="",tbl_Productivité[[#This Row],[Contrôle Visuel]]="",tbl_Productivité[[#This Row],[SB-SG]]="",tbl_Productivité[[#This Row],[Marquage - Gravage]]=""),"",AVERAGE(tbl_Productivité[[#This Row],[Naka]:[Marquage - Gravage]]))</f>
        <v/>
      </c>
    </row>
    <row r="18" spans="3:15" ht="15.75" x14ac:dyDescent="0.25">
      <c r="C18" s="10" t="s">
        <v>26</v>
      </c>
      <c r="D18" s="11">
        <f>AVERAGE(tbl_Productivité[Naka])</f>
        <v>0.88500000000000001</v>
      </c>
      <c r="E18" s="11">
        <f>AVERAGE(tbl_Productivité[Fraisage])</f>
        <v>0.8899999999999999</v>
      </c>
      <c r="F18" s="11">
        <f>AVERAGE(tbl_Productivité[Tournage])</f>
        <v>0.96</v>
      </c>
      <c r="G18" s="11">
        <f>AVERAGE(tbl_Productivité[Polissage])</f>
        <v>0.89500000000000002</v>
      </c>
      <c r="H18" s="11">
        <f>AVERAGE(tbl_Productivité[Métrologie])</f>
        <v>0.81499999999999995</v>
      </c>
      <c r="I18" s="11">
        <f>AVERAGE(tbl_Productivité[Anodisation])</f>
        <v>0.85499999999999998</v>
      </c>
      <c r="J18" s="11">
        <f>AVERAGE(tbl_Productivité[Nettoyage])</f>
        <v>0.89500000000000002</v>
      </c>
      <c r="K18" s="11">
        <f>AVERAGE(tbl_Productivité[Torche])</f>
        <v>0.89</v>
      </c>
      <c r="L18" s="11">
        <f>AVERAGE(tbl_Productivité[Contrôle Visuel])</f>
        <v>0.9</v>
      </c>
      <c r="M18" s="11">
        <f>AVERAGE(tbl_Productivité[SB-SG])</f>
        <v>0.76</v>
      </c>
      <c r="N18" s="11">
        <f>AVERAGE(tbl_Productivité[Marquage - Gravage])</f>
        <v>0.7</v>
      </c>
      <c r="O18" s="11">
        <f>AVERAGE(tbl_Productivité[[#Totals],[Naka]:[Marquage - Gravage]])</f>
        <v>0.85863636363636364</v>
      </c>
    </row>
    <row r="19" spans="3:15" ht="16.5" thickBot="1" x14ac:dyDescent="0.3">
      <c r="C19" s="10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3:15" ht="19.5" thickBot="1" x14ac:dyDescent="0.35">
      <c r="C20" s="22" t="s">
        <v>20</v>
      </c>
      <c r="D20" s="23"/>
      <c r="E20" s="24"/>
    </row>
    <row r="22" spans="3:15" x14ac:dyDescent="0.25">
      <c r="C22" s="3" t="s">
        <v>11</v>
      </c>
      <c r="D22" s="3" t="s">
        <v>0</v>
      </c>
      <c r="E22" s="3" t="s">
        <v>1</v>
      </c>
      <c r="F22" s="3" t="s">
        <v>2</v>
      </c>
      <c r="G22" s="3" t="s">
        <v>3</v>
      </c>
      <c r="H22" s="3" t="s">
        <v>4</v>
      </c>
      <c r="I22" s="3" t="s">
        <v>5</v>
      </c>
      <c r="J22" s="3" t="s">
        <v>6</v>
      </c>
      <c r="K22" s="3" t="s">
        <v>7</v>
      </c>
      <c r="L22" s="3" t="s">
        <v>8</v>
      </c>
      <c r="M22" s="3" t="s">
        <v>9</v>
      </c>
      <c r="N22" s="3" t="s">
        <v>10</v>
      </c>
      <c r="O22" s="3" t="s">
        <v>18</v>
      </c>
    </row>
    <row r="23" spans="3:15" ht="15.75" x14ac:dyDescent="0.25">
      <c r="C23" s="3" t="s">
        <v>13</v>
      </c>
      <c r="D23" s="8">
        <f t="shared" ref="D23:N23" si="0">IF(AND(D13&lt;&gt;"",D12&lt;&gt;""),(D13-D12)/D12,"")</f>
        <v>8.235294117647067E-2</v>
      </c>
      <c r="E23" s="8">
        <f t="shared" si="0"/>
        <v>0.11904761904761903</v>
      </c>
      <c r="F23" s="8">
        <f t="shared" si="0"/>
        <v>2.1052631578947389E-2</v>
      </c>
      <c r="G23" s="8">
        <f t="shared" si="0"/>
        <v>-1.111111111111112E-2</v>
      </c>
      <c r="H23" s="8">
        <f t="shared" si="0"/>
        <v>3.7499999999999895E-2</v>
      </c>
      <c r="I23" s="8">
        <f t="shared" si="0"/>
        <v>6.0240963855421742E-2</v>
      </c>
      <c r="J23" s="8">
        <f t="shared" si="0"/>
        <v>5.7471264367816147E-2</v>
      </c>
      <c r="K23" s="8">
        <f t="shared" si="0"/>
        <v>2.2727272727272749E-2</v>
      </c>
      <c r="L23" s="8">
        <f t="shared" si="0"/>
        <v>2.2471910112359571E-2</v>
      </c>
      <c r="M23" s="8">
        <f t="shared" si="0"/>
        <v>-0.25287356321839077</v>
      </c>
      <c r="N23" s="8">
        <f t="shared" si="0"/>
        <v>5.8823529411764594E-2</v>
      </c>
      <c r="O23" s="9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>1.9791223449833625E-2</v>
      </c>
    </row>
    <row r="24" spans="3:15" ht="15.75" x14ac:dyDescent="0.25">
      <c r="C24" s="3" t="s">
        <v>14</v>
      </c>
      <c r="D24" s="8" t="str">
        <f t="shared" ref="D24:N24" si="1">IF(AND(D14&lt;&gt;"",D13&lt;&gt;""),(D14-D13)/D13,"")</f>
        <v/>
      </c>
      <c r="E24" s="8" t="str">
        <f t="shared" si="1"/>
        <v/>
      </c>
      <c r="F24" s="8" t="str">
        <f t="shared" si="1"/>
        <v/>
      </c>
      <c r="G24" s="8" t="str">
        <f t="shared" si="1"/>
        <v/>
      </c>
      <c r="H24" s="8" t="str">
        <f t="shared" si="1"/>
        <v/>
      </c>
      <c r="I24" s="8" t="str">
        <f t="shared" si="1"/>
        <v/>
      </c>
      <c r="J24" s="8" t="str">
        <f t="shared" si="1"/>
        <v/>
      </c>
      <c r="K24" s="8" t="str">
        <f t="shared" si="1"/>
        <v/>
      </c>
      <c r="L24" s="8" t="str">
        <f t="shared" si="1"/>
        <v/>
      </c>
      <c r="M24" s="8" t="str">
        <f t="shared" si="1"/>
        <v/>
      </c>
      <c r="N24" s="8" t="str">
        <f t="shared" si="1"/>
        <v/>
      </c>
      <c r="O24" s="9" t="str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/>
      </c>
    </row>
    <row r="25" spans="3:15" ht="15.75" x14ac:dyDescent="0.25">
      <c r="C25" s="3" t="s">
        <v>15</v>
      </c>
      <c r="D25" s="8" t="str">
        <f t="shared" ref="D25:N25" si="2">IF(AND(D15&lt;&gt;"",D14&lt;&gt;""),(D15-D14)/D14,"")</f>
        <v/>
      </c>
      <c r="E25" s="8" t="str">
        <f t="shared" si="2"/>
        <v/>
      </c>
      <c r="F25" s="8" t="str">
        <f t="shared" si="2"/>
        <v/>
      </c>
      <c r="G25" s="8" t="str">
        <f t="shared" si="2"/>
        <v/>
      </c>
      <c r="H25" s="8" t="str">
        <f t="shared" si="2"/>
        <v/>
      </c>
      <c r="I25" s="8" t="str">
        <f t="shared" si="2"/>
        <v/>
      </c>
      <c r="J25" s="8" t="str">
        <f t="shared" si="2"/>
        <v/>
      </c>
      <c r="K25" s="8" t="str">
        <f t="shared" si="2"/>
        <v/>
      </c>
      <c r="L25" s="8" t="str">
        <f t="shared" si="2"/>
        <v/>
      </c>
      <c r="M25" s="8" t="str">
        <f t="shared" si="2"/>
        <v/>
      </c>
      <c r="N25" s="8" t="str">
        <f t="shared" si="2"/>
        <v/>
      </c>
      <c r="O25" s="9" t="str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/>
      </c>
    </row>
    <row r="26" spans="3:15" ht="15.75" x14ac:dyDescent="0.25">
      <c r="C26" s="3" t="s">
        <v>16</v>
      </c>
      <c r="D26" s="8" t="str">
        <f t="shared" ref="D26:N26" si="3">IF(AND(D16&lt;&gt;"",D15&lt;&gt;""),(D16-D15)/D15,"")</f>
        <v/>
      </c>
      <c r="E26" s="8" t="str">
        <f t="shared" si="3"/>
        <v/>
      </c>
      <c r="F26" s="8" t="str">
        <f t="shared" si="3"/>
        <v/>
      </c>
      <c r="G26" s="8" t="str">
        <f t="shared" si="3"/>
        <v/>
      </c>
      <c r="H26" s="8" t="str">
        <f t="shared" si="3"/>
        <v/>
      </c>
      <c r="I26" s="8" t="str">
        <f t="shared" si="3"/>
        <v/>
      </c>
      <c r="J26" s="8" t="str">
        <f t="shared" si="3"/>
        <v/>
      </c>
      <c r="K26" s="8" t="str">
        <f t="shared" si="3"/>
        <v/>
      </c>
      <c r="L26" s="8" t="str">
        <f t="shared" si="3"/>
        <v/>
      </c>
      <c r="M26" s="8" t="str">
        <f t="shared" si="3"/>
        <v/>
      </c>
      <c r="N26" s="8" t="str">
        <f t="shared" si="3"/>
        <v/>
      </c>
      <c r="O26" s="9" t="str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/>
      </c>
    </row>
    <row r="27" spans="3:15" ht="15.75" x14ac:dyDescent="0.25">
      <c r="C27" s="3" t="s">
        <v>17</v>
      </c>
      <c r="D27" s="8" t="str">
        <f t="shared" ref="D27:N27" si="4">IF(AND(D17&lt;&gt;"",D16&lt;&gt;""),(D17-D16)/D16,"")</f>
        <v/>
      </c>
      <c r="E27" s="8" t="str">
        <f t="shared" si="4"/>
        <v/>
      </c>
      <c r="F27" s="8" t="str">
        <f t="shared" si="4"/>
        <v/>
      </c>
      <c r="G27" s="8" t="str">
        <f t="shared" si="4"/>
        <v/>
      </c>
      <c r="H27" s="8" t="str">
        <f t="shared" si="4"/>
        <v/>
      </c>
      <c r="I27" s="8" t="str">
        <f t="shared" si="4"/>
        <v/>
      </c>
      <c r="J27" s="8" t="str">
        <f t="shared" si="4"/>
        <v/>
      </c>
      <c r="K27" s="8" t="str">
        <f t="shared" si="4"/>
        <v/>
      </c>
      <c r="L27" s="8" t="str">
        <f t="shared" si="4"/>
        <v/>
      </c>
      <c r="M27" s="8" t="str">
        <f t="shared" si="4"/>
        <v/>
      </c>
      <c r="N27" s="8" t="str">
        <f t="shared" si="4"/>
        <v/>
      </c>
      <c r="O27" s="9" t="str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/>
      </c>
    </row>
    <row r="28" spans="3:15" ht="15.75" x14ac:dyDescent="0.25">
      <c r="C28" s="3" t="s">
        <v>19</v>
      </c>
      <c r="D28" s="8">
        <f>IF(D17="",(D16-D12)/D12,(D17-D12)/D12)</f>
        <v>-1</v>
      </c>
      <c r="E28" s="8">
        <f t="shared" ref="E28:N28" si="5">(E17-E12)/E12</f>
        <v>-1</v>
      </c>
      <c r="F28" s="8">
        <f t="shared" si="5"/>
        <v>-1</v>
      </c>
      <c r="G28" s="8">
        <f t="shared" si="5"/>
        <v>-1</v>
      </c>
      <c r="H28" s="8">
        <f t="shared" si="5"/>
        <v>-1</v>
      </c>
      <c r="I28" s="8">
        <f t="shared" si="5"/>
        <v>-1</v>
      </c>
      <c r="J28" s="8">
        <f t="shared" si="5"/>
        <v>-1</v>
      </c>
      <c r="K28" s="8">
        <f t="shared" si="5"/>
        <v>-1</v>
      </c>
      <c r="L28" s="8">
        <f t="shared" si="5"/>
        <v>-1</v>
      </c>
      <c r="M28" s="8">
        <f t="shared" si="5"/>
        <v>-1</v>
      </c>
      <c r="N28" s="8">
        <f t="shared" si="5"/>
        <v>-1</v>
      </c>
      <c r="O28" s="9">
        <f>IF(AND(tbl_Evolution[[#This Row],[Naka]]="",tbl_Evolution[[#This Row],[Fraisage]]="",tbl_Evolution[[#This Row],[Tournage]]="",tbl_Evolution[[#This Row],[Polissage]]="",tbl_Evolution[[#This Row],[Métrologie]]="",tbl_Evolution[[#This Row],[Anodisation]]="",tbl_Evolution[[#This Row],[Nettoyage]]="",tbl_Evolution[[#This Row],[Torche]]="",tbl_Evolution[[#This Row],[Contrôle Visuel]]="",tbl_Evolution[[#This Row],[SB-SG]]="",tbl_Evolution[[#This Row],[Marquage - Gravage]]=""),"",AVERAGE(tbl_Evolution[[#This Row],[Naka]:[Marquage - Gravage]]))</f>
        <v>-1</v>
      </c>
    </row>
    <row r="29" spans="3:15" ht="15.75" x14ac:dyDescent="0.25">
      <c r="C29" s="10" t="s">
        <v>26</v>
      </c>
      <c r="D29" s="9">
        <f>AVERAGE(D23:D27)</f>
        <v>8.235294117647067E-2</v>
      </c>
      <c r="E29" s="9">
        <f t="shared" ref="E29:O29" si="6">AVERAGE(E23:E27)</f>
        <v>0.11904761904761903</v>
      </c>
      <c r="F29" s="9">
        <f t="shared" si="6"/>
        <v>2.1052631578947389E-2</v>
      </c>
      <c r="G29" s="9">
        <f t="shared" si="6"/>
        <v>-1.111111111111112E-2</v>
      </c>
      <c r="H29" s="9">
        <f t="shared" si="6"/>
        <v>3.7499999999999895E-2</v>
      </c>
      <c r="I29" s="9">
        <f t="shared" si="6"/>
        <v>6.0240963855421742E-2</v>
      </c>
      <c r="J29" s="9">
        <f t="shared" si="6"/>
        <v>5.7471264367816147E-2</v>
      </c>
      <c r="K29" s="9">
        <f t="shared" si="6"/>
        <v>2.2727272727272749E-2</v>
      </c>
      <c r="L29" s="9">
        <f t="shared" si="6"/>
        <v>2.2471910112359571E-2</v>
      </c>
      <c r="M29" s="9">
        <f t="shared" si="6"/>
        <v>-0.25287356321839077</v>
      </c>
      <c r="N29" s="9">
        <f t="shared" si="6"/>
        <v>5.8823529411764594E-2</v>
      </c>
      <c r="O29" s="9">
        <f t="shared" si="6"/>
        <v>1.9791223449833625E-2</v>
      </c>
    </row>
  </sheetData>
  <mergeCells count="2">
    <mergeCell ref="C9:E9"/>
    <mergeCell ref="C20:E20"/>
  </mergeCells>
  <conditionalFormatting sqref="D29:O29 D23:N28">
    <cfRule type="cellIs" dxfId="140" priority="4" operator="lessThan">
      <formula>0</formula>
    </cfRule>
    <cfRule type="cellIs" dxfId="139" priority="5" operator="greaterThan">
      <formula>0</formula>
    </cfRule>
  </conditionalFormatting>
  <conditionalFormatting sqref="O23:O28">
    <cfRule type="colorScale" priority="2">
      <colorScale>
        <cfvo type="min"/>
        <cfvo type="percentile" val="60"/>
        <cfvo type="max"/>
        <color rgb="FFF8696B"/>
        <color rgb="FFFFEB84"/>
        <color rgb="FF63BE7B"/>
      </colorScale>
    </cfRule>
  </conditionalFormatting>
  <conditionalFormatting sqref="D12:O19">
    <cfRule type="colorScale" priority="11">
      <colorScale>
        <cfvo type="min"/>
        <cfvo type="percentile" val="6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pane ySplit="8" topLeftCell="A9" activePane="bottomLeft" state="frozen"/>
      <selection pane="bottomLeft"/>
    </sheetView>
  </sheetViews>
  <sheetFormatPr baseColWidth="10" defaultRowHeight="15" x14ac:dyDescent="0.25"/>
  <cols>
    <col min="1" max="2" width="2.875" customWidth="1"/>
    <col min="11" max="11" width="11.125" customWidth="1"/>
  </cols>
  <sheetData>
    <row r="1" ht="4.5" customHeight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7"/>
  <sheetViews>
    <sheetView workbookViewId="0">
      <selection activeCell="C4" sqref="C4"/>
    </sheetView>
  </sheetViews>
  <sheetFormatPr baseColWidth="10" defaultRowHeight="15" x14ac:dyDescent="0.25"/>
  <cols>
    <col min="1" max="1" width="19" bestFit="1" customWidth="1"/>
    <col min="2" max="2" width="11.375" customWidth="1"/>
    <col min="3" max="3" width="25.875" bestFit="1" customWidth="1"/>
  </cols>
  <sheetData>
    <row r="1" spans="1:3" x14ac:dyDescent="0.25">
      <c r="A1" t="s">
        <v>25</v>
      </c>
      <c r="B1" t="s">
        <v>24</v>
      </c>
      <c r="C1" t="s">
        <v>33</v>
      </c>
    </row>
    <row r="2" spans="1:3" x14ac:dyDescent="0.25">
      <c r="A2" t="s">
        <v>0</v>
      </c>
      <c r="B2" t="s">
        <v>27</v>
      </c>
      <c r="C2" s="26">
        <f>'Taux de productivité'!D12</f>
        <v>0.85</v>
      </c>
    </row>
    <row r="3" spans="1:3" x14ac:dyDescent="0.25">
      <c r="A3" t="s">
        <v>0</v>
      </c>
      <c r="B3" t="s">
        <v>28</v>
      </c>
      <c r="C3" s="26">
        <f>'Taux de productivité'!D13</f>
        <v>0.92</v>
      </c>
    </row>
    <row r="4" spans="1:3" x14ac:dyDescent="0.25">
      <c r="A4" t="s">
        <v>0</v>
      </c>
      <c r="B4" t="s">
        <v>29</v>
      </c>
      <c r="C4" s="26">
        <f>'Taux de productivité'!D14</f>
        <v>0</v>
      </c>
    </row>
    <row r="5" spans="1:3" x14ac:dyDescent="0.25">
      <c r="A5" t="s">
        <v>0</v>
      </c>
      <c r="B5" t="s">
        <v>30</v>
      </c>
      <c r="C5" s="26">
        <f>'Taux de productivité'!D15</f>
        <v>0</v>
      </c>
    </row>
    <row r="6" spans="1:3" x14ac:dyDescent="0.25">
      <c r="A6" t="s">
        <v>0</v>
      </c>
      <c r="B6" t="s">
        <v>31</v>
      </c>
      <c r="C6" s="26">
        <f>'Taux de productivité'!D16</f>
        <v>0</v>
      </c>
    </row>
    <row r="7" spans="1:3" x14ac:dyDescent="0.25">
      <c r="A7" t="s">
        <v>0</v>
      </c>
      <c r="B7" t="s">
        <v>32</v>
      </c>
      <c r="C7" s="26">
        <f>'Taux de productivité'!D17</f>
        <v>0</v>
      </c>
    </row>
    <row r="8" spans="1:3" x14ac:dyDescent="0.25">
      <c r="A8" t="s">
        <v>1</v>
      </c>
      <c r="B8" t="s">
        <v>27</v>
      </c>
      <c r="C8" s="26">
        <f>'Taux de productivité'!E12</f>
        <v>0.84</v>
      </c>
    </row>
    <row r="9" spans="1:3" x14ac:dyDescent="0.25">
      <c r="A9" t="s">
        <v>1</v>
      </c>
      <c r="B9" t="s">
        <v>28</v>
      </c>
      <c r="C9" s="26">
        <f>'Taux de productivité'!E13</f>
        <v>0.94</v>
      </c>
    </row>
    <row r="10" spans="1:3" x14ac:dyDescent="0.25">
      <c r="A10" t="s">
        <v>1</v>
      </c>
      <c r="B10" t="s">
        <v>29</v>
      </c>
      <c r="C10" s="26">
        <f>'Taux de productivité'!E14</f>
        <v>0</v>
      </c>
    </row>
    <row r="11" spans="1:3" x14ac:dyDescent="0.25">
      <c r="A11" t="s">
        <v>1</v>
      </c>
      <c r="B11" t="s">
        <v>30</v>
      </c>
      <c r="C11" s="26">
        <f>'Taux de productivité'!E15</f>
        <v>0</v>
      </c>
    </row>
    <row r="12" spans="1:3" x14ac:dyDescent="0.25">
      <c r="A12" t="s">
        <v>1</v>
      </c>
      <c r="B12" t="s">
        <v>31</v>
      </c>
      <c r="C12" s="26">
        <f>'Taux de productivité'!E16</f>
        <v>0</v>
      </c>
    </row>
    <row r="13" spans="1:3" x14ac:dyDescent="0.25">
      <c r="A13" t="s">
        <v>1</v>
      </c>
      <c r="B13" t="s">
        <v>32</v>
      </c>
      <c r="C13" s="26">
        <f>'Taux de productivité'!E17</f>
        <v>0</v>
      </c>
    </row>
    <row r="14" spans="1:3" x14ac:dyDescent="0.25">
      <c r="A14" t="s">
        <v>2</v>
      </c>
      <c r="B14" t="s">
        <v>27</v>
      </c>
      <c r="C14" s="26">
        <f>'Taux de productivité'!F12</f>
        <v>0.95</v>
      </c>
    </row>
    <row r="15" spans="1:3" x14ac:dyDescent="0.25">
      <c r="A15" t="s">
        <v>2</v>
      </c>
      <c r="B15" t="s">
        <v>28</v>
      </c>
      <c r="C15" s="26">
        <f>'Taux de productivité'!F13</f>
        <v>0.97</v>
      </c>
    </row>
    <row r="16" spans="1:3" x14ac:dyDescent="0.25">
      <c r="A16" t="s">
        <v>2</v>
      </c>
      <c r="B16" t="s">
        <v>29</v>
      </c>
      <c r="C16" s="26">
        <f>'Taux de productivité'!F14</f>
        <v>0</v>
      </c>
    </row>
    <row r="17" spans="1:3" x14ac:dyDescent="0.25">
      <c r="A17" t="s">
        <v>2</v>
      </c>
      <c r="B17" t="s">
        <v>30</v>
      </c>
      <c r="C17" s="26">
        <f>'Taux de productivité'!F15</f>
        <v>0</v>
      </c>
    </row>
    <row r="18" spans="1:3" x14ac:dyDescent="0.25">
      <c r="A18" t="s">
        <v>2</v>
      </c>
      <c r="B18" t="s">
        <v>31</v>
      </c>
      <c r="C18" s="26">
        <f>'Taux de productivité'!F16</f>
        <v>0</v>
      </c>
    </row>
    <row r="19" spans="1:3" x14ac:dyDescent="0.25">
      <c r="A19" t="s">
        <v>2</v>
      </c>
      <c r="B19" t="s">
        <v>32</v>
      </c>
      <c r="C19" s="26">
        <f>'Taux de productivité'!F17</f>
        <v>0</v>
      </c>
    </row>
    <row r="20" spans="1:3" x14ac:dyDescent="0.25">
      <c r="A20" t="s">
        <v>3</v>
      </c>
      <c r="B20" t="s">
        <v>27</v>
      </c>
      <c r="C20" s="26">
        <f>'Taux de productivité'!G12</f>
        <v>0.9</v>
      </c>
    </row>
    <row r="21" spans="1:3" x14ac:dyDescent="0.25">
      <c r="A21" t="s">
        <v>3</v>
      </c>
      <c r="B21" t="s">
        <v>28</v>
      </c>
      <c r="C21" s="26">
        <f>'Taux de productivité'!G13</f>
        <v>0.89</v>
      </c>
    </row>
    <row r="22" spans="1:3" x14ac:dyDescent="0.25">
      <c r="A22" t="s">
        <v>3</v>
      </c>
      <c r="B22" t="s">
        <v>29</v>
      </c>
      <c r="C22" s="26">
        <f>'Taux de productivité'!G14</f>
        <v>0</v>
      </c>
    </row>
    <row r="23" spans="1:3" x14ac:dyDescent="0.25">
      <c r="A23" t="s">
        <v>3</v>
      </c>
      <c r="B23" t="s">
        <v>30</v>
      </c>
      <c r="C23" s="26">
        <f>'Taux de productivité'!G15</f>
        <v>0</v>
      </c>
    </row>
    <row r="24" spans="1:3" x14ac:dyDescent="0.25">
      <c r="A24" t="s">
        <v>3</v>
      </c>
      <c r="B24" t="s">
        <v>31</v>
      </c>
      <c r="C24" s="26">
        <f>'Taux de productivité'!G16</f>
        <v>0</v>
      </c>
    </row>
    <row r="25" spans="1:3" x14ac:dyDescent="0.25">
      <c r="A25" t="s">
        <v>3</v>
      </c>
      <c r="B25" t="s">
        <v>32</v>
      </c>
      <c r="C25" s="26">
        <f>'Taux de productivité'!G17</f>
        <v>0</v>
      </c>
    </row>
    <row r="26" spans="1:3" x14ac:dyDescent="0.25">
      <c r="A26" t="s">
        <v>4</v>
      </c>
      <c r="B26" t="s">
        <v>27</v>
      </c>
      <c r="C26" s="26">
        <f>'Taux de productivité'!H12</f>
        <v>0.8</v>
      </c>
    </row>
    <row r="27" spans="1:3" x14ac:dyDescent="0.25">
      <c r="A27" t="s">
        <v>4</v>
      </c>
      <c r="B27" t="s">
        <v>28</v>
      </c>
      <c r="C27" s="26">
        <f>'Taux de productivité'!H13</f>
        <v>0.83</v>
      </c>
    </row>
    <row r="28" spans="1:3" x14ac:dyDescent="0.25">
      <c r="A28" t="s">
        <v>4</v>
      </c>
      <c r="B28" t="s">
        <v>29</v>
      </c>
      <c r="C28" s="26">
        <f>'Taux de productivité'!H14</f>
        <v>0</v>
      </c>
    </row>
    <row r="29" spans="1:3" x14ac:dyDescent="0.25">
      <c r="A29" t="s">
        <v>4</v>
      </c>
      <c r="B29" t="s">
        <v>30</v>
      </c>
      <c r="C29" s="26">
        <f>'Taux de productivité'!H15</f>
        <v>0</v>
      </c>
    </row>
    <row r="30" spans="1:3" x14ac:dyDescent="0.25">
      <c r="A30" t="s">
        <v>4</v>
      </c>
      <c r="B30" t="s">
        <v>31</v>
      </c>
      <c r="C30" s="26">
        <f>'Taux de productivité'!H16</f>
        <v>0</v>
      </c>
    </row>
    <row r="31" spans="1:3" x14ac:dyDescent="0.25">
      <c r="A31" t="s">
        <v>4</v>
      </c>
      <c r="B31" t="s">
        <v>32</v>
      </c>
      <c r="C31" s="26">
        <f>'Taux de productivité'!H17</f>
        <v>0</v>
      </c>
    </row>
    <row r="32" spans="1:3" x14ac:dyDescent="0.25">
      <c r="A32" t="s">
        <v>5</v>
      </c>
      <c r="B32" t="s">
        <v>27</v>
      </c>
      <c r="C32" s="26">
        <f>'Taux de productivité'!I12</f>
        <v>0.83</v>
      </c>
    </row>
    <row r="33" spans="1:3" x14ac:dyDescent="0.25">
      <c r="A33" t="s">
        <v>5</v>
      </c>
      <c r="B33" t="s">
        <v>28</v>
      </c>
      <c r="C33" s="26">
        <f>'Taux de productivité'!I13</f>
        <v>0.88</v>
      </c>
    </row>
    <row r="34" spans="1:3" x14ac:dyDescent="0.25">
      <c r="A34" t="s">
        <v>5</v>
      </c>
      <c r="B34" t="s">
        <v>29</v>
      </c>
      <c r="C34" s="26">
        <f>'Taux de productivité'!I14</f>
        <v>0</v>
      </c>
    </row>
    <row r="35" spans="1:3" x14ac:dyDescent="0.25">
      <c r="A35" t="s">
        <v>5</v>
      </c>
      <c r="B35" t="s">
        <v>30</v>
      </c>
      <c r="C35" s="26">
        <f>'Taux de productivité'!I15</f>
        <v>0</v>
      </c>
    </row>
    <row r="36" spans="1:3" x14ac:dyDescent="0.25">
      <c r="A36" t="s">
        <v>5</v>
      </c>
      <c r="B36" t="s">
        <v>31</v>
      </c>
      <c r="C36" s="26">
        <f>'Taux de productivité'!I16</f>
        <v>0</v>
      </c>
    </row>
    <row r="37" spans="1:3" x14ac:dyDescent="0.25">
      <c r="A37" t="s">
        <v>5</v>
      </c>
      <c r="B37" t="s">
        <v>32</v>
      </c>
      <c r="C37" s="26">
        <f>'Taux de productivité'!I17</f>
        <v>0</v>
      </c>
    </row>
    <row r="38" spans="1:3" x14ac:dyDescent="0.25">
      <c r="A38" t="s">
        <v>6</v>
      </c>
      <c r="B38" t="s">
        <v>27</v>
      </c>
      <c r="C38" s="26">
        <f>'Taux de productivité'!J12</f>
        <v>0.87</v>
      </c>
    </row>
    <row r="39" spans="1:3" x14ac:dyDescent="0.25">
      <c r="A39" t="s">
        <v>6</v>
      </c>
      <c r="B39" t="s">
        <v>28</v>
      </c>
      <c r="C39" s="26">
        <f>'Taux de productivité'!J13</f>
        <v>0.92</v>
      </c>
    </row>
    <row r="40" spans="1:3" x14ac:dyDescent="0.25">
      <c r="A40" t="s">
        <v>6</v>
      </c>
      <c r="B40" t="s">
        <v>29</v>
      </c>
      <c r="C40" s="26">
        <f>'Taux de productivité'!J14</f>
        <v>0</v>
      </c>
    </row>
    <row r="41" spans="1:3" x14ac:dyDescent="0.25">
      <c r="A41" t="s">
        <v>6</v>
      </c>
      <c r="B41" t="s">
        <v>30</v>
      </c>
      <c r="C41" s="26">
        <f>'Taux de productivité'!J15</f>
        <v>0</v>
      </c>
    </row>
    <row r="42" spans="1:3" x14ac:dyDescent="0.25">
      <c r="A42" t="s">
        <v>6</v>
      </c>
      <c r="B42" t="s">
        <v>31</v>
      </c>
      <c r="C42" s="26">
        <f>'Taux de productivité'!J16</f>
        <v>0</v>
      </c>
    </row>
    <row r="43" spans="1:3" x14ac:dyDescent="0.25">
      <c r="A43" t="s">
        <v>6</v>
      </c>
      <c r="B43" t="s">
        <v>32</v>
      </c>
      <c r="C43" s="26">
        <f>'Taux de productivité'!J17</f>
        <v>0</v>
      </c>
    </row>
    <row r="44" spans="1:3" x14ac:dyDescent="0.25">
      <c r="A44" t="s">
        <v>7</v>
      </c>
      <c r="B44" t="s">
        <v>27</v>
      </c>
      <c r="C44" s="26">
        <f>'Taux de productivité'!K12</f>
        <v>0.88</v>
      </c>
    </row>
    <row r="45" spans="1:3" x14ac:dyDescent="0.25">
      <c r="A45" t="s">
        <v>7</v>
      </c>
      <c r="B45" t="s">
        <v>28</v>
      </c>
      <c r="C45" s="26">
        <f>'Taux de productivité'!K13</f>
        <v>0.9</v>
      </c>
    </row>
    <row r="46" spans="1:3" x14ac:dyDescent="0.25">
      <c r="A46" t="s">
        <v>7</v>
      </c>
      <c r="B46" t="s">
        <v>29</v>
      </c>
      <c r="C46" s="26">
        <f>'Taux de productivité'!K14</f>
        <v>0</v>
      </c>
    </row>
    <row r="47" spans="1:3" x14ac:dyDescent="0.25">
      <c r="A47" t="s">
        <v>7</v>
      </c>
      <c r="B47" t="s">
        <v>30</v>
      </c>
      <c r="C47" s="26">
        <f>'Taux de productivité'!K15</f>
        <v>0</v>
      </c>
    </row>
    <row r="48" spans="1:3" x14ac:dyDescent="0.25">
      <c r="A48" t="s">
        <v>7</v>
      </c>
      <c r="B48" t="s">
        <v>31</v>
      </c>
      <c r="C48" s="26">
        <f>'Taux de productivité'!K16</f>
        <v>0</v>
      </c>
    </row>
    <row r="49" spans="1:3" x14ac:dyDescent="0.25">
      <c r="A49" t="s">
        <v>7</v>
      </c>
      <c r="B49" t="s">
        <v>32</v>
      </c>
      <c r="C49" s="26">
        <f>'Taux de productivité'!K17</f>
        <v>0</v>
      </c>
    </row>
    <row r="50" spans="1:3" x14ac:dyDescent="0.25">
      <c r="A50" t="s">
        <v>8</v>
      </c>
      <c r="B50" t="s">
        <v>27</v>
      </c>
      <c r="C50" s="26">
        <f>'Taux de productivité'!L12</f>
        <v>0.89</v>
      </c>
    </row>
    <row r="51" spans="1:3" x14ac:dyDescent="0.25">
      <c r="A51" t="s">
        <v>8</v>
      </c>
      <c r="B51" t="s">
        <v>28</v>
      </c>
      <c r="C51" s="26">
        <f>'Taux de productivité'!L13</f>
        <v>0.91</v>
      </c>
    </row>
    <row r="52" spans="1:3" x14ac:dyDescent="0.25">
      <c r="A52" t="s">
        <v>8</v>
      </c>
      <c r="B52" t="s">
        <v>29</v>
      </c>
      <c r="C52" s="26">
        <f>'Taux de productivité'!L14</f>
        <v>0</v>
      </c>
    </row>
    <row r="53" spans="1:3" x14ac:dyDescent="0.25">
      <c r="A53" t="s">
        <v>8</v>
      </c>
      <c r="B53" t="s">
        <v>30</v>
      </c>
      <c r="C53" s="26">
        <f>'Taux de productivité'!L15</f>
        <v>0</v>
      </c>
    </row>
    <row r="54" spans="1:3" x14ac:dyDescent="0.25">
      <c r="A54" t="s">
        <v>8</v>
      </c>
      <c r="B54" t="s">
        <v>31</v>
      </c>
      <c r="C54" s="26">
        <f>'Taux de productivité'!L16</f>
        <v>0</v>
      </c>
    </row>
    <row r="55" spans="1:3" x14ac:dyDescent="0.25">
      <c r="A55" t="s">
        <v>8</v>
      </c>
      <c r="B55" t="s">
        <v>32</v>
      </c>
      <c r="C55" s="26">
        <f>'Taux de productivité'!L17</f>
        <v>0</v>
      </c>
    </row>
    <row r="56" spans="1:3" x14ac:dyDescent="0.25">
      <c r="A56" t="s">
        <v>9</v>
      </c>
      <c r="B56" t="s">
        <v>27</v>
      </c>
      <c r="C56" s="26">
        <f>'Taux de productivité'!M12</f>
        <v>0.87</v>
      </c>
    </row>
    <row r="57" spans="1:3" x14ac:dyDescent="0.25">
      <c r="A57" t="s">
        <v>9</v>
      </c>
      <c r="B57" t="s">
        <v>28</v>
      </c>
      <c r="C57" s="26">
        <f>'Taux de productivité'!M13</f>
        <v>0.65</v>
      </c>
    </row>
    <row r="58" spans="1:3" x14ac:dyDescent="0.25">
      <c r="A58" t="s">
        <v>9</v>
      </c>
      <c r="B58" t="s">
        <v>29</v>
      </c>
      <c r="C58" s="26">
        <f>'Taux de productivité'!M14</f>
        <v>0</v>
      </c>
    </row>
    <row r="59" spans="1:3" x14ac:dyDescent="0.25">
      <c r="A59" t="s">
        <v>9</v>
      </c>
      <c r="B59" t="s">
        <v>30</v>
      </c>
      <c r="C59" s="26">
        <f>'Taux de productivité'!M15</f>
        <v>0</v>
      </c>
    </row>
    <row r="60" spans="1:3" x14ac:dyDescent="0.25">
      <c r="A60" t="s">
        <v>9</v>
      </c>
      <c r="B60" t="s">
        <v>31</v>
      </c>
      <c r="C60" s="26">
        <f>'Taux de productivité'!M16</f>
        <v>0</v>
      </c>
    </row>
    <row r="61" spans="1:3" x14ac:dyDescent="0.25">
      <c r="A61" t="s">
        <v>9</v>
      </c>
      <c r="B61" t="s">
        <v>32</v>
      </c>
      <c r="C61" s="26">
        <f>'Taux de productivité'!M17</f>
        <v>0</v>
      </c>
    </row>
    <row r="62" spans="1:3" x14ac:dyDescent="0.25">
      <c r="A62" t="s">
        <v>10</v>
      </c>
      <c r="B62" t="s">
        <v>27</v>
      </c>
      <c r="C62" s="26">
        <f>'Taux de productivité'!N12</f>
        <v>0.68</v>
      </c>
    </row>
    <row r="63" spans="1:3" x14ac:dyDescent="0.25">
      <c r="A63" t="s">
        <v>10</v>
      </c>
      <c r="B63" t="s">
        <v>28</v>
      </c>
      <c r="C63" s="26">
        <f>'Taux de productivité'!N13</f>
        <v>0.72</v>
      </c>
    </row>
    <row r="64" spans="1:3" x14ac:dyDescent="0.25">
      <c r="A64" t="s">
        <v>10</v>
      </c>
      <c r="B64" t="s">
        <v>29</v>
      </c>
      <c r="C64" s="26">
        <f>'Taux de productivité'!N14</f>
        <v>0</v>
      </c>
    </row>
    <row r="65" spans="1:3" x14ac:dyDescent="0.25">
      <c r="A65" t="s">
        <v>10</v>
      </c>
      <c r="B65" t="s">
        <v>30</v>
      </c>
      <c r="C65" s="26">
        <f>'Taux de productivité'!N15</f>
        <v>0</v>
      </c>
    </row>
    <row r="66" spans="1:3" x14ac:dyDescent="0.25">
      <c r="A66" t="s">
        <v>10</v>
      </c>
      <c r="B66" t="s">
        <v>31</v>
      </c>
      <c r="C66" s="26">
        <f>'Taux de productivité'!N16</f>
        <v>0</v>
      </c>
    </row>
    <row r="67" spans="1:3" x14ac:dyDescent="0.25">
      <c r="A67" t="s">
        <v>10</v>
      </c>
      <c r="B67" t="s">
        <v>32</v>
      </c>
      <c r="C67" s="26">
        <f>'Taux de productivité'!N17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0"/>
  <sheetViews>
    <sheetView workbookViewId="0">
      <selection activeCell="D10" sqref="D10"/>
    </sheetView>
  </sheetViews>
  <sheetFormatPr baseColWidth="10" defaultRowHeight="15" x14ac:dyDescent="0.25"/>
  <cols>
    <col min="1" max="1" width="11" style="29" bestFit="1" customWidth="1"/>
    <col min="2" max="2" width="29" style="29" bestFit="1" customWidth="1"/>
    <col min="3" max="16384" width="11" style="29"/>
  </cols>
  <sheetData>
    <row r="1" spans="1:2" x14ac:dyDescent="0.25">
      <c r="A1" s="28" t="s">
        <v>25</v>
      </c>
      <c r="B1" s="29" t="s">
        <v>10</v>
      </c>
    </row>
    <row r="3" spans="1:2" x14ac:dyDescent="0.25">
      <c r="A3" s="28" t="s">
        <v>24</v>
      </c>
      <c r="B3" s="29" t="s">
        <v>34</v>
      </c>
    </row>
    <row r="4" spans="1:2" x14ac:dyDescent="0.25">
      <c r="A4" s="30" t="s">
        <v>27</v>
      </c>
      <c r="B4" s="31">
        <v>0.68</v>
      </c>
    </row>
    <row r="5" spans="1:2" x14ac:dyDescent="0.25">
      <c r="A5" s="30" t="s">
        <v>28</v>
      </c>
      <c r="B5" s="31">
        <v>0.72</v>
      </c>
    </row>
    <row r="6" spans="1:2" x14ac:dyDescent="0.25">
      <c r="A6" s="30" t="s">
        <v>29</v>
      </c>
      <c r="B6" s="31">
        <v>0</v>
      </c>
    </row>
    <row r="7" spans="1:2" x14ac:dyDescent="0.25">
      <c r="A7" s="30" t="s">
        <v>30</v>
      </c>
      <c r="B7" s="31">
        <v>0</v>
      </c>
    </row>
    <row r="8" spans="1:2" x14ac:dyDescent="0.25">
      <c r="A8" s="30" t="s">
        <v>31</v>
      </c>
      <c r="B8" s="31">
        <v>0</v>
      </c>
    </row>
    <row r="9" spans="1:2" x14ac:dyDescent="0.25">
      <c r="A9" s="30" t="s">
        <v>32</v>
      </c>
      <c r="B9" s="31">
        <v>0</v>
      </c>
    </row>
    <row r="10" spans="1:2" x14ac:dyDescent="0.25">
      <c r="A10" s="30" t="s">
        <v>35</v>
      </c>
      <c r="B10" s="31">
        <v>0.23333333333333331</v>
      </c>
    </row>
  </sheetData>
  <pageMargins left="0.7" right="0.7" top="0.75" bottom="0.75" header="0.3" footer="0.3"/>
  <pageSetup paperSize="9" orientation="portrait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5"/>
  <sheetViews>
    <sheetView workbookViewId="0">
      <selection activeCell="C2" sqref="C2"/>
    </sheetView>
  </sheetViews>
  <sheetFormatPr baseColWidth="10" defaultRowHeight="15" x14ac:dyDescent="0.25"/>
  <cols>
    <col min="1" max="1" width="5.875" bestFit="1" customWidth="1"/>
    <col min="2" max="2" width="5.625" bestFit="1" customWidth="1"/>
    <col min="3" max="3" width="8.25" bestFit="1" customWidth="1"/>
    <col min="4" max="5" width="9.25" bestFit="1" customWidth="1"/>
    <col min="6" max="6" width="11" bestFit="1" customWidth="1"/>
    <col min="7" max="7" width="11.75" bestFit="1" customWidth="1"/>
    <col min="8" max="8" width="10.25" bestFit="1" customWidth="1"/>
    <col min="9" max="9" width="7" bestFit="1" customWidth="1"/>
    <col min="10" max="10" width="14.75" bestFit="1" customWidth="1"/>
    <col min="11" max="11" width="6.25" bestFit="1" customWidth="1"/>
    <col min="12" max="12" width="19" bestFit="1" customWidth="1"/>
  </cols>
  <sheetData>
    <row r="1" spans="1:14" ht="15.75" thickBot="1" x14ac:dyDescent="0.3">
      <c r="A1" s="4" t="s">
        <v>11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1"/>
      <c r="N1" s="12" t="s">
        <v>36</v>
      </c>
    </row>
    <row r="2" spans="1:14" ht="15.75" thickTop="1" x14ac:dyDescent="0.25">
      <c r="A2" s="1">
        <f>HLOOKUP(cs_zone,Tableauprod,2,FALSE)</f>
        <v>0.88</v>
      </c>
      <c r="B2" s="1">
        <f>VLOOKUP(cs_mois,Tableauprod,2,FALSE)</f>
        <v>0.85</v>
      </c>
      <c r="C2" s="1">
        <f>VLOOKUP(cs_mois,Tableauprod,3,FALSE)</f>
        <v>0.84</v>
      </c>
      <c r="D2" s="1">
        <f>VLOOKUP(cs_mois,Tableauprod,4,FALSE)</f>
        <v>0.95</v>
      </c>
      <c r="E2" s="1">
        <f>VLOOKUP(cs_mois,Tableauprod,5,FALSE)</f>
        <v>0.9</v>
      </c>
      <c r="F2" s="1">
        <f>VLOOKUP(cs_mois,Tableauprod,6,FALSE)</f>
        <v>0.8</v>
      </c>
      <c r="G2" s="1">
        <f>VLOOKUP(cs_mois,Tableauprod,7,FALSE)</f>
        <v>0.83</v>
      </c>
      <c r="H2" s="1">
        <f>VLOOKUP(cs_mois,Tableauprod,8,FALSE)</f>
        <v>0.87</v>
      </c>
      <c r="I2" s="1">
        <f>VLOOKUP(cs_mois,Tableauprod,9,FALSE)</f>
        <v>0.88</v>
      </c>
      <c r="J2" s="1">
        <f>VLOOKUP(cs_mois,Tableauprod,10,FALSE)</f>
        <v>0.89</v>
      </c>
      <c r="K2" s="1">
        <f>VLOOKUP(cs_mois,Tableauprod,11,FALSE)</f>
        <v>0.87</v>
      </c>
      <c r="L2" s="1">
        <f>VLOOKUP(cs_mois,Tableauprod,12,FALSE)</f>
        <v>0.68</v>
      </c>
      <c r="M2" s="1"/>
      <c r="N2" s="13" t="s">
        <v>38</v>
      </c>
    </row>
    <row r="3" spans="1:14" x14ac:dyDescent="0.25">
      <c r="A3" s="1">
        <f>HLOOKUP(cs_zone,Tableauprod,3,FALSE)</f>
        <v>0.9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3" t="s">
        <v>37</v>
      </c>
    </row>
    <row r="4" spans="1:14" x14ac:dyDescent="0.25">
      <c r="A4" s="1">
        <f>HLOOKUP(cs_zone,Tableauprod,4,FALSE)</f>
        <v>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>
        <f>HLOOKUP(cs_zone,Tableauprod,5,FALSE)</f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>
        <f>HLOOKUP(cs_zone,Tableauprod,6,FALSE)</f>
        <v>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>
        <f>HLOOKUP(cs_zone,Tableauprod,7,FALSE)</f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tr">
        <f>cs_zone</f>
        <v>Torche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K12" sqref="K12"/>
    </sheetView>
  </sheetViews>
  <sheetFormatPr baseColWidth="10" defaultRowHeight="15" x14ac:dyDescent="0.25"/>
  <cols>
    <col min="2" max="2" width="12.25" bestFit="1" customWidth="1"/>
  </cols>
  <sheetData>
    <row r="1" spans="1:6" x14ac:dyDescent="0.25">
      <c r="C1" s="25" t="s">
        <v>39</v>
      </c>
      <c r="E1" s="25" t="s">
        <v>40</v>
      </c>
    </row>
    <row r="2" spans="1:6" x14ac:dyDescent="0.25">
      <c r="E2" s="25" t="s">
        <v>41</v>
      </c>
    </row>
    <row r="3" spans="1:6" x14ac:dyDescent="0.25">
      <c r="B3" s="25" t="s">
        <v>42</v>
      </c>
      <c r="C3" t="str">
        <f>cs_mois</f>
        <v>Juillet</v>
      </c>
    </row>
    <row r="4" spans="1:6" x14ac:dyDescent="0.25">
      <c r="A4" s="25" t="s">
        <v>43</v>
      </c>
      <c r="B4" t="str">
        <f>cs_zone</f>
        <v>Torche</v>
      </c>
      <c r="C4" s="26">
        <f>INDEX(tbl_Productivité[[Mois]:[Marquage - Gravage]],MATCH(Feuil1!C3,tbl_Productivité[Mois],0),MATCH(Feuil1!B4,tbl_Productivité[[#Headers],[Mois]:[Marquage - Gravage]],0))</f>
        <v>0.88</v>
      </c>
      <c r="E4" s="32">
        <f>INDEX(tbl_Productivité[],MATCH(C3,d.mois,0),MATCH(B4,s.zone,0))</f>
        <v>0.88</v>
      </c>
      <c r="F4" s="27" t="s">
        <v>44</v>
      </c>
    </row>
    <row r="6" spans="1:6" x14ac:dyDescent="0.25">
      <c r="C6" s="25" t="s">
        <v>45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Tableau de Bord</vt:lpstr>
      <vt:lpstr>Taux de productivité</vt:lpstr>
      <vt:lpstr>Données de Calcul </vt:lpstr>
      <vt:lpstr>TablepourTCD</vt:lpstr>
      <vt:lpstr>TCD</vt:lpstr>
      <vt:lpstr>Feuil6</vt:lpstr>
      <vt:lpstr>Sept.</vt:lpstr>
      <vt:lpstr>Feuil1</vt:lpstr>
      <vt:lpstr>cs_mois</vt:lpstr>
      <vt:lpstr>cs_zone</vt:lpstr>
      <vt:lpstr>d.mois</vt:lpstr>
      <vt:lpstr>s.zone</vt:lpstr>
      <vt:lpstr>Tableauprod</vt:lpstr>
      <vt:lpstr>Tableevolution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L'Hermitte</dc:creator>
  <cp:lastModifiedBy>Jean-Eric Pelouas</cp:lastModifiedBy>
  <cp:lastPrinted>2016-09-10T11:57:15Z</cp:lastPrinted>
  <dcterms:created xsi:type="dcterms:W3CDTF">2016-09-02T16:20:21Z</dcterms:created>
  <dcterms:modified xsi:type="dcterms:W3CDTF">2016-09-12T06:48:24Z</dcterms:modified>
</cp:coreProperties>
</file>