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5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7426652-3D8A-4812-BFE4-2AC8FD5670C6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Ligne 6" sheetId="4" r:id="rId1"/>
    <sheet name="Planning_L6" sheetId="8" r:id="rId2"/>
  </sheets>
  <externalReferences>
    <externalReference r:id="rId3"/>
    <externalReference r:id="rId4"/>
    <externalReference r:id="rId5"/>
  </externalReferenc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K48" i="4" l="1"/>
  <c r="BK44" i="4"/>
  <c r="BN44" i="4"/>
  <c r="BM44" i="4"/>
  <c r="BK42" i="4"/>
  <c r="BK43" i="4"/>
  <c r="BK45" i="4"/>
  <c r="BK46" i="4"/>
  <c r="BK47" i="4"/>
  <c r="BK49" i="4"/>
  <c r="BK50" i="4"/>
  <c r="BK51" i="4"/>
  <c r="BK52" i="4"/>
  <c r="BK53" i="4"/>
  <c r="BK54" i="4"/>
  <c r="BK55" i="4"/>
  <c r="BK56" i="4"/>
  <c r="BK57" i="4"/>
  <c r="BK58" i="4"/>
  <c r="BK59" i="4"/>
  <c r="BK60" i="4"/>
  <c r="BK61" i="4"/>
  <c r="BK62" i="4"/>
  <c r="BK63" i="4"/>
  <c r="BK64" i="4"/>
  <c r="BK65" i="4"/>
  <c r="BK66" i="4"/>
  <c r="BK67" i="4"/>
  <c r="BK68" i="4"/>
  <c r="BK69" i="4"/>
  <c r="BK70" i="4"/>
  <c r="BK71" i="4"/>
  <c r="BK72" i="4"/>
  <c r="BK73" i="4"/>
  <c r="BK74" i="4"/>
  <c r="BK75" i="4"/>
  <c r="BK76" i="4"/>
  <c r="BK77" i="4"/>
  <c r="BK78" i="4"/>
  <c r="BK79" i="4"/>
  <c r="BK80" i="4"/>
  <c r="BK81" i="4"/>
  <c r="BK82" i="4"/>
  <c r="BK83" i="4"/>
  <c r="BK84" i="4"/>
  <c r="BK85" i="4"/>
  <c r="BK86" i="4"/>
  <c r="BK87" i="4"/>
  <c r="BK88" i="4"/>
  <c r="BK89" i="4"/>
  <c r="BK90" i="4"/>
  <c r="BK91" i="4"/>
  <c r="BK92" i="4"/>
  <c r="BK41" i="4"/>
  <c r="BK94" i="4"/>
  <c r="O8" i="4" s="1"/>
  <c r="BL42" i="4"/>
  <c r="BL43" i="4"/>
  <c r="BL44" i="4"/>
  <c r="BL45" i="4"/>
  <c r="BL46" i="4"/>
  <c r="BL47" i="4"/>
  <c r="BL48" i="4"/>
  <c r="BL49" i="4"/>
  <c r="BL50" i="4"/>
  <c r="BL51" i="4"/>
  <c r="BL52" i="4"/>
  <c r="BL53" i="4"/>
  <c r="BL54" i="4"/>
  <c r="BL55" i="4"/>
  <c r="BL56" i="4"/>
  <c r="BL57" i="4"/>
  <c r="BL58" i="4"/>
  <c r="BL59" i="4"/>
  <c r="BL60" i="4"/>
  <c r="BL61" i="4"/>
  <c r="BL62" i="4"/>
  <c r="BL63" i="4"/>
  <c r="BL64" i="4"/>
  <c r="BL65" i="4"/>
  <c r="BL66" i="4"/>
  <c r="BL67" i="4"/>
  <c r="BL68" i="4"/>
  <c r="BL69" i="4"/>
  <c r="BL70" i="4"/>
  <c r="BL71" i="4"/>
  <c r="BL72" i="4"/>
  <c r="BL73" i="4"/>
  <c r="BL74" i="4"/>
  <c r="BL75" i="4"/>
  <c r="BL76" i="4"/>
  <c r="BL77" i="4"/>
  <c r="BL78" i="4"/>
  <c r="BL79" i="4"/>
  <c r="BL80" i="4"/>
  <c r="BL81" i="4"/>
  <c r="BL82" i="4"/>
  <c r="BL83" i="4"/>
  <c r="BL84" i="4"/>
  <c r="BL85" i="4"/>
  <c r="BL86" i="4"/>
  <c r="BL87" i="4"/>
  <c r="BL88" i="4"/>
  <c r="BL89" i="4"/>
  <c r="BL90" i="4"/>
  <c r="BL91" i="4"/>
  <c r="BL92" i="4"/>
  <c r="BL41" i="4"/>
  <c r="I59" i="4"/>
  <c r="N59" i="4"/>
  <c r="N56" i="4" s="1"/>
  <c r="N58" i="4"/>
  <c r="I57" i="4"/>
  <c r="AN7" i="4"/>
  <c r="AN8" i="4"/>
  <c r="AN9" i="4"/>
  <c r="AN10" i="4"/>
  <c r="AN11" i="4"/>
  <c r="AN12" i="4"/>
  <c r="AN13" i="4"/>
  <c r="AN14" i="4"/>
  <c r="AN15" i="4"/>
  <c r="AN16" i="4"/>
  <c r="AN17" i="4"/>
  <c r="AN18" i="4"/>
  <c r="AN19" i="4"/>
  <c r="AN20" i="4"/>
  <c r="AN21" i="4"/>
  <c r="AN22" i="4"/>
  <c r="AN23" i="4"/>
  <c r="AN24" i="4"/>
  <c r="AN25" i="4"/>
  <c r="AN26" i="4"/>
  <c r="AN27" i="4"/>
  <c r="AN28" i="4"/>
  <c r="AN29" i="4"/>
  <c r="AN30" i="4"/>
  <c r="AN31" i="4"/>
  <c r="AN32" i="4"/>
  <c r="AN33" i="4"/>
  <c r="AN34" i="4"/>
  <c r="AN35" i="4"/>
  <c r="AN36" i="4"/>
  <c r="AN37" i="4"/>
  <c r="AN38" i="4"/>
  <c r="AN39" i="4"/>
  <c r="AN40" i="4"/>
  <c r="AN6" i="4"/>
  <c r="AN5" i="4"/>
  <c r="AM9" i="4"/>
  <c r="AM10" i="4"/>
  <c r="AM11" i="4"/>
  <c r="AM12" i="4"/>
  <c r="AM13" i="4"/>
  <c r="AM14" i="4"/>
  <c r="AM15" i="4"/>
  <c r="AM16" i="4"/>
  <c r="AM17" i="4"/>
  <c r="AM18" i="4"/>
  <c r="AM19" i="4"/>
  <c r="AM20" i="4"/>
  <c r="AM21" i="4"/>
  <c r="AM22" i="4"/>
  <c r="AM23" i="4"/>
  <c r="AM24" i="4"/>
  <c r="AM25" i="4"/>
  <c r="AM26" i="4"/>
  <c r="AM27" i="4"/>
  <c r="AM28" i="4"/>
  <c r="AM29" i="4"/>
  <c r="AM30" i="4"/>
  <c r="AM31" i="4"/>
  <c r="AM32" i="4"/>
  <c r="AM33" i="4"/>
  <c r="AM34" i="4"/>
  <c r="AM35" i="4"/>
  <c r="AM36" i="4"/>
  <c r="AM37" i="4"/>
  <c r="AM38" i="4"/>
  <c r="AM39" i="4"/>
  <c r="AM40" i="4"/>
  <c r="AM8" i="4"/>
  <c r="AM7" i="4"/>
  <c r="AM6" i="4"/>
  <c r="BG87" i="4"/>
  <c r="D58" i="4" l="1"/>
  <c r="BG44" i="4" l="1"/>
  <c r="BG45" i="4"/>
  <c r="BG46" i="4"/>
  <c r="BG47" i="4"/>
  <c r="BG48" i="4"/>
  <c r="BG49" i="4"/>
  <c r="BG50" i="4"/>
  <c r="BG51" i="4"/>
  <c r="BG52" i="4"/>
  <c r="BG53" i="4"/>
  <c r="BG54" i="4"/>
  <c r="BG55" i="4"/>
  <c r="BG56" i="4"/>
  <c r="BG57" i="4"/>
  <c r="BG58" i="4"/>
  <c r="BG59" i="4"/>
  <c r="BG60" i="4"/>
  <c r="BG61" i="4"/>
  <c r="BG62" i="4"/>
  <c r="BG63" i="4"/>
  <c r="BG64" i="4"/>
  <c r="BG65" i="4"/>
  <c r="BG66" i="4"/>
  <c r="BG67" i="4"/>
  <c r="BG68" i="4"/>
  <c r="BG69" i="4"/>
  <c r="BG70" i="4"/>
  <c r="BG71" i="4"/>
  <c r="BG72" i="4"/>
  <c r="BG73" i="4"/>
  <c r="BG74" i="4"/>
  <c r="BG75" i="4"/>
  <c r="BG76" i="4"/>
  <c r="BG77" i="4"/>
  <c r="BG78" i="4"/>
  <c r="BG79" i="4"/>
  <c r="BG80" i="4"/>
  <c r="BG81" i="4"/>
  <c r="BG82" i="4"/>
  <c r="BG83" i="4"/>
  <c r="BG84" i="4"/>
  <c r="BG85" i="4"/>
  <c r="BG86" i="4"/>
  <c r="BG88" i="4"/>
  <c r="BG89" i="4"/>
  <c r="BG90" i="4"/>
  <c r="BG91" i="4"/>
  <c r="BG92" i="4"/>
  <c r="BG43" i="4"/>
  <c r="BG42" i="4"/>
  <c r="BG41" i="4"/>
  <c r="BG94" i="4" l="1"/>
  <c r="O10" i="4" s="1"/>
  <c r="M8" i="4" s="1"/>
  <c r="BJ44" i="4" l="1"/>
  <c r="BJ45" i="4"/>
  <c r="BJ46" i="4"/>
  <c r="BJ47" i="4"/>
  <c r="BJ48" i="4"/>
  <c r="BJ49" i="4"/>
  <c r="BJ50" i="4"/>
  <c r="BJ51" i="4"/>
  <c r="BJ52" i="4"/>
  <c r="BJ53" i="4"/>
  <c r="BJ54" i="4"/>
  <c r="BJ55" i="4"/>
  <c r="BJ56" i="4"/>
  <c r="BJ57" i="4"/>
  <c r="BJ58" i="4"/>
  <c r="BJ59" i="4"/>
  <c r="BJ60" i="4"/>
  <c r="BJ61" i="4"/>
  <c r="BJ62" i="4"/>
  <c r="BJ63" i="4"/>
  <c r="BJ64" i="4"/>
  <c r="BJ65" i="4"/>
  <c r="BJ66" i="4"/>
  <c r="BJ67" i="4"/>
  <c r="BJ68" i="4"/>
  <c r="BJ69" i="4"/>
  <c r="BJ70" i="4"/>
  <c r="BJ71" i="4"/>
  <c r="BJ72" i="4"/>
  <c r="BJ73" i="4"/>
  <c r="BJ74" i="4"/>
  <c r="BJ75" i="4"/>
  <c r="BJ76" i="4"/>
  <c r="BJ77" i="4"/>
  <c r="BJ78" i="4"/>
  <c r="BJ79" i="4"/>
  <c r="BJ80" i="4"/>
  <c r="BJ81" i="4"/>
  <c r="BJ82" i="4"/>
  <c r="BJ83" i="4"/>
  <c r="BJ84" i="4"/>
  <c r="BJ85" i="4"/>
  <c r="BJ86" i="4"/>
  <c r="BJ87" i="4"/>
  <c r="BJ88" i="4"/>
  <c r="BJ89" i="4"/>
  <c r="BJ90" i="4"/>
  <c r="BJ91" i="4"/>
  <c r="O12" i="4" s="1"/>
  <c r="M10" i="4" s="1"/>
  <c r="BJ92" i="4"/>
  <c r="BJ43" i="4"/>
  <c r="BJ42" i="4"/>
  <c r="BJ41" i="4"/>
  <c r="AW19" i="4"/>
  <c r="BJ94" i="4" l="1"/>
  <c r="N3" i="4" l="1"/>
  <c r="AV49" i="4" l="1"/>
  <c r="BA64" i="4"/>
  <c r="BA66" i="4" s="1"/>
  <c r="AZ37" i="4" l="1"/>
  <c r="N57" i="4"/>
  <c r="C57" i="4"/>
  <c r="C12" i="4"/>
  <c r="C58" i="4" s="1"/>
  <c r="C59" i="4" s="1"/>
  <c r="C60" i="4" s="1"/>
  <c r="D59" i="4" l="1"/>
  <c r="D60" i="4" s="1"/>
  <c r="AZ32" i="4"/>
  <c r="AZ33" i="4" s="1"/>
  <c r="AZ38" i="4"/>
  <c r="I62" i="4"/>
  <c r="J62" i="4" s="1"/>
  <c r="I61" i="4"/>
  <c r="J61" i="4" s="1"/>
  <c r="N60" i="4"/>
  <c r="I56" i="4"/>
  <c r="N61" i="4" l="1"/>
  <c r="O61" i="4" s="1"/>
  <c r="N62" i="4" a="1"/>
  <c r="N62" i="4" s="1"/>
  <c r="O62" i="4" s="1"/>
  <c r="AW60" i="4"/>
  <c r="AX60" i="4" s="1"/>
  <c r="AW61" i="4"/>
  <c r="AX61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<sst xmlns="http://schemas.openxmlformats.org/spreadsheetml/2006/main" count="182" uniqueCount="148">
  <si>
    <t>OF planning</t>
  </si>
  <si>
    <t>OEE</t>
  </si>
  <si>
    <t/>
  </si>
  <si>
    <t>Poste en cours</t>
  </si>
  <si>
    <t>Objectif OEE :</t>
  </si>
  <si>
    <t>Réel</t>
  </si>
  <si>
    <t>OEE 2022</t>
  </si>
  <si>
    <t>Cadence :</t>
  </si>
  <si>
    <t>OEE 2021</t>
  </si>
  <si>
    <t>Cols / h :</t>
  </si>
  <si>
    <t>Jauge OEE</t>
  </si>
  <si>
    <t>Table 1</t>
  </si>
  <si>
    <t>Performance</t>
  </si>
  <si>
    <t>Valeur</t>
  </si>
  <si>
    <t>Mauvais</t>
  </si>
  <si>
    <t>Bon</t>
  </si>
  <si>
    <t>Excellent</t>
  </si>
  <si>
    <t>Total</t>
  </si>
  <si>
    <t>Avancement OF en cours</t>
  </si>
  <si>
    <t>Avancement hebdomadaire</t>
  </si>
  <si>
    <t>Table 2</t>
  </si>
  <si>
    <t>Echelle</t>
  </si>
  <si>
    <t>OUI</t>
  </si>
  <si>
    <t>NON</t>
  </si>
  <si>
    <t>JOUR</t>
  </si>
  <si>
    <t>KCOLS/J</t>
  </si>
  <si>
    <t>Obj OEE</t>
  </si>
  <si>
    <t>Obj Kcol</t>
  </si>
  <si>
    <t>S1</t>
  </si>
  <si>
    <t>S2</t>
  </si>
  <si>
    <t>S3</t>
  </si>
  <si>
    <t>NEP</t>
  </si>
  <si>
    <t>S4</t>
  </si>
  <si>
    <t>Temps</t>
  </si>
  <si>
    <t>Jour</t>
  </si>
  <si>
    <t>Obj.</t>
  </si>
  <si>
    <t>S5</t>
  </si>
  <si>
    <t>Lundi</t>
  </si>
  <si>
    <t>S6</t>
  </si>
  <si>
    <t>Graphique "Avancement OF en cours"</t>
  </si>
  <si>
    <t>Table 3</t>
  </si>
  <si>
    <t>Mardi</t>
  </si>
  <si>
    <t>S7</t>
  </si>
  <si>
    <t>Position courante</t>
  </si>
  <si>
    <t>Mercredi</t>
  </si>
  <si>
    <t>S8</t>
  </si>
  <si>
    <t>Largeur</t>
  </si>
  <si>
    <t>Jeudi</t>
  </si>
  <si>
    <t>S9</t>
  </si>
  <si>
    <t>fin</t>
  </si>
  <si>
    <t>Vendredi</t>
  </si>
  <si>
    <t>S10</t>
  </si>
  <si>
    <t>Samedi</t>
  </si>
  <si>
    <t>S11</t>
  </si>
  <si>
    <t>Graphique "Avancement hebdomadaire"</t>
  </si>
  <si>
    <t>S12</t>
  </si>
  <si>
    <t>S13</t>
  </si>
  <si>
    <t>S14</t>
  </si>
  <si>
    <t>S15</t>
  </si>
  <si>
    <t>S16</t>
  </si>
  <si>
    <t>S17</t>
  </si>
  <si>
    <t>S18</t>
  </si>
  <si>
    <t>S19</t>
  </si>
  <si>
    <t>Objectif</t>
  </si>
  <si>
    <t>Avancement :</t>
  </si>
  <si>
    <t>S20</t>
  </si>
  <si>
    <t>OEE :</t>
  </si>
  <si>
    <t>Nb. cols OF en cours :</t>
  </si>
  <si>
    <t>OF n° :</t>
  </si>
  <si>
    <t>S21</t>
  </si>
  <si>
    <t xml:space="preserve">Cols produits OF en cours : </t>
  </si>
  <si>
    <t>Cols à produirent :</t>
  </si>
  <si>
    <t>S22</t>
  </si>
  <si>
    <t>Cols / poste :</t>
  </si>
  <si>
    <t xml:space="preserve">Cols restant OF en cours : </t>
  </si>
  <si>
    <t>Cols produits :</t>
  </si>
  <si>
    <t>S23</t>
  </si>
  <si>
    <t>Cols / jour :</t>
  </si>
  <si>
    <t>Cols restants :</t>
  </si>
  <si>
    <t>S24</t>
  </si>
  <si>
    <t>Heures de production restantes à l'OEE visé :</t>
  </si>
  <si>
    <t>S25</t>
  </si>
  <si>
    <t>NEP à faire ?</t>
  </si>
  <si>
    <t>Heures de production restantes à lOEE réel :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</si>
  <si>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</si>
  <si>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</si>
  <si>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</si>
  <si>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</si>
  <si>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</si>
  <si>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</si>
  <si>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</si>
  <si>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</si>
  <si>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</si>
  <si>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</si>
  <si>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</si>
  <si>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</si>
  <si>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</si>
  <si>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</si>
  <si>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</si>
  <si>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</si>
  <si>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</si>
  <si>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</si>
  <si>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</si>
  <si>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</si>
  <si>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</si>
  <si>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</si>
  <si>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</si>
  <si>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</si>
  <si>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</si>
  <si>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</si>
  <si>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</si>
  <si>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Code PF</t>
  </si>
  <si>
    <t>Libellé</t>
  </si>
  <si>
    <t>OF</t>
  </si>
  <si>
    <t>LOT</t>
  </si>
  <si>
    <t>Format</t>
  </si>
  <si>
    <t>Date &amp; heure début</t>
  </si>
  <si>
    <t>Date &amp; heure fin</t>
  </si>
  <si>
    <t>Durée</t>
  </si>
  <si>
    <t>Nbre col</t>
  </si>
  <si>
    <t>Nbre pal</t>
  </si>
  <si>
    <t>Code SF</t>
  </si>
  <si>
    <t>Volume (L)</t>
  </si>
  <si>
    <t>Cadence</t>
  </si>
  <si>
    <t>NETTOYAGE</t>
  </si>
  <si>
    <t>COLS</t>
  </si>
  <si>
    <t>CHANGEMENT RINCAGE STERILE</t>
  </si>
  <si>
    <t>Ligne 6</t>
  </si>
  <si>
    <t>ENTRETIEN STERILISATION</t>
  </si>
  <si>
    <t>mercredi</t>
  </si>
  <si>
    <t>S100 CRN6 PAL</t>
  </si>
  <si>
    <t>jeudi</t>
  </si>
  <si>
    <t>lundi</t>
  </si>
  <si>
    <t>mardi</t>
  </si>
  <si>
    <t>PJ SU OR ZRP 1LS*6_750</t>
  </si>
  <si>
    <t>CHANGEMENT 8--&gt;6 RINCAGE STERILE</t>
  </si>
  <si>
    <t>PJ B&amp;BIO TOM BIO 1LS*8_680</t>
  </si>
  <si>
    <t>S100 CRN8 PAL</t>
  </si>
  <si>
    <t>PJ B&amp;BIO OR 1LS*8_680</t>
  </si>
  <si>
    <t>PJ B&amp;BIO CRT BIO 1LS*8_680</t>
  </si>
  <si>
    <t>NEC CRF GOY BIO 1LS*6_750</t>
  </si>
  <si>
    <t>PJ FD BIO VLG ANA 1LS*6_750</t>
  </si>
  <si>
    <t>S100 ANA CRN6 PAL</t>
  </si>
  <si>
    <t>PJ FD JAF MULTI 1LS*6_750</t>
  </si>
  <si>
    <t>CHANGEMENT 6--&gt;4 RINCAGE STERILE</t>
  </si>
  <si>
    <t>PJ SU OR 1LS*4 DP_600</t>
  </si>
  <si>
    <t>S100 LOT4 DPA</t>
  </si>
  <si>
    <t>OEE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</si>
</sst>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0.0%"/>
    <numFmt numFmtId="165" formatCode="[hh]:mm"/>
    <numFmt numFmtId="166" formatCode="dd/mm/yyyy\ hh:mm:ss"/>
    <numFmt numFmtId="167" formatCode="dddd"/>
    <numFmt numFmtId="168" formatCode="[hh]:mm:ss"/>
    <numFmt numFmtId="169" formatCode="d/m/yy\ h:mm;@"/>
    <numFmt numFmtId="170" formatCode="#,##0.000"/>
    <numFmt numFmtId="171" formatCode="_-* #,##0.00\ _€_-;\-* #,##0.00\ _€_-;_-* &quot;-&quot;??\ _€_-;_-@_-"/>
  </numFmts>
  <fonts count="21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24"/>
      <color theme="0" tint="-0.499984740745262"/>
      <name val="Calibri"/>
      <family val="2"/>
      <scheme val="minor"/>
    </font>
    <font>
      <sz val="20"/>
      <color theme="0" tint="-0.499984740745262"/>
      <name val="Calibri"/>
      <family val="2"/>
      <scheme val="minor"/>
    </font>
    <font>
      <b/>
      <sz val="20"/>
      <color theme="9"/>
      <name val="Calibri"/>
      <family val="2"/>
      <scheme val="minor"/>
    </font>
    <font>
      <b/>
      <sz val="48"/>
      <color rgb="FF00B05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sz val="8"/>
      <name val="Calibri"/>
      <family val="2"/>
      <scheme val="minor"/>
    </font>
    <font>
      <sz val="28"/>
      <color rgb="FF595959"/>
      <name val="Calibri"/>
      <family val="2"/>
      <scheme val="minor"/>
    </font>
    <font>
      <sz val="12"/>
      <color rgb="FF59595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808080"/>
        <bgColor rgb="FF000000"/>
      </patternFill>
    </fill>
    <fill>
      <patternFill patternType="solid">
        <fgColor indexed="43"/>
        <bgColor indexed="64"/>
      </patternFill>
    </fill>
    <fill>
      <patternFill patternType="solid">
        <fgColor theme="0" tint="-0.249977111117893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1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</borders>
  <cellStyleXfs count="10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20" fillId="0" borderId="0"/>
    <xf numFmtId="0" fontId="20" fillId="0" borderId="0"/>
    <xf numFmtId="9" fontId="20" fillId="0" borderId="0" applyFont="0" applyFill="0" applyBorder="0" applyAlignment="0" applyProtection="0"/>
    <xf numFmtId="0" fontId="20" fillId="0" borderId="0"/>
    <xf numFmtId="171" fontId="20" fillId="0" borderId="0" applyFont="0" applyFill="0" applyBorder="0" applyAlignment="0" applyProtection="0"/>
    <xf numFmtId="0" fontId="20" fillId="0" borderId="0"/>
  </cellStyleXfs>
  <cellXfs count="131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right" vertical="center" indent="1"/>
    </xf>
    <xf numFmtId="0" fontId="0" fillId="2" borderId="0" xfId="0" applyFill="1" applyAlignment="1">
      <alignment horizontal="right" vertical="center" indent="1"/>
    </xf>
    <xf numFmtId="10" fontId="0" fillId="2" borderId="1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0" fillId="2" borderId="0" xfId="0" applyFill="1" applyAlignment="1">
      <alignment horizontal="right" vertical="center" indent="2"/>
    </xf>
    <xf numFmtId="0" fontId="6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7" fillId="2" borderId="0" xfId="0" applyFont="1" applyFill="1" applyAlignment="1">
      <alignment horizontal="right" vertical="center" indent="1"/>
    </xf>
    <xf numFmtId="164" fontId="7" fillId="2" borderId="0" xfId="0" applyNumberFormat="1" applyFont="1" applyFill="1" applyAlignment="1">
      <alignment horizontal="left" vertical="center" indent="2"/>
    </xf>
    <xf numFmtId="0" fontId="8" fillId="2" borderId="1" xfId="0" applyFont="1" applyFill="1" applyBorder="1" applyAlignment="1">
      <alignment horizontal="right" vertical="center" indent="1"/>
    </xf>
    <xf numFmtId="1" fontId="3" fillId="2" borderId="1" xfId="0" applyNumberFormat="1" applyFont="1" applyFill="1" applyBorder="1" applyAlignment="1">
      <alignment horizontal="right" vertical="center" indent="1"/>
    </xf>
    <xf numFmtId="0" fontId="3" fillId="2" borderId="1" xfId="0" applyFont="1" applyFill="1" applyBorder="1" applyAlignment="1">
      <alignment horizontal="right" vertical="center" indent="1"/>
    </xf>
    <xf numFmtId="0" fontId="8" fillId="2" borderId="1" xfId="0" applyFont="1" applyFill="1" applyBorder="1" applyAlignment="1">
      <alignment horizontal="right" vertical="center"/>
    </xf>
    <xf numFmtId="10" fontId="3" fillId="2" borderId="1" xfId="0" applyNumberFormat="1" applyFont="1" applyFill="1" applyBorder="1" applyAlignment="1">
      <alignment horizontal="right" vertical="center" indent="1"/>
    </xf>
    <xf numFmtId="0" fontId="0" fillId="2" borderId="1" xfId="0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right" vertical="center" indent="1"/>
    </xf>
    <xf numFmtId="167" fontId="0" fillId="0" borderId="3" xfId="0" applyNumberFormat="1" applyBorder="1"/>
    <xf numFmtId="0" fontId="0" fillId="0" borderId="7" xfId="0" applyBorder="1"/>
    <xf numFmtId="166" fontId="0" fillId="0" borderId="7" xfId="0" applyNumberFormat="1" applyBorder="1"/>
    <xf numFmtId="168" fontId="0" fillId="0" borderId="7" xfId="0" applyNumberFormat="1" applyBorder="1"/>
    <xf numFmtId="0" fontId="0" fillId="3" borderId="7" xfId="0" applyFill="1" applyBorder="1"/>
    <xf numFmtId="0" fontId="0" fillId="0" borderId="18" xfId="0" applyBorder="1"/>
    <xf numFmtId="0" fontId="0" fillId="2" borderId="0" xfId="0" applyFill="1" applyAlignment="1">
      <alignment horizontal="right" indent="1"/>
    </xf>
    <xf numFmtId="0" fontId="0" fillId="4" borderId="15" xfId="0" applyFill="1" applyBorder="1" applyAlignment="1">
      <alignment horizontal="center" vertical="center" wrapText="1"/>
    </xf>
    <xf numFmtId="0" fontId="0" fillId="0" borderId="16" xfId="0" applyBorder="1"/>
    <xf numFmtId="0" fontId="0" fillId="0" borderId="17" xfId="0" applyBorder="1"/>
    <xf numFmtId="10" fontId="0" fillId="2" borderId="0" xfId="0" applyNumberFormat="1" applyFill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10" fontId="3" fillId="2" borderId="1" xfId="2" applyNumberFormat="1" applyFont="1" applyFill="1" applyBorder="1" applyAlignment="1">
      <alignment horizontal="right" vertical="center" indent="1"/>
    </xf>
    <xf numFmtId="169" fontId="3" fillId="2" borderId="1" xfId="0" applyNumberFormat="1" applyFont="1" applyFill="1" applyBorder="1" applyAlignment="1">
      <alignment horizontal="center" vertical="center"/>
    </xf>
    <xf numFmtId="169" fontId="3" fillId="2" borderId="1" xfId="0" applyNumberFormat="1" applyFont="1" applyFill="1" applyBorder="1" applyAlignment="1">
      <alignment horizontal="right" vertical="center" indent="1"/>
    </xf>
    <xf numFmtId="0" fontId="8" fillId="2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167" fontId="0" fillId="2" borderId="0" xfId="0" applyNumberFormat="1" applyFill="1"/>
    <xf numFmtId="166" fontId="0" fillId="2" borderId="0" xfId="0" applyNumberFormat="1" applyFill="1"/>
    <xf numFmtId="168" fontId="0" fillId="2" borderId="0" xfId="0" applyNumberFormat="1" applyFill="1"/>
    <xf numFmtId="167" fontId="11" fillId="2" borderId="0" xfId="0" applyNumberFormat="1" applyFont="1" applyFill="1"/>
    <xf numFmtId="0" fontId="11" fillId="2" borderId="0" xfId="0" applyFont="1" applyFill="1"/>
    <xf numFmtId="166" fontId="11" fillId="2" borderId="0" xfId="0" applyNumberFormat="1" applyFont="1" applyFill="1"/>
    <xf numFmtId="168" fontId="11" fillId="2" borderId="0" xfId="0" applyNumberFormat="1" applyFont="1" applyFill="1"/>
    <xf numFmtId="0" fontId="3" fillId="2" borderId="5" xfId="0" applyFont="1" applyFill="1" applyBorder="1" applyAlignment="1">
      <alignment horizontal="right" vertical="center" indent="2"/>
    </xf>
    <xf numFmtId="0" fontId="0" fillId="0" borderId="0" xfId="0" applyAlignment="1">
      <alignment horizontal="center" vertical="center"/>
    </xf>
    <xf numFmtId="10" fontId="0" fillId="2" borderId="0" xfId="0" applyNumberFormat="1" applyFill="1" applyAlignment="1">
      <alignment horizontal="right" vertical="center" indent="1"/>
    </xf>
    <xf numFmtId="10" fontId="0" fillId="2" borderId="1" xfId="0" applyNumberFormat="1" applyFill="1" applyBorder="1" applyAlignment="1">
      <alignment horizontal="right" vertical="center" indent="1"/>
    </xf>
    <xf numFmtId="0" fontId="10" fillId="2" borderId="8" xfId="0" applyFont="1" applyFill="1" applyBorder="1" applyAlignment="1">
      <alignment horizontal="center" vertical="center"/>
    </xf>
    <xf numFmtId="9" fontId="0" fillId="2" borderId="1" xfId="0" applyNumberFormat="1" applyFill="1" applyBorder="1" applyAlignment="1">
      <alignment horizontal="center" vertical="center"/>
    </xf>
    <xf numFmtId="164" fontId="0" fillId="0" borderId="0" xfId="2" applyNumberFormat="1" applyFont="1" applyAlignment="1">
      <alignment horizontal="center" vertical="center"/>
    </xf>
    <xf numFmtId="0" fontId="14" fillId="0" borderId="0" xfId="0" applyFont="1" applyAlignment="1">
      <alignment horizontal="center" vertical="center" readingOrder="1"/>
    </xf>
    <xf numFmtId="0" fontId="15" fillId="2" borderId="0" xfId="0" applyFont="1" applyFill="1"/>
    <xf numFmtId="167" fontId="0" fillId="0" borderId="22" xfId="0" applyNumberFormat="1" applyBorder="1"/>
    <xf numFmtId="0" fontId="0" fillId="0" borderId="23" xfId="0" applyBorder="1"/>
    <xf numFmtId="166" fontId="0" fillId="0" borderId="23" xfId="0" applyNumberFormat="1" applyBorder="1"/>
    <xf numFmtId="168" fontId="0" fillId="0" borderId="23" xfId="0" applyNumberFormat="1" applyBorder="1"/>
    <xf numFmtId="0" fontId="0" fillId="0" borderId="24" xfId="0" applyBorder="1"/>
    <xf numFmtId="0" fontId="0" fillId="0" borderId="25" xfId="0" applyBorder="1"/>
    <xf numFmtId="0" fontId="16" fillId="2" borderId="1" xfId="3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19" fillId="7" borderId="26" xfId="0" applyFont="1" applyFill="1" applyBorder="1" applyAlignment="1">
      <alignment wrapText="1"/>
    </xf>
    <xf numFmtId="0" fontId="19" fillId="7" borderId="27" xfId="0" applyFont="1" applyFill="1" applyBorder="1" applyAlignment="1">
      <alignment wrapText="1"/>
    </xf>
    <xf numFmtId="0" fontId="19" fillId="7" borderId="28" xfId="0" applyFont="1" applyFill="1" applyBorder="1" applyAlignment="1">
      <alignment wrapText="1"/>
    </xf>
    <xf numFmtId="49" fontId="0" fillId="8" borderId="0" xfId="0" applyNumberFormat="1" applyFill="1"/>
    <xf numFmtId="49" fontId="0" fillId="0" borderId="0" xfId="0" applyNumberFormat="1"/>
    <xf numFmtId="14" fontId="0" fillId="0" borderId="0" xfId="0" applyNumberFormat="1"/>
    <xf numFmtId="170" fontId="0" fillId="0" borderId="0" xfId="0" applyNumberFormat="1"/>
    <xf numFmtId="0" fontId="0" fillId="3" borderId="23" xfId="0" applyFill="1" applyBorder="1"/>
    <xf numFmtId="0" fontId="0" fillId="5" borderId="23" xfId="0" applyFill="1" applyBorder="1"/>
    <xf numFmtId="0" fontId="0" fillId="5" borderId="24" xfId="0" applyFill="1" applyBorder="1"/>
    <xf numFmtId="0" fontId="0" fillId="5" borderId="25" xfId="0" applyFill="1" applyBorder="1"/>
    <xf numFmtId="0" fontId="0" fillId="5" borderId="18" xfId="0" applyFill="1" applyBorder="1"/>
    <xf numFmtId="0" fontId="0" fillId="5" borderId="0" xfId="0" applyFill="1"/>
    <xf numFmtId="0" fontId="0" fillId="5" borderId="0" xfId="0" applyFill="1" applyAlignment="1">
      <alignment horizontal="center" vertical="center"/>
    </xf>
    <xf numFmtId="167" fontId="0" fillId="5" borderId="22" xfId="0" applyNumberFormat="1" applyFill="1" applyBorder="1"/>
    <xf numFmtId="166" fontId="0" fillId="5" borderId="23" xfId="0" applyNumberFormat="1" applyFill="1" applyBorder="1"/>
    <xf numFmtId="168" fontId="0" fillId="5" borderId="23" xfId="0" applyNumberFormat="1" applyFill="1" applyBorder="1"/>
    <xf numFmtId="0" fontId="0" fillId="5" borderId="7" xfId="0" applyFill="1" applyBorder="1"/>
    <xf numFmtId="0" fontId="0" fillId="5" borderId="16" xfId="0" applyFill="1" applyBorder="1"/>
    <xf numFmtId="0" fontId="0" fillId="5" borderId="17" xfId="0" applyFill="1" applyBorder="1"/>
    <xf numFmtId="167" fontId="0" fillId="5" borderId="3" xfId="0" applyNumberFormat="1" applyFill="1" applyBorder="1"/>
    <xf numFmtId="166" fontId="0" fillId="5" borderId="7" xfId="0" applyNumberFormat="1" applyFill="1" applyBorder="1"/>
    <xf numFmtId="168" fontId="0" fillId="5" borderId="7" xfId="0" applyNumberFormat="1" applyFill="1" applyBorder="1"/>
    <xf numFmtId="0" fontId="0" fillId="0" borderId="1" xfId="0" applyBorder="1"/>
    <xf numFmtId="0" fontId="0" fillId="3" borderId="1" xfId="0" applyFill="1" applyBorder="1"/>
    <xf numFmtId="0" fontId="0" fillId="5" borderId="1" xfId="0" applyFill="1" applyBorder="1"/>
    <xf numFmtId="0" fontId="0" fillId="2" borderId="8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8" fillId="2" borderId="1" xfId="0" applyFont="1" applyFill="1" applyBorder="1" applyAlignment="1">
      <alignment horizontal="right" vertical="center" wrapText="1" indent="1"/>
    </xf>
    <xf numFmtId="0" fontId="8" fillId="2" borderId="1" xfId="0" applyFont="1" applyFill="1" applyBorder="1" applyAlignment="1">
      <alignment horizontal="right" vertical="center" indent="1"/>
    </xf>
    <xf numFmtId="0" fontId="8" fillId="0" borderId="1" xfId="0" applyFont="1" applyBorder="1" applyAlignment="1">
      <alignment horizontal="right" vertical="center" indent="1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164" fontId="6" fillId="2" borderId="0" xfId="0" applyNumberFormat="1" applyFont="1" applyFill="1" applyAlignment="1">
      <alignment horizontal="center" vertical="center"/>
    </xf>
    <xf numFmtId="0" fontId="7" fillId="2" borderId="0" xfId="0" applyFont="1" applyFill="1" applyAlignment="1">
      <alignment horizontal="right" vertical="center"/>
    </xf>
    <xf numFmtId="0" fontId="7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right"/>
    </xf>
    <xf numFmtId="0" fontId="7" fillId="2" borderId="0" xfId="0" applyFont="1" applyFill="1" applyAlignment="1">
      <alignment horizont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9" fillId="6" borderId="9" xfId="0" applyFont="1" applyFill="1" applyBorder="1" applyAlignment="1">
      <alignment horizontal="center" vertical="center"/>
    </xf>
    <xf numFmtId="0" fontId="9" fillId="6" borderId="4" xfId="0" applyFont="1" applyFill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0" fontId="9" fillId="6" borderId="11" xfId="0" applyFont="1" applyFill="1" applyBorder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9" fillId="6" borderId="12" xfId="0" applyFont="1" applyFill="1" applyBorder="1" applyAlignment="1">
      <alignment horizontal="center" vertical="center"/>
    </xf>
    <xf numFmtId="0" fontId="9" fillId="6" borderId="13" xfId="0" applyFont="1" applyFill="1" applyBorder="1" applyAlignment="1">
      <alignment horizontal="center" vertical="center"/>
    </xf>
    <xf numFmtId="0" fontId="9" fillId="6" borderId="14" xfId="0" applyFont="1" applyFill="1" applyBorder="1" applyAlignment="1">
      <alignment horizontal="center" vertical="center"/>
    </xf>
    <xf numFmtId="0" fontId="9" fillId="6" borderId="6" xfId="0" applyFont="1" applyFill="1" applyBorder="1" applyAlignment="1">
      <alignment horizontal="center" vertical="center"/>
    </xf>
    <xf numFmtId="169" fontId="12" fillId="2" borderId="1" xfId="0" applyNumberFormat="1" applyFont="1" applyFill="1" applyBorder="1" applyAlignment="1">
      <alignment horizontal="center" vertical="center"/>
    </xf>
    <xf numFmtId="0" fontId="17" fillId="2" borderId="1" xfId="0" applyFont="1" applyFill="1" applyBorder="1" applyAlignment="1">
      <alignment horizontal="center" vertical="center"/>
    </xf>
    <xf numFmtId="10" fontId="17" fillId="2" borderId="1" xfId="0" applyNumberFormat="1" applyFont="1" applyFill="1" applyBorder="1" applyAlignment="1">
      <alignment horizontal="center" vertical="center"/>
    </xf>
    <xf numFmtId="10" fontId="18" fillId="2" borderId="12" xfId="0" applyNumberFormat="1" applyFont="1" applyFill="1" applyBorder="1" applyAlignment="1">
      <alignment horizontal="center" vertical="center"/>
    </xf>
    <xf numFmtId="10" fontId="0" fillId="2" borderId="12" xfId="0" applyNumberForma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18" fillId="2" borderId="12" xfId="0" applyFont="1" applyFill="1" applyBorder="1" applyAlignment="1">
      <alignment horizontal="center" vertical="center"/>
    </xf>
    <xf numFmtId="10" fontId="0" fillId="9" borderId="0" xfId="0" applyNumberFormat="1" applyFill="1" applyAlignment="1">
      <alignment horizontal="right" vertical="center" indent="1"/>
    </xf>
    <xf numFmtId="164" fontId="0" fillId="9" borderId="0" xfId="2" applyNumberFormat="1" applyFont="1" applyFill="1" applyAlignment="1">
      <alignment horizontal="center" vertical="center"/>
    </xf>
    <xf numFmtId="0" fontId="0" fillId="9" borderId="0" xfId="0" applyFill="1" applyAlignment="1">
      <alignment horizontal="right" vertical="center" indent="1"/>
    </xf>
  </cellXfs>
  <cellStyles count="10">
    <cellStyle name="Hyperlink" xfId="3" builtinId="8"/>
    <cellStyle name="Milliers 3" xfId="8" xr:uid="{503FF223-1093-4784-994D-EDE9887B1402}"/>
    <cellStyle name="Normal" xfId="0" builtinId="0"/>
    <cellStyle name="Normal 2" xfId="1" xr:uid="{D1CD1308-4AC7-4391-B9A0-E60B6771973B}"/>
    <cellStyle name="Normal 2 2" xfId="5" xr:uid="{3BFD5726-A668-423A-90D5-BB7C2428361C}"/>
    <cellStyle name="Normal 2 3" xfId="9" xr:uid="{BA648E3B-3A42-4C1C-949B-035F67854586}"/>
    <cellStyle name="Normal 2 4" xfId="4" xr:uid="{A63D36F5-7706-4496-858E-1C10647ACFDF}"/>
    <cellStyle name="Normal 3" xfId="7" xr:uid="{476CA81F-7485-44C6-BB90-D5A5EA78EAF5}"/>
    <cellStyle name="Percent" xfId="2" builtinId="5"/>
    <cellStyle name="Pourcentage 2" xfId="6" xr:uid="{5C10F9CB-1705-439C-8048-9E6764F9C23F}"/>
  </cellStyles>
  <dxfs count="36">
    <dxf>
      <font>
        <b val="0"/>
        <i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 val="0"/>
        <i/>
      </font>
      <fill>
        <patternFill patternType="gray0625">
          <bgColor theme="2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 val="0"/>
        <i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 val="0"/>
        <i/>
      </font>
      <fill>
        <patternFill patternType="gray0625">
          <bgColor theme="2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7030A0"/>
        </patternFill>
      </fill>
    </dxf>
    <dxf>
      <font>
        <b val="0"/>
        <i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 val="0"/>
        <i/>
      </font>
      <fill>
        <patternFill patternType="gray0625">
          <bgColor theme="2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7030A0"/>
        </patternFill>
      </fill>
    </dxf>
    <dxf>
      <font>
        <b val="0"/>
        <i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 val="0"/>
        <i/>
      </font>
      <fill>
        <patternFill patternType="gray0625">
          <bgColor theme="2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7030A0"/>
        </patternFill>
      </fill>
    </dxf>
    <dxf>
      <font>
        <b val="0"/>
        <i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 val="0"/>
        <i/>
      </font>
      <fill>
        <patternFill patternType="gray0625">
          <bgColor theme="2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0070C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2ADE55"/>
        </patternFill>
      </fill>
    </dxf>
    <dxf>
      <fill>
        <patternFill>
          <bgColor rgb="FFFC4A2C"/>
        </patternFill>
      </fill>
    </dxf>
  </dxfs>
  <tableStyles count="0" defaultTableStyle="TableStyleMedium2" defaultPivotStyle="PivotStyleLight16"/>
  <colors>
    <mruColors>
      <color rgb="FF2ADE55"/>
      <color rgb="FFFC4A2C"/>
      <color rgb="FFFFD45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b="1"/>
              <a:t>Avancement OF en cours</a:t>
            </a:r>
          </a:p>
        </c:rich>
      </c:tx>
      <c:layout>
        <c:manualLayout>
          <c:xMode val="edge"/>
          <c:yMode val="edge"/>
          <c:x val="0.29129633021996248"/>
          <c:y val="3.0138966741294231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/>
      <c:pieChart>
        <c:varyColors val="1"/>
        <c:ser>
          <c:idx val="0"/>
          <c:order val="0"/>
          <c:tx>
            <c:strRef>
              <c:f>'Ligne 6'!$AZ$30</c:f>
              <c:strCache>
                <c:ptCount val="1"/>
                <c:pt idx="0">
                  <c:v>Graphique "Avancement OF en cours"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>
              <a:bevelT prst="angle"/>
            </a:sp3d>
          </c:spPr>
          <c:explosion val="1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EA86-4A06-A002-46F0A2307289}"/>
              </c:ext>
            </c:extLst>
          </c:dPt>
          <c:dPt>
            <c:idx val="1"/>
            <c:bubble3D val="0"/>
            <c:spPr>
              <a:gradFill flip="none" rotWithShape="1">
                <a:gsLst>
                  <a:gs pos="0">
                    <a:schemeClr val="accent3">
                      <a:lumMod val="67000"/>
                    </a:schemeClr>
                  </a:gs>
                  <a:gs pos="48000">
                    <a:schemeClr val="accent3">
                      <a:lumMod val="97000"/>
                      <a:lumOff val="3000"/>
                    </a:schemeClr>
                  </a:gs>
                  <a:gs pos="100000">
                    <a:schemeClr val="accent3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 w="19050">
                <a:solidFill>
                  <a:schemeClr val="l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 prst="angle"/>
              </a:sp3d>
            </c:spPr>
            <c:extLst>
              <c:ext xmlns:c16="http://schemas.microsoft.com/office/drawing/2014/chart" uri="{C3380CC4-5D6E-409C-BE32-E72D297353CC}">
                <c16:uniqueId val="{00000003-EA86-4A06-A002-46F0A2307289}"/>
              </c:ext>
            </c:extLst>
          </c:dPt>
          <c:dPt>
            <c:idx val="2"/>
            <c:bubble3D val="0"/>
            <c:spPr>
              <a:gradFill flip="none" rotWithShape="1">
                <a:gsLst>
                  <a:gs pos="0">
                    <a:schemeClr val="accent2">
                      <a:lumMod val="67000"/>
                    </a:schemeClr>
                  </a:gs>
                  <a:gs pos="48000">
                    <a:schemeClr val="accent2">
                      <a:lumMod val="97000"/>
                      <a:lumOff val="3000"/>
                    </a:schemeClr>
                  </a:gs>
                  <a:gs pos="100000">
                    <a:schemeClr val="accent2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 w="19050">
                <a:solidFill>
                  <a:schemeClr val="l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 prst="angle"/>
              </a:sp3d>
            </c:spPr>
            <c:extLst>
              <c:ext xmlns:c16="http://schemas.microsoft.com/office/drawing/2014/chart" uri="{C3380CC4-5D6E-409C-BE32-E72D297353CC}">
                <c16:uniqueId val="{00000005-EA86-4A06-A002-46F0A2307289}"/>
              </c:ext>
            </c:extLst>
          </c:dPt>
          <c:val>
            <c:numRef>
              <c:f>'Ligne 6'!$AZ$31:$AZ$33</c:f>
              <c:numCache>
                <c:formatCode>0.00%</c:formatCode>
                <c:ptCount val="3"/>
                <c:pt idx="0">
                  <c:v>1</c:v>
                </c:pt>
                <c:pt idx="1">
                  <c:v>0.8666666666666667</c:v>
                </c:pt>
                <c:pt idx="2">
                  <c:v>0.1333333333333333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EA86-4A06-A002-46F0A230728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9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b="1"/>
              <a:t>OEE</a:t>
            </a:r>
            <a:r>
              <a:rPr lang="fr-FR" sz="2000" b="1" baseline="0"/>
              <a:t> du poste en cours</a:t>
            </a:r>
            <a:endParaRPr lang="fr-FR" sz="2000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doughnutChart>
        <c:varyColors val="1"/>
        <c:ser>
          <c:idx val="0"/>
          <c:order val="0"/>
          <c:tx>
            <c:strRef>
              <c:f>'Ligne 6'!$BA$43</c:f>
              <c:strCache>
                <c:ptCount val="1"/>
                <c:pt idx="0">
                  <c:v>Valeur</c:v>
                </c:pt>
              </c:strCache>
            </c:strRef>
          </c:tx>
          <c:dPt>
            <c:idx val="0"/>
            <c:bubble3D val="0"/>
            <c:spPr>
              <a:gradFill flip="none" rotWithShape="1">
                <a:gsLst>
                  <a:gs pos="0">
                    <a:schemeClr val="accent2">
                      <a:lumMod val="67000"/>
                    </a:schemeClr>
                  </a:gs>
                  <a:gs pos="48000">
                    <a:schemeClr val="accent2">
                      <a:lumMod val="97000"/>
                      <a:lumOff val="3000"/>
                    </a:schemeClr>
                  </a:gs>
                  <a:gs pos="100000">
                    <a:schemeClr val="accent2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4393-4736-8B66-E5E20B8B8F78}"/>
              </c:ext>
            </c:extLst>
          </c:dPt>
          <c:dPt>
            <c:idx val="1"/>
            <c:bubble3D val="0"/>
            <c:spPr>
              <a:gradFill flip="none" rotWithShape="1">
                <a:gsLst>
                  <a:gs pos="0">
                    <a:schemeClr val="accent3">
                      <a:lumMod val="0"/>
                      <a:lumOff val="100000"/>
                    </a:schemeClr>
                  </a:gs>
                  <a:gs pos="35000">
                    <a:schemeClr val="accent3">
                      <a:lumMod val="0"/>
                      <a:lumOff val="100000"/>
                    </a:schemeClr>
                  </a:gs>
                  <a:gs pos="100000">
                    <a:schemeClr val="accent3">
                      <a:lumMod val="100000"/>
                    </a:schemeClr>
                  </a:gs>
                </a:gsLst>
                <a:path path="circle">
                  <a:fillToRect l="50000" t="-80000" r="50000" b="180000"/>
                </a:path>
                <a:tileRect/>
              </a:gra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4393-4736-8B66-E5E20B8B8F78}"/>
              </c:ext>
            </c:extLst>
          </c:dPt>
          <c:dPt>
            <c:idx val="2"/>
            <c:bubble3D val="0"/>
            <c:spPr>
              <a:gradFill flip="none" rotWithShape="1">
                <a:gsLst>
                  <a:gs pos="0">
                    <a:schemeClr val="accent3">
                      <a:lumMod val="67000"/>
                    </a:schemeClr>
                  </a:gs>
                  <a:gs pos="48000">
                    <a:schemeClr val="accent3">
                      <a:lumMod val="97000"/>
                      <a:lumOff val="3000"/>
                    </a:schemeClr>
                  </a:gs>
                  <a:gs pos="100000">
                    <a:schemeClr val="accent3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4393-4736-8B66-E5E20B8B8F7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4393-4736-8B66-E5E20B8B8F78}"/>
              </c:ext>
            </c:extLst>
          </c:dPt>
          <c:dLbls>
            <c:delete val="1"/>
          </c:dLbls>
          <c:val>
            <c:numRef>
              <c:f>'Ligne 6'!$BA$44:$BA$47</c:f>
              <c:numCache>
                <c:formatCode>General</c:formatCode>
                <c:ptCount val="4"/>
                <c:pt idx="0">
                  <c:v>41</c:v>
                </c:pt>
                <c:pt idx="1">
                  <c:v>25</c:v>
                </c:pt>
                <c:pt idx="2">
                  <c:v>30</c:v>
                </c:pt>
                <c:pt idx="3">
                  <c:v>100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8-4393-4736-8B66-E5E20B8B8F7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2"/>
          <c:order val="1"/>
          <c:tx>
            <c:strRef>
              <c:f>'Ligne 6'!$AZ$64</c:f>
              <c:strCache>
                <c:ptCount val="1"/>
                <c:pt idx="0">
                  <c:v>Position courante</c:v>
                </c:pt>
              </c:strCache>
            </c:strRef>
          </c:tx>
          <c:spPr>
            <a:noFill/>
          </c:spPr>
          <c:explosion val="47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1-4393-4736-8B66-E5E20B8B8F78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4393-4736-8B66-E5E20B8B8F78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5-4393-4736-8B66-E5E20B8B8F78}"/>
              </c:ext>
            </c:extLst>
          </c:dPt>
          <c:val>
            <c:numRef>
              <c:f>'Ligne 6'!$BA$64:$BA$66</c:f>
              <c:numCache>
                <c:formatCode>General</c:formatCode>
                <c:ptCount val="3"/>
                <c:pt idx="0">
                  <c:v>60</c:v>
                </c:pt>
                <c:pt idx="1">
                  <c:v>1.5</c:v>
                </c:pt>
                <c:pt idx="2">
                  <c:v>134.5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4393-4736-8B66-E5E20B8B8F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userShapes r:id="rId3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b="1"/>
              <a:t>Avancement hebdomadaire</a:t>
            </a:r>
          </a:p>
        </c:rich>
      </c:tx>
      <c:layout>
        <c:manualLayout>
          <c:xMode val="edge"/>
          <c:yMode val="edge"/>
          <c:x val="0.29129633021996248"/>
          <c:y val="3.0138966741294231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/>
      <c:pieChart>
        <c:varyColors val="1"/>
        <c:ser>
          <c:idx val="0"/>
          <c:order val="0"/>
          <c:tx>
            <c:strRef>
              <c:f>'Ligne 6'!$AZ$35</c:f>
              <c:strCache>
                <c:ptCount val="1"/>
                <c:pt idx="0">
                  <c:v>Graphique "Avancement hebdomadaire"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>
              <a:bevelT prst="angle"/>
            </a:sp3d>
          </c:spPr>
          <c:explosion val="2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A950-400D-BA96-2B3DC28B20D5}"/>
              </c:ext>
            </c:extLst>
          </c:dPt>
          <c:dPt>
            <c:idx val="1"/>
            <c:bubble3D val="0"/>
            <c:spPr>
              <a:gradFill flip="none" rotWithShape="1">
                <a:gsLst>
                  <a:gs pos="0">
                    <a:schemeClr val="accent3">
                      <a:lumMod val="67000"/>
                    </a:schemeClr>
                  </a:gs>
                  <a:gs pos="48000">
                    <a:schemeClr val="accent3">
                      <a:lumMod val="97000"/>
                      <a:lumOff val="3000"/>
                    </a:schemeClr>
                  </a:gs>
                  <a:gs pos="100000">
                    <a:schemeClr val="accent3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 w="19050">
                <a:solidFill>
                  <a:schemeClr val="l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 prst="angle"/>
              </a:sp3d>
            </c:spPr>
            <c:extLst>
              <c:ext xmlns:c16="http://schemas.microsoft.com/office/drawing/2014/chart" uri="{C3380CC4-5D6E-409C-BE32-E72D297353CC}">
                <c16:uniqueId val="{00000003-A950-400D-BA96-2B3DC28B20D5}"/>
              </c:ext>
            </c:extLst>
          </c:dPt>
          <c:dPt>
            <c:idx val="2"/>
            <c:bubble3D val="0"/>
            <c:spPr>
              <a:gradFill flip="none" rotWithShape="1">
                <a:gsLst>
                  <a:gs pos="0">
                    <a:schemeClr val="accent2">
                      <a:lumMod val="67000"/>
                    </a:schemeClr>
                  </a:gs>
                  <a:gs pos="48000">
                    <a:schemeClr val="accent2">
                      <a:lumMod val="97000"/>
                      <a:lumOff val="3000"/>
                    </a:schemeClr>
                  </a:gs>
                  <a:gs pos="100000">
                    <a:schemeClr val="accent2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 w="19050">
                <a:solidFill>
                  <a:schemeClr val="l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 prst="angle"/>
              </a:sp3d>
            </c:spPr>
            <c:extLst>
              <c:ext xmlns:c16="http://schemas.microsoft.com/office/drawing/2014/chart" uri="{C3380CC4-5D6E-409C-BE32-E72D297353CC}">
                <c16:uniqueId val="{00000005-A950-400D-BA96-2B3DC28B20D5}"/>
              </c:ext>
            </c:extLst>
          </c:dPt>
          <c:val>
            <c:numRef>
              <c:f>'Ligne 6'!$AZ$36:$AZ$38</c:f>
              <c:numCache>
                <c:formatCode>0.00%</c:formatCode>
                <c:ptCount val="3"/>
                <c:pt idx="0">
                  <c:v>1</c:v>
                </c:pt>
                <c:pt idx="1">
                  <c:v>0.7341513292433538</c:v>
                </c:pt>
                <c:pt idx="2">
                  <c:v>0.2658486707566462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950-400D-BA96-2B3DC28B20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9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OEE hebdomadaire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2.4507055996051293E-2"/>
          <c:y val="4.3064084805115872E-2"/>
          <c:w val="0.96903896512365906"/>
          <c:h val="0.83924221189800807"/>
        </c:manualLayout>
      </c:layout>
      <c:lineChart>
        <c:grouping val="standard"/>
        <c:varyColors val="0"/>
        <c:ser>
          <c:idx val="0"/>
          <c:order val="0"/>
          <c:tx>
            <c:strRef>
              <c:f>'Ligne 6'!$BG$40</c:f>
              <c:strCache>
                <c:ptCount val="1"/>
                <c:pt idx="0">
                  <c:v>OEE 2022</c:v>
                </c:pt>
              </c:strCache>
            </c:strRef>
          </c:tx>
          <c:spPr>
            <a:ln w="28575" cap="rnd" cmpd="sng">
              <a:solidFill>
                <a:schemeClr val="accent1">
                  <a:alpha val="30000"/>
                </a:schemeClr>
              </a:solidFill>
              <a:prstDash val="solid"/>
              <a:round/>
            </a:ln>
            <a:effectLst/>
          </c:spPr>
          <c:marker>
            <c:symbol val="none"/>
          </c:marker>
          <c:cat>
            <c:strRef>
              <c:f>'Ligne 6'!$BC$41:$BC$92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 6'!$BG$41:$BG$92</c:f>
              <c:numCache>
                <c:formatCode>0.00%</c:formatCode>
                <c:ptCount val="52"/>
                <c:pt idx="0">
                  <c:v>0.41639345850999387</c:v>
                </c:pt>
                <c:pt idx="1">
                  <c:v>0.3350713276836158</c:v>
                </c:pt>
                <c:pt idx="2">
                  <c:v>0.44864585465711365</c:v>
                </c:pt>
                <c:pt idx="3">
                  <c:v>0</c:v>
                </c:pt>
                <c:pt idx="4">
                  <c:v>0.38351368583049356</c:v>
                </c:pt>
                <c:pt idx="5">
                  <c:v>0.41110819411296728</c:v>
                </c:pt>
                <c:pt idx="6">
                  <c:v>0.39302881040892196</c:v>
                </c:pt>
                <c:pt idx="7">
                  <c:v>0.36941092296684952</c:v>
                </c:pt>
                <c:pt idx="8">
                  <c:v>0.44203330068560243</c:v>
                </c:pt>
                <c:pt idx="9">
                  <c:v>0.54322769953051642</c:v>
                </c:pt>
                <c:pt idx="10">
                  <c:v>0.40224295774647889</c:v>
                </c:pt>
                <c:pt idx="11">
                  <c:v>0.42626769061985736</c:v>
                </c:pt>
                <c:pt idx="12">
                  <c:v>0.49104332129963901</c:v>
                </c:pt>
                <c:pt idx="13">
                  <c:v>0.49860238353196101</c:v>
                </c:pt>
                <c:pt idx="14">
                  <c:v>0.48527737578388808</c:v>
                </c:pt>
                <c:pt idx="15">
                  <c:v>0.43325627240143372</c:v>
                </c:pt>
                <c:pt idx="16">
                  <c:v>0.41028888888888887</c:v>
                </c:pt>
                <c:pt idx="17">
                  <c:v>0.42841170915958449</c:v>
                </c:pt>
                <c:pt idx="18">
                  <c:v>0.42255438225976771</c:v>
                </c:pt>
                <c:pt idx="19">
                  <c:v>0.65083538798519291</c:v>
                </c:pt>
                <c:pt idx="20">
                  <c:v>0.34178510998307954</c:v>
                </c:pt>
                <c:pt idx="21">
                  <c:v>0.41808897485493229</c:v>
                </c:pt>
                <c:pt idx="22">
                  <c:v>0.42964346164346162</c:v>
                </c:pt>
                <c:pt idx="23">
                  <c:v>0.43268085106382981</c:v>
                </c:pt>
                <c:pt idx="24">
                  <c:v>0.49886009933774833</c:v>
                </c:pt>
                <c:pt idx="25">
                  <c:v>0.37511943539630838</c:v>
                </c:pt>
                <c:pt idx="26">
                  <c:v>0.41441834370045139</c:v>
                </c:pt>
                <c:pt idx="27">
                  <c:v>0.3164770562770563</c:v>
                </c:pt>
                <c:pt idx="28">
                  <c:v>0.39435367913148373</c:v>
                </c:pt>
                <c:pt idx="29">
                  <c:v>0.15757863887984369</c:v>
                </c:pt>
                <c:pt idx="30">
                  <c:v>0.40094033722438399</c:v>
                </c:pt>
                <c:pt idx="31">
                  <c:v>0.43438355559480701</c:v>
                </c:pt>
                <c:pt idx="32">
                  <c:v>0.35352468589630154</c:v>
                </c:pt>
                <c:pt idx="33">
                  <c:v>0.4491191852938638</c:v>
                </c:pt>
                <c:pt idx="34">
                  <c:v>0.35482699993098821</c:v>
                </c:pt>
                <c:pt idx="35">
                  <c:v>0</c:v>
                </c:pt>
                <c:pt idx="36">
                  <c:v>0.468829436565734</c:v>
                </c:pt>
                <c:pt idx="37">
                  <c:v>0.44655179603829021</c:v>
                </c:pt>
                <c:pt idx="38">
                  <c:v>0.39591224018475757</c:v>
                </c:pt>
                <c:pt idx="39">
                  <c:v>0.41980611251703331</c:v>
                </c:pt>
                <c:pt idx="40">
                  <c:v>0.5277116409537167</c:v>
                </c:pt>
                <c:pt idx="41">
                  <c:v>0.53428161236885707</c:v>
                </c:pt>
                <c:pt idx="42">
                  <c:v>0.48035423273969258</c:v>
                </c:pt>
                <c:pt idx="43">
                  <c:v>0.44018086094766179</c:v>
                </c:pt>
                <c:pt idx="44">
                  <c:v>0.38494628403237674</c:v>
                </c:pt>
                <c:pt idx="45">
                  <c:v>0.40109523809523812</c:v>
                </c:pt>
                <c:pt idx="46">
                  <c:v>0.35932674050632912</c:v>
                </c:pt>
                <c:pt idx="47">
                  <c:v>0.42328346758726515</c:v>
                </c:pt>
                <c:pt idx="48">
                  <c:v>0.43087744621790425</c:v>
                </c:pt>
                <c:pt idx="49">
                  <c:v>0.13552179034157832</c:v>
                </c:pt>
                <c:pt idx="50">
                  <c:v>0.38217918512914728</c:v>
                </c:pt>
                <c:pt idx="5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1FE-4B9C-9205-6C8255BB715F}"/>
            </c:ext>
          </c:extLst>
        </c:ser>
        <c:ser>
          <c:idx val="1"/>
          <c:order val="1"/>
          <c:tx>
            <c:strRef>
              <c:f>'Ligne 6'!$BH$40</c:f>
              <c:strCache>
                <c:ptCount val="1"/>
                <c:pt idx="0">
                  <c:v>Obj OEE</c:v>
                </c:pt>
              </c:strCache>
            </c:strRef>
          </c:tx>
          <c:spPr>
            <a:ln w="412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'Ligne 6'!$BC$41:$BC$92</c:f>
              <c:strCache>
                <c:ptCount val="52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'Ligne 6'!$BH$41:$BH$92</c:f>
              <c:numCache>
                <c:formatCode>0%</c:formatCode>
                <c:ptCount val="52"/>
                <c:pt idx="0">
                  <c:v>0.48</c:v>
                </c:pt>
                <c:pt idx="1">
                  <c:v>0.48</c:v>
                </c:pt>
                <c:pt idx="2">
                  <c:v>0.48</c:v>
                </c:pt>
                <c:pt idx="3">
                  <c:v>0.48</c:v>
                </c:pt>
                <c:pt idx="4">
                  <c:v>0.48</c:v>
                </c:pt>
                <c:pt idx="5">
                  <c:v>0.48</c:v>
                </c:pt>
                <c:pt idx="6">
                  <c:v>0.48</c:v>
                </c:pt>
                <c:pt idx="7">
                  <c:v>0.48</c:v>
                </c:pt>
                <c:pt idx="8">
                  <c:v>0.48</c:v>
                </c:pt>
                <c:pt idx="9">
                  <c:v>0.48</c:v>
                </c:pt>
                <c:pt idx="10">
                  <c:v>0.48</c:v>
                </c:pt>
                <c:pt idx="11">
                  <c:v>0.48</c:v>
                </c:pt>
                <c:pt idx="12">
                  <c:v>0.48</c:v>
                </c:pt>
                <c:pt idx="13">
                  <c:v>0.48</c:v>
                </c:pt>
                <c:pt idx="14">
                  <c:v>0.48</c:v>
                </c:pt>
                <c:pt idx="15">
                  <c:v>0.48</c:v>
                </c:pt>
                <c:pt idx="16">
                  <c:v>0.48</c:v>
                </c:pt>
                <c:pt idx="17">
                  <c:v>0.48</c:v>
                </c:pt>
                <c:pt idx="18">
                  <c:v>0.48</c:v>
                </c:pt>
                <c:pt idx="19">
                  <c:v>0.48</c:v>
                </c:pt>
                <c:pt idx="20">
                  <c:v>0.48</c:v>
                </c:pt>
                <c:pt idx="21">
                  <c:v>0.48</c:v>
                </c:pt>
                <c:pt idx="22">
                  <c:v>0.48</c:v>
                </c:pt>
                <c:pt idx="23">
                  <c:v>0.48</c:v>
                </c:pt>
                <c:pt idx="24">
                  <c:v>0.48</c:v>
                </c:pt>
                <c:pt idx="25">
                  <c:v>0.48</c:v>
                </c:pt>
                <c:pt idx="26">
                  <c:v>0.48</c:v>
                </c:pt>
                <c:pt idx="27">
                  <c:v>0.48</c:v>
                </c:pt>
                <c:pt idx="28">
                  <c:v>0.48</c:v>
                </c:pt>
                <c:pt idx="29">
                  <c:v>0.48</c:v>
                </c:pt>
                <c:pt idx="30">
                  <c:v>0.48</c:v>
                </c:pt>
                <c:pt idx="31">
                  <c:v>0.48</c:v>
                </c:pt>
                <c:pt idx="32">
                  <c:v>0.48</c:v>
                </c:pt>
                <c:pt idx="33">
                  <c:v>0.48</c:v>
                </c:pt>
                <c:pt idx="34">
                  <c:v>0.48</c:v>
                </c:pt>
                <c:pt idx="35">
                  <c:v>0.48</c:v>
                </c:pt>
                <c:pt idx="36">
                  <c:v>0.48</c:v>
                </c:pt>
                <c:pt idx="37">
                  <c:v>0.48</c:v>
                </c:pt>
                <c:pt idx="38">
                  <c:v>0.48</c:v>
                </c:pt>
                <c:pt idx="39">
                  <c:v>0.48</c:v>
                </c:pt>
                <c:pt idx="40">
                  <c:v>0.48</c:v>
                </c:pt>
                <c:pt idx="41">
                  <c:v>0.48</c:v>
                </c:pt>
                <c:pt idx="42">
                  <c:v>0.48</c:v>
                </c:pt>
                <c:pt idx="43">
                  <c:v>0.48</c:v>
                </c:pt>
                <c:pt idx="44">
                  <c:v>0.48</c:v>
                </c:pt>
                <c:pt idx="45">
                  <c:v>0.48</c:v>
                </c:pt>
                <c:pt idx="46">
                  <c:v>0.48</c:v>
                </c:pt>
                <c:pt idx="47">
                  <c:v>0.48</c:v>
                </c:pt>
                <c:pt idx="48">
                  <c:v>0.48</c:v>
                </c:pt>
                <c:pt idx="49">
                  <c:v>0.48</c:v>
                </c:pt>
                <c:pt idx="50">
                  <c:v>0.48</c:v>
                </c:pt>
                <c:pt idx="51">
                  <c:v>0.48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1FE-4B9C-9205-6C8255BB715F}"/>
            </c:ext>
          </c:extLst>
        </c:ser>
        <c:ser>
          <c:idx val="2"/>
          <c:order val="2"/>
          <c:tx>
            <c:strRef>
              <c:f>'Ligne 6'!$BJ$40</c:f>
              <c:strCache>
                <c:ptCount val="1"/>
                <c:pt idx="0">
                  <c:v>OEE 2021</c:v>
                </c:pt>
              </c:strCache>
            </c:strRef>
          </c:tx>
          <c:spPr>
            <a:ln w="28575" cap="rnd">
              <a:solidFill>
                <a:srgbClr val="FFC000">
                  <a:alpha val="30000"/>
                </a:srgbClr>
              </a:solidFill>
              <a:round/>
            </a:ln>
            <a:effectLst/>
          </c:spPr>
          <c:marker>
            <c:symbol val="none"/>
          </c:marker>
          <c:val>
            <c:numRef>
              <c:f>'Ligne 6'!$BJ$41:$BJ$92</c:f>
              <c:numCache>
                <c:formatCode>0.00%</c:formatCode>
                <c:ptCount val="52"/>
                <c:pt idx="0">
                  <c:v>0.43392243175661593</c:v>
                </c:pt>
                <c:pt idx="1">
                  <c:v>0.26641277258566975</c:v>
                </c:pt>
                <c:pt idx="2">
                  <c:v>0.33349410980217825</c:v>
                </c:pt>
                <c:pt idx="3">
                  <c:v>0.46618749999999998</c:v>
                </c:pt>
                <c:pt idx="4">
                  <c:v>0.28169557675628792</c:v>
                </c:pt>
                <c:pt idx="5">
                  <c:v>0</c:v>
                </c:pt>
                <c:pt idx="6">
                  <c:v>0.36153253652058431</c:v>
                </c:pt>
                <c:pt idx="7">
                  <c:v>0.43541031116534473</c:v>
                </c:pt>
                <c:pt idx="8">
                  <c:v>0</c:v>
                </c:pt>
                <c:pt idx="9">
                  <c:v>0.39592078189300411</c:v>
                </c:pt>
                <c:pt idx="10">
                  <c:v>0.56160648279783909</c:v>
                </c:pt>
                <c:pt idx="11">
                  <c:v>0.47965184034184716</c:v>
                </c:pt>
                <c:pt idx="12">
                  <c:v>0.53064685314685311</c:v>
                </c:pt>
                <c:pt idx="13">
                  <c:v>0.51572014051522252</c:v>
                </c:pt>
                <c:pt idx="14">
                  <c:v>0.32647886410788379</c:v>
                </c:pt>
                <c:pt idx="15">
                  <c:v>0.26654861111111111</c:v>
                </c:pt>
                <c:pt idx="16">
                  <c:v>0.35734995911692558</c:v>
                </c:pt>
                <c:pt idx="17">
                  <c:v>0.46488233164373644</c:v>
                </c:pt>
                <c:pt idx="18">
                  <c:v>0.29236395646606916</c:v>
                </c:pt>
                <c:pt idx="19">
                  <c:v>0.38298184965106163</c:v>
                </c:pt>
                <c:pt idx="20">
                  <c:v>0.28786798179059181</c:v>
                </c:pt>
                <c:pt idx="21">
                  <c:v>0</c:v>
                </c:pt>
                <c:pt idx="22">
                  <c:v>0.31285882352941174</c:v>
                </c:pt>
                <c:pt idx="23">
                  <c:v>0.37202002832288084</c:v>
                </c:pt>
                <c:pt idx="24">
                  <c:v>0.32484845227858983</c:v>
                </c:pt>
                <c:pt idx="25">
                  <c:v>0.32364864864864867</c:v>
                </c:pt>
                <c:pt idx="26">
                  <c:v>0.28932318894697534</c:v>
                </c:pt>
                <c:pt idx="27">
                  <c:v>0.34130454408666866</c:v>
                </c:pt>
                <c:pt idx="28">
                  <c:v>0.33227416173570018</c:v>
                </c:pt>
                <c:pt idx="29">
                  <c:v>0.25444250237951027</c:v>
                </c:pt>
                <c:pt idx="30">
                  <c:v>0.37752638577245906</c:v>
                </c:pt>
                <c:pt idx="31">
                  <c:v>0.51236003303055311</c:v>
                </c:pt>
                <c:pt idx="32">
                  <c:v>0.34565754633715801</c:v>
                </c:pt>
                <c:pt idx="33">
                  <c:v>0.33049246231155777</c:v>
                </c:pt>
                <c:pt idx="34">
                  <c:v>0.31007344649534097</c:v>
                </c:pt>
                <c:pt idx="35">
                  <c:v>0.25960992907801417</c:v>
                </c:pt>
                <c:pt idx="36">
                  <c:v>0.39846471139681267</c:v>
                </c:pt>
                <c:pt idx="37">
                  <c:v>0</c:v>
                </c:pt>
                <c:pt idx="38">
                  <c:v>0.37131772865192891</c:v>
                </c:pt>
                <c:pt idx="39">
                  <c:v>0.38999911371089241</c:v>
                </c:pt>
                <c:pt idx="40">
                  <c:v>0.48238095238095235</c:v>
                </c:pt>
                <c:pt idx="41">
                  <c:v>0.3526884176182708</c:v>
                </c:pt>
                <c:pt idx="42">
                  <c:v>0.3774451686030037</c:v>
                </c:pt>
                <c:pt idx="43">
                  <c:v>0.44452769980794804</c:v>
                </c:pt>
                <c:pt idx="44">
                  <c:v>0.45739368316339218</c:v>
                </c:pt>
                <c:pt idx="45">
                  <c:v>0.41578197765479796</c:v>
                </c:pt>
                <c:pt idx="46">
                  <c:v>0.35848110951697743</c:v>
                </c:pt>
                <c:pt idx="47">
                  <c:v>0.22956864678333744</c:v>
                </c:pt>
                <c:pt idx="48">
                  <c:v>0.47973366063209572</c:v>
                </c:pt>
                <c:pt idx="49">
                  <c:v>0.36946748591909884</c:v>
                </c:pt>
                <c:pt idx="50">
                  <c:v>0.40507070352547819</c:v>
                </c:pt>
                <c:pt idx="5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613-4909-A37F-C25C5DF92BE4}"/>
            </c:ext>
          </c:extLst>
        </c:ser>
        <c:ser>
          <c:idx val="3"/>
          <c:order val="3"/>
          <c:tx>
            <c:strRef>
              <c:f>'Ligne 6'!$BK$40</c:f>
              <c:strCache>
                <c:ptCount val="1"/>
                <c:pt idx="0">
                  <c:v>OEE 2023</c:v>
                </c:pt>
              </c:strCache>
            </c:strRef>
          </c:tx>
          <c:spPr>
            <a:ln w="412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trendline>
            <c:spPr>
              <a:ln w="41275" cap="rnd" cmpd="sng">
                <a:solidFill>
                  <a:schemeClr val="accent4">
                    <a:alpha val="99000"/>
                  </a:schemeClr>
                </a:solidFill>
                <a:prstDash val="dash"/>
              </a:ln>
              <a:effectLst/>
            </c:spPr>
            <c:trendlineType val="linear"/>
            <c:dispRSqr val="0"/>
            <c:dispEq val="0"/>
          </c:trendline>
          <c:val>
            <c:numRef>
              <c:f>'Ligne 6'!$BK$41:$BK$57</c:f>
              <c:numCache>
                <c:formatCode>0.00%</c:formatCode>
                <c:ptCount val="17"/>
                <c:pt idx="0">
                  <c:v>0.59535410176531667</c:v>
                </c:pt>
                <c:pt idx="1">
                  <c:v>0.49345185185185186</c:v>
                </c:pt>
                <c:pt idx="2">
                  <c:v>0.45986315789473686</c:v>
                </c:pt>
                <c:pt idx="3">
                  <c:v>#N/A</c:v>
                </c:pt>
                <c:pt idx="4">
                  <c:v>0.55608950617283948</c:v>
                </c:pt>
                <c:pt idx="5">
                  <c:v>0.34319360269360272</c:v>
                </c:pt>
                <c:pt idx="6">
                  <c:v>0.37721559633027524</c:v>
                </c:pt>
                <c:pt idx="7">
                  <c:v>#N/A</c:v>
                </c:pt>
                <c:pt idx="8">
                  <c:v>0.43231862745098038</c:v>
                </c:pt>
                <c:pt idx="9">
                  <c:v>0.41698682476943344</c:v>
                </c:pt>
                <c:pt idx="10">
                  <c:v>0.65339353891336271</c:v>
                </c:pt>
                <c:pt idx="11">
                  <c:v>0.61861349693251533</c:v>
                </c:pt>
                <c:pt idx="12">
                  <c:v>0.63659981429897861</c:v>
                </c:pt>
                <c:pt idx="13">
                  <c:v>0.5512345679012346</c:v>
                </c:pt>
                <c:pt idx="14">
                  <c:v>0.57484600389863549</c:v>
                </c:pt>
                <c:pt idx="15">
                  <c:v>0.51182193268186749</c:v>
                </c:pt>
                <c:pt idx="16">
                  <c:v>0.62321485943775101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34A-481E-9CD8-CF2F4A048B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14341151"/>
        <c:axId val="1014331167"/>
      </c:lineChart>
      <c:catAx>
        <c:axId val="101434115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14331167"/>
        <c:crosses val="autoZero"/>
        <c:auto val="1"/>
        <c:lblAlgn val="ctr"/>
        <c:lblOffset val="100"/>
        <c:noMultiLvlLbl val="0"/>
      </c:catAx>
      <c:valAx>
        <c:axId val="10143311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1434115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2263135886857014"/>
          <c:y val="0.93131937513287244"/>
          <c:w val="0.75473723616543753"/>
          <c:h val="4.17732067250021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3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8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800"/>
              <a:t>OOE</a:t>
            </a:r>
            <a:r>
              <a:rPr lang="fr-FR" sz="2800" baseline="0"/>
              <a:t> S20</a:t>
            </a:r>
            <a:endParaRPr lang="fr-FR" sz="280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8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'Ligne 6'!$AX$6</c:f>
              <c:strCache>
                <c:ptCount val="1"/>
                <c:pt idx="0">
                  <c:v>OEE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'Ligne 6'!$AW$7:$AW$12</c:f>
              <c:strCache>
                <c:ptCount val="6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</c:strCache>
            </c:strRef>
          </c:cat>
          <c:val>
            <c:numRef>
              <c:f>'Ligne 6'!$AX$7:$AX$12</c:f>
              <c:numCache>
                <c:formatCode>0.00%</c:formatCode>
                <c:ptCount val="6"/>
                <c:pt idx="0">
                  <c:v>0.316</c:v>
                </c:pt>
                <c:pt idx="1">
                  <c:v>0.39300000000000002</c:v>
                </c:pt>
                <c:pt idx="2">
                  <c:v>0.41399999999999998</c:v>
                </c:pt>
                <c:pt idx="3">
                  <c:v>0.443</c:v>
                </c:pt>
                <c:pt idx="4">
                  <c:v>0.51800000000000002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860-4C06-A32E-B230039842ED}"/>
            </c:ext>
          </c:extLst>
        </c:ser>
        <c:ser>
          <c:idx val="1"/>
          <c:order val="1"/>
          <c:tx>
            <c:strRef>
              <c:f>'Ligne 6'!$AY$6</c:f>
              <c:strCache>
                <c:ptCount val="1"/>
                <c:pt idx="0">
                  <c:v>Obj.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'Ligne 6'!$AW$7:$AW$12</c:f>
              <c:strCache>
                <c:ptCount val="6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</c:strCache>
            </c:strRef>
          </c:cat>
          <c:val>
            <c:numRef>
              <c:f>'Ligne 6'!$AY$7:$AY$12</c:f>
              <c:numCache>
                <c:formatCode>0.00%</c:formatCode>
                <c:ptCount val="6"/>
                <c:pt idx="0">
                  <c:v>0.4</c:v>
                </c:pt>
                <c:pt idx="1">
                  <c:v>0.4</c:v>
                </c:pt>
                <c:pt idx="2">
                  <c:v>0.4</c:v>
                </c:pt>
                <c:pt idx="3">
                  <c:v>0.4</c:v>
                </c:pt>
                <c:pt idx="4">
                  <c:v>0.4</c:v>
                </c:pt>
                <c:pt idx="5">
                  <c:v>0.4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860-4C06-A32E-B230039842E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67536207"/>
        <c:axId val="2096210863"/>
      </c:lineChart>
      <c:catAx>
        <c:axId val="8675362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96210863"/>
        <c:crosses val="autoZero"/>
        <c:auto val="1"/>
        <c:lblAlgn val="ctr"/>
        <c:lblOffset val="100"/>
        <c:noMultiLvlLbl val="0"/>
      </c:catAx>
      <c:valAx>
        <c:axId val="20962108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86753620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52819</xdr:colOff>
      <xdr:row>30</xdr:row>
      <xdr:rowOff>184254</xdr:rowOff>
    </xdr:from>
    <xdr:to>
      <xdr:col>9</xdr:col>
      <xdr:colOff>1811853</xdr:colOff>
      <xdr:row>55</xdr:row>
      <xdr:rowOff>34574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953D65B-57D0-4775-AB03-DE4B6060E0A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412088</xdr:colOff>
      <xdr:row>30</xdr:row>
      <xdr:rowOff>164798</xdr:rowOff>
    </xdr:from>
    <xdr:to>
      <xdr:col>4</xdr:col>
      <xdr:colOff>1207633</xdr:colOff>
      <xdr:row>55</xdr:row>
      <xdr:rowOff>6123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A9C7940-9CE8-4D0F-B630-3AD8418FCA8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304800</xdr:colOff>
      <xdr:row>12</xdr:row>
      <xdr:rowOff>124326</xdr:rowOff>
    </xdr:to>
    <xdr:sp macro="" textlink="">
      <xdr:nvSpPr>
        <xdr:cNvPr id="5" name="AutoShape 3">
          <a:extLst>
            <a:ext uri="{FF2B5EF4-FFF2-40B4-BE49-F238E27FC236}">
              <a16:creationId xmlns:a16="http://schemas.microsoft.com/office/drawing/2014/main" id="{97724B61-20CA-4A5F-8DB5-7393557017C5}"/>
            </a:ext>
          </a:extLst>
        </xdr:cNvPr>
        <xdr:cNvSpPr>
          <a:spLocks noChangeAspect="1" noChangeArrowheads="1"/>
        </xdr:cNvSpPr>
      </xdr:nvSpPr>
      <xdr:spPr bwMode="auto">
        <a:xfrm>
          <a:off x="3590925" y="253365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304800</xdr:colOff>
      <xdr:row>12</xdr:row>
      <xdr:rowOff>124326</xdr:rowOff>
    </xdr:to>
    <xdr:sp macro="" textlink="">
      <xdr:nvSpPr>
        <xdr:cNvPr id="6" name="AutoShape 4">
          <a:extLst>
            <a:ext uri="{FF2B5EF4-FFF2-40B4-BE49-F238E27FC236}">
              <a16:creationId xmlns:a16="http://schemas.microsoft.com/office/drawing/2014/main" id="{17C9AEE7-6D5C-4DE7-9609-A2B7CECCDC3F}"/>
            </a:ext>
          </a:extLst>
        </xdr:cNvPr>
        <xdr:cNvSpPr>
          <a:spLocks noChangeAspect="1" noChangeArrowheads="1"/>
        </xdr:cNvSpPr>
      </xdr:nvSpPr>
      <xdr:spPr bwMode="auto">
        <a:xfrm>
          <a:off x="3590925" y="253365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304800</xdr:colOff>
      <xdr:row>12</xdr:row>
      <xdr:rowOff>124326</xdr:rowOff>
    </xdr:to>
    <xdr:sp macro="" textlink="">
      <xdr:nvSpPr>
        <xdr:cNvPr id="7" name="AutoShape 5">
          <a:extLst>
            <a:ext uri="{FF2B5EF4-FFF2-40B4-BE49-F238E27FC236}">
              <a16:creationId xmlns:a16="http://schemas.microsoft.com/office/drawing/2014/main" id="{F82790C1-4AD0-43C6-9A80-51789FB53936}"/>
            </a:ext>
          </a:extLst>
        </xdr:cNvPr>
        <xdr:cNvSpPr>
          <a:spLocks noChangeAspect="1" noChangeArrowheads="1"/>
        </xdr:cNvSpPr>
      </xdr:nvSpPr>
      <xdr:spPr bwMode="auto">
        <a:xfrm>
          <a:off x="3590925" y="253365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10</xdr:col>
      <xdr:colOff>536864</xdr:colOff>
      <xdr:row>31</xdr:row>
      <xdr:rowOff>17319</xdr:rowOff>
    </xdr:from>
    <xdr:to>
      <xdr:col>14</xdr:col>
      <xdr:colOff>1516580</xdr:colOff>
      <xdr:row>55</xdr:row>
      <xdr:rowOff>58139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87E9AC96-39C4-40A2-8A0C-C9961E1F457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15</xdr:col>
      <xdr:colOff>190501</xdr:colOff>
      <xdr:row>0</xdr:row>
      <xdr:rowOff>47624</xdr:rowOff>
    </xdr:from>
    <xdr:to>
      <xdr:col>33</xdr:col>
      <xdr:colOff>928688</xdr:colOff>
      <xdr:row>62</xdr:row>
      <xdr:rowOff>23811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89DB3599-C947-4C2F-9E72-6BC24B49064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37</xdr:col>
      <xdr:colOff>0</xdr:colOff>
      <xdr:row>68</xdr:row>
      <xdr:rowOff>0</xdr:rowOff>
    </xdr:from>
    <xdr:to>
      <xdr:col>53</xdr:col>
      <xdr:colOff>1285876</xdr:colOff>
      <xdr:row>109</xdr:row>
      <xdr:rowOff>71437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BACFD00C-B684-4297-BEF7-4BCBEDC90A3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0.43216</cdr:x>
      <cdr:y>0.57202</cdr:y>
    </cdr:from>
    <cdr:to>
      <cdr:x>0.64451</cdr:x>
      <cdr:y>0.71844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5F7F7AEA-7107-4571-86B7-31F8D8514E68}"/>
            </a:ext>
          </a:extLst>
        </cdr:cNvPr>
        <cdr:cNvSpPr txBox="1"/>
      </cdr:nvSpPr>
      <cdr:spPr>
        <a:xfrm xmlns:a="http://schemas.openxmlformats.org/drawingml/2006/main">
          <a:off x="2960544" y="2638610"/>
          <a:ext cx="1454727" cy="675409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0.40182</cdr:x>
      <cdr:y>0.65837</cdr:y>
    </cdr:from>
    <cdr:to>
      <cdr:x>0.74057</cdr:x>
      <cdr:y>0.8123</cdr:y>
    </cdr:to>
    <cdr:sp macro="" textlink="">
      <cdr:nvSpPr>
        <cdr:cNvPr id="3" name="ZoneTexte 2">
          <a:extLst xmlns:a="http://schemas.openxmlformats.org/drawingml/2006/main">
            <a:ext uri="{FF2B5EF4-FFF2-40B4-BE49-F238E27FC236}">
              <a16:creationId xmlns:a16="http://schemas.microsoft.com/office/drawing/2014/main" id="{66A8D5C0-5354-4F74-A2D2-4B738EE5462D}"/>
            </a:ext>
          </a:extLst>
        </cdr:cNvPr>
        <cdr:cNvSpPr txBox="1"/>
      </cdr:nvSpPr>
      <cdr:spPr>
        <a:xfrm xmlns:a="http://schemas.openxmlformats.org/drawingml/2006/main">
          <a:off x="2752726" y="3036928"/>
          <a:ext cx="2320636" cy="71004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0.42433</cdr:x>
      <cdr:y>0.45354</cdr:y>
    </cdr:from>
    <cdr:to>
      <cdr:x>0.59161</cdr:x>
      <cdr:y>0.57971</cdr:y>
    </cdr:to>
    <cdr:sp macro="" textlink="'Ligne 6'!$D$57">
      <cdr:nvSpPr>
        <cdr:cNvPr id="3" name="ZoneTexte 2">
          <a:extLst xmlns:a="http://schemas.openxmlformats.org/drawingml/2006/main">
            <a:ext uri="{FF2B5EF4-FFF2-40B4-BE49-F238E27FC236}">
              <a16:creationId xmlns:a16="http://schemas.microsoft.com/office/drawing/2014/main" id="{DEA96795-E8FC-4CA9-B575-B85417DF8F9E}"/>
            </a:ext>
          </a:extLst>
        </cdr:cNvPr>
        <cdr:cNvSpPr txBox="1"/>
      </cdr:nvSpPr>
      <cdr:spPr>
        <a:xfrm xmlns:a="http://schemas.openxmlformats.org/drawingml/2006/main">
          <a:off x="2590845" y="2088019"/>
          <a:ext cx="1021380" cy="58087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 anchor="ctr"/>
        <a:lstStyle xmlns:a="http://schemas.openxmlformats.org/drawingml/2006/main"/>
        <a:p xmlns:a="http://schemas.openxmlformats.org/drawingml/2006/main">
          <a:pPr algn="ctr"/>
          <a:fld id="{BF58B12A-755D-462B-BEF0-CDDCC9435423}" type="TxLink">
            <a:rPr lang="en-US" sz="32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60</a:t>
          </a:fld>
          <a:endParaRPr lang="fr-FR" sz="19900" b="1"/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mmun\DOSSIER%20SERVICE%20PRODUCTION\Indicateurs\RAPPORTS%20ACTIVITES%20PKL%20ANNEE%20202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mmun\DOSSIER%20SERVICE%20PRODUCTION\Indicateurs\RAPPORTS%20ACTIVITES%20PKL%20ANNEE%20202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ommun\DOSSIER%20SERVICE%20PRODUCTION\Indicateurs\RAPPORTS%20ACTIVITES%20PKL%20ANNE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apports activites PET 2022"/>
      <sheetName val="rapports activites carton 2022"/>
      <sheetName val="bilan mensuel 2022"/>
      <sheetName val="Synthèse hebdo"/>
      <sheetName val="Feuil1"/>
      <sheetName val="Tri-semestre 2022"/>
    </sheetNames>
    <sheetDataSet>
      <sheetData sheetId="0"/>
      <sheetData sheetId="1"/>
      <sheetData sheetId="2"/>
      <sheetData sheetId="3">
        <row r="5">
          <cell r="P5">
            <v>0.42949234863606123</v>
          </cell>
          <cell r="U5">
            <v>0.41639345850999387</v>
          </cell>
        </row>
        <row r="6">
          <cell r="U6">
            <v>0.3350713276836158</v>
          </cell>
        </row>
        <row r="7">
          <cell r="U7">
            <v>0.44864585465711365</v>
          </cell>
        </row>
        <row r="8">
          <cell r="U8" t="str">
            <v xml:space="preserve"> </v>
          </cell>
        </row>
        <row r="9">
          <cell r="U9">
            <v>0.38351368583049356</v>
          </cell>
        </row>
        <row r="10">
          <cell r="U10">
            <v>0.41110819411296728</v>
          </cell>
        </row>
        <row r="11">
          <cell r="U11">
            <v>0.39302881040892196</v>
          </cell>
        </row>
        <row r="12">
          <cell r="U12">
            <v>0.36941092296684952</v>
          </cell>
        </row>
        <row r="13">
          <cell r="U13">
            <v>0.44203330068560243</v>
          </cell>
        </row>
        <row r="14">
          <cell r="U14">
            <v>0.54322769953051642</v>
          </cell>
        </row>
        <row r="15">
          <cell r="U15">
            <v>0.40224295774647889</v>
          </cell>
        </row>
        <row r="16">
          <cell r="U16">
            <v>0.42626769061985736</v>
          </cell>
        </row>
        <row r="17">
          <cell r="U17">
            <v>0.49104332129963901</v>
          </cell>
        </row>
        <row r="18">
          <cell r="U18">
            <v>0.49860238353196101</v>
          </cell>
        </row>
        <row r="19">
          <cell r="U19">
            <v>0.48527737578388808</v>
          </cell>
        </row>
        <row r="20">
          <cell r="U20">
            <v>0.43325627240143372</v>
          </cell>
        </row>
        <row r="21">
          <cell r="U21">
            <v>0.41028888888888887</v>
          </cell>
        </row>
        <row r="22">
          <cell r="U22">
            <v>0.42841170915958449</v>
          </cell>
        </row>
        <row r="23">
          <cell r="U23">
            <v>0.42255438225976771</v>
          </cell>
        </row>
        <row r="24">
          <cell r="U24">
            <v>0.65083538798519291</v>
          </cell>
        </row>
        <row r="25">
          <cell r="U25">
            <v>0.34178510998307954</v>
          </cell>
        </row>
        <row r="26">
          <cell r="U26">
            <v>0.41808897485493229</v>
          </cell>
        </row>
        <row r="27">
          <cell r="U27">
            <v>0.42964346164346162</v>
          </cell>
        </row>
        <row r="28">
          <cell r="U28">
            <v>0.43268085106382981</v>
          </cell>
        </row>
        <row r="29">
          <cell r="U29">
            <v>0.49886009933774833</v>
          </cell>
        </row>
        <row r="30">
          <cell r="U30">
            <v>0.37511943539630838</v>
          </cell>
        </row>
        <row r="31">
          <cell r="U31">
            <v>0.41441834370045139</v>
          </cell>
        </row>
        <row r="32">
          <cell r="U32">
            <v>0.3164770562770563</v>
          </cell>
        </row>
        <row r="33">
          <cell r="U33">
            <v>0.39435367913148373</v>
          </cell>
        </row>
        <row r="34">
          <cell r="U34">
            <v>0.15757863887984369</v>
          </cell>
        </row>
        <row r="35">
          <cell r="U35">
            <v>0.40094033722438399</v>
          </cell>
        </row>
        <row r="36">
          <cell r="U36">
            <v>0.43438355559480701</v>
          </cell>
        </row>
        <row r="37">
          <cell r="U37">
            <v>0.35352468589630154</v>
          </cell>
        </row>
        <row r="38">
          <cell r="U38">
            <v>0.4491191852938638</v>
          </cell>
        </row>
        <row r="39">
          <cell r="U39">
            <v>0.35482699993098821</v>
          </cell>
        </row>
        <row r="40">
          <cell r="U40" t="str">
            <v xml:space="preserve"> </v>
          </cell>
        </row>
        <row r="41">
          <cell r="U41">
            <v>0.468829436565734</v>
          </cell>
        </row>
        <row r="42">
          <cell r="U42">
            <v>0.44655179603829021</v>
          </cell>
        </row>
        <row r="43">
          <cell r="U43">
            <v>0.39591224018475757</v>
          </cell>
        </row>
        <row r="44">
          <cell r="U44">
            <v>0.41980611251703331</v>
          </cell>
        </row>
        <row r="45">
          <cell r="U45">
            <v>0.5277116409537167</v>
          </cell>
        </row>
        <row r="46">
          <cell r="U46">
            <v>0.53428161236885707</v>
          </cell>
        </row>
        <row r="47">
          <cell r="U47">
            <v>0.48035423273969258</v>
          </cell>
        </row>
        <row r="48">
          <cell r="U48">
            <v>0.44018086094766179</v>
          </cell>
        </row>
        <row r="49">
          <cell r="U49">
            <v>0.38494628403237674</v>
          </cell>
        </row>
        <row r="50">
          <cell r="U50">
            <v>0.40109523809523812</v>
          </cell>
        </row>
        <row r="51">
          <cell r="U51">
            <v>0.35932674050632912</v>
          </cell>
        </row>
        <row r="52">
          <cell r="U52">
            <v>0.42328346758726515</v>
          </cell>
        </row>
        <row r="53">
          <cell r="U53">
            <v>0.43087744621790425</v>
          </cell>
        </row>
        <row r="54">
          <cell r="U54">
            <v>0.13552179034157832</v>
          </cell>
        </row>
        <row r="55">
          <cell r="U55">
            <v>0.38217918512914728</v>
          </cell>
        </row>
        <row r="56">
          <cell r="U56" t="str">
            <v xml:space="preserve"> 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apports activites PET 2021"/>
      <sheetName val="rapports activites carton 2021"/>
      <sheetName val="bilan mensuel 2021"/>
      <sheetName val="Synthèse hebdo"/>
      <sheetName val="Tri-semestre 2021"/>
      <sheetName val="Feuil1"/>
      <sheetName val="bilan mensuel 2022"/>
    </sheetNames>
    <sheetDataSet>
      <sheetData sheetId="0"/>
      <sheetData sheetId="1"/>
      <sheetData sheetId="2"/>
      <sheetData sheetId="3">
        <row r="5">
          <cell r="P5">
            <v>0.29127901785714283</v>
          </cell>
          <cell r="U5">
            <v>0.43392243175661593</v>
          </cell>
        </row>
        <row r="6">
          <cell r="U6">
            <v>0.26641277258566975</v>
          </cell>
        </row>
        <row r="7">
          <cell r="U7">
            <v>0.33349410980217825</v>
          </cell>
        </row>
        <row r="8">
          <cell r="U8">
            <v>0.46618749999999998</v>
          </cell>
        </row>
        <row r="9">
          <cell r="U9">
            <v>0.28169557675628792</v>
          </cell>
        </row>
        <row r="10">
          <cell r="U10" t="str">
            <v xml:space="preserve"> </v>
          </cell>
        </row>
        <row r="11">
          <cell r="U11">
            <v>0.36153253652058431</v>
          </cell>
        </row>
        <row r="12">
          <cell r="U12">
            <v>0.43541031116534473</v>
          </cell>
        </row>
        <row r="13">
          <cell r="U13" t="str">
            <v xml:space="preserve"> </v>
          </cell>
        </row>
        <row r="14">
          <cell r="U14">
            <v>0.39592078189300411</v>
          </cell>
        </row>
        <row r="15">
          <cell r="U15">
            <v>0.56160648279783909</v>
          </cell>
        </row>
        <row r="16">
          <cell r="U16">
            <v>0.47965184034184716</v>
          </cell>
        </row>
        <row r="17">
          <cell r="U17">
            <v>0.53064685314685311</v>
          </cell>
        </row>
        <row r="18">
          <cell r="U18">
            <v>0.51572014051522252</v>
          </cell>
        </row>
        <row r="19">
          <cell r="U19">
            <v>0.32647886410788379</v>
          </cell>
        </row>
        <row r="20">
          <cell r="U20">
            <v>0.26654861111111111</v>
          </cell>
        </row>
        <row r="21">
          <cell r="U21">
            <v>0.35734995911692558</v>
          </cell>
        </row>
        <row r="22">
          <cell r="U22">
            <v>0.46488233164373644</v>
          </cell>
        </row>
        <row r="23">
          <cell r="U23">
            <v>0.29236395646606916</v>
          </cell>
        </row>
        <row r="24">
          <cell r="U24">
            <v>0.38298184965106163</v>
          </cell>
        </row>
        <row r="25">
          <cell r="U25">
            <v>0.28786798179059181</v>
          </cell>
        </row>
        <row r="26">
          <cell r="U26" t="str">
            <v xml:space="preserve"> </v>
          </cell>
        </row>
        <row r="27">
          <cell r="U27">
            <v>0.31285882352941174</v>
          </cell>
        </row>
        <row r="28">
          <cell r="U28">
            <v>0.37202002832288084</v>
          </cell>
        </row>
        <row r="29">
          <cell r="U29">
            <v>0.32484845227858983</v>
          </cell>
        </row>
        <row r="30">
          <cell r="U30">
            <v>0.32364864864864867</v>
          </cell>
        </row>
        <row r="31">
          <cell r="U31">
            <v>0.28932318894697534</v>
          </cell>
        </row>
        <row r="32">
          <cell r="U32">
            <v>0.34130454408666866</v>
          </cell>
        </row>
        <row r="33">
          <cell r="U33">
            <v>0.33227416173570018</v>
          </cell>
        </row>
        <row r="34">
          <cell r="U34">
            <v>0.25444250237951027</v>
          </cell>
        </row>
        <row r="35">
          <cell r="U35">
            <v>0.37752638577245906</v>
          </cell>
        </row>
        <row r="36">
          <cell r="U36">
            <v>0.51236003303055311</v>
          </cell>
        </row>
        <row r="37">
          <cell r="U37">
            <v>0.34565754633715801</v>
          </cell>
        </row>
        <row r="38">
          <cell r="U38">
            <v>0.33049246231155777</v>
          </cell>
        </row>
        <row r="39">
          <cell r="U39">
            <v>0.31007344649534097</v>
          </cell>
        </row>
        <row r="40">
          <cell r="U40">
            <v>0.25960992907801417</v>
          </cell>
        </row>
        <row r="41">
          <cell r="U41">
            <v>0.39846471139681267</v>
          </cell>
        </row>
        <row r="42">
          <cell r="U42" t="str">
            <v xml:space="preserve"> </v>
          </cell>
        </row>
        <row r="43">
          <cell r="U43">
            <v>0.37131772865192891</v>
          </cell>
        </row>
        <row r="44">
          <cell r="U44">
            <v>0.38999911371089241</v>
          </cell>
        </row>
        <row r="45">
          <cell r="U45">
            <v>0.48238095238095235</v>
          </cell>
        </row>
        <row r="46">
          <cell r="U46">
            <v>0.3526884176182708</v>
          </cell>
        </row>
        <row r="47">
          <cell r="U47">
            <v>0.3774451686030037</v>
          </cell>
        </row>
        <row r="48">
          <cell r="U48">
            <v>0.44452769980794804</v>
          </cell>
        </row>
        <row r="49">
          <cell r="U49">
            <v>0.45739368316339218</v>
          </cell>
        </row>
        <row r="50">
          <cell r="U50">
            <v>0.41578197765479796</v>
          </cell>
        </row>
        <row r="51">
          <cell r="U51">
            <v>0.35848110951697743</v>
          </cell>
        </row>
        <row r="52">
          <cell r="U52">
            <v>0.22956864678333744</v>
          </cell>
        </row>
        <row r="53">
          <cell r="U53">
            <v>0.47973366063209572</v>
          </cell>
        </row>
        <row r="54">
          <cell r="U54">
            <v>0.36946748591909884</v>
          </cell>
        </row>
        <row r="55">
          <cell r="U55">
            <v>0.40507070352547819</v>
          </cell>
        </row>
        <row r="56">
          <cell r="U56" t="str">
            <v xml:space="preserve"> </v>
          </cell>
        </row>
      </sheetData>
      <sheetData sheetId="4"/>
      <sheetData sheetId="5" refreshError="1"/>
      <sheetData sheetId="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apports activites PET 2023"/>
      <sheetName val="rapports activites carton 2023"/>
      <sheetName val="bilan mensuel 2023"/>
      <sheetName val="Synthèse hebdo"/>
      <sheetName val="Feuil1"/>
      <sheetName val="Tri-semestre 2023"/>
    </sheetNames>
    <sheetDataSet>
      <sheetData sheetId="0"/>
      <sheetData sheetId="1"/>
      <sheetData sheetId="2"/>
      <sheetData sheetId="3">
        <row r="5">
          <cell r="F5">
            <v>0.59535410176531667</v>
          </cell>
        </row>
        <row r="6">
          <cell r="F6">
            <v>0.49345185185185186</v>
          </cell>
        </row>
        <row r="7">
          <cell r="F7">
            <v>0.45986315789473686</v>
          </cell>
        </row>
        <row r="8">
          <cell r="F8" t="str">
            <v xml:space="preserve"> </v>
          </cell>
        </row>
        <row r="9">
          <cell r="F9">
            <v>0.55608950617283948</v>
          </cell>
        </row>
        <row r="10">
          <cell r="F10">
            <v>0.34319360269360272</v>
          </cell>
        </row>
        <row r="11">
          <cell r="F11">
            <v>0.37721559633027524</v>
          </cell>
        </row>
        <row r="12">
          <cell r="F12" t="str">
            <v xml:space="preserve"> </v>
          </cell>
        </row>
        <row r="13">
          <cell r="F13">
            <v>0.43231862745098038</v>
          </cell>
        </row>
        <row r="14">
          <cell r="F14">
            <v>0.41698682476943344</v>
          </cell>
        </row>
        <row r="15">
          <cell r="F15">
            <v>0.65339353891336271</v>
          </cell>
        </row>
        <row r="16">
          <cell r="F16">
            <v>0.61861349693251533</v>
          </cell>
        </row>
        <row r="17">
          <cell r="F17">
            <v>0.63659981429897861</v>
          </cell>
        </row>
        <row r="18">
          <cell r="F18">
            <v>0.5512345679012346</v>
          </cell>
        </row>
        <row r="19">
          <cell r="F19">
            <v>0.57484600389863549</v>
          </cell>
        </row>
        <row r="20">
          <cell r="F20">
            <v>0.51182193268186749</v>
          </cell>
        </row>
        <row r="21">
          <cell r="F21">
            <v>0.62321485943775101</v>
          </cell>
        </row>
        <row r="22">
          <cell r="F22" t="str">
            <v xml:space="preserve"> </v>
          </cell>
        </row>
        <row r="23">
          <cell r="F23" t="str">
            <v xml:space="preserve"> </v>
          </cell>
        </row>
        <row r="24">
          <cell r="F24" t="str">
            <v xml:space="preserve"> </v>
          </cell>
        </row>
        <row r="25">
          <cell r="F25" t="str">
            <v xml:space="preserve"> </v>
          </cell>
        </row>
        <row r="26">
          <cell r="F26" t="str">
            <v xml:space="preserve"> </v>
          </cell>
        </row>
        <row r="27">
          <cell r="F27" t="str">
            <v xml:space="preserve"> </v>
          </cell>
        </row>
        <row r="28">
          <cell r="F28" t="str">
            <v xml:space="preserve"> </v>
          </cell>
        </row>
        <row r="29">
          <cell r="F29" t="str">
            <v xml:space="preserve"> </v>
          </cell>
        </row>
        <row r="30">
          <cell r="F30" t="str">
            <v xml:space="preserve"> </v>
          </cell>
        </row>
        <row r="31">
          <cell r="F31" t="str">
            <v xml:space="preserve"> </v>
          </cell>
        </row>
        <row r="32">
          <cell r="F32" t="str">
            <v xml:space="preserve"> </v>
          </cell>
        </row>
        <row r="33">
          <cell r="F33" t="str">
            <v xml:space="preserve"> </v>
          </cell>
        </row>
        <row r="34">
          <cell r="F34" t="str">
            <v xml:space="preserve"> </v>
          </cell>
        </row>
        <row r="35">
          <cell r="F35" t="str">
            <v xml:space="preserve"> </v>
          </cell>
        </row>
        <row r="36">
          <cell r="F36" t="str">
            <v xml:space="preserve"> </v>
          </cell>
        </row>
        <row r="37">
          <cell r="F37" t="str">
            <v xml:space="preserve"> </v>
          </cell>
        </row>
        <row r="38">
          <cell r="F38" t="str">
            <v xml:space="preserve"> </v>
          </cell>
        </row>
        <row r="39">
          <cell r="F39" t="str">
            <v xml:space="preserve"> </v>
          </cell>
        </row>
        <row r="40">
          <cell r="F40" t="str">
            <v xml:space="preserve"> </v>
          </cell>
        </row>
        <row r="41">
          <cell r="F41" t="str">
            <v xml:space="preserve"> </v>
          </cell>
        </row>
        <row r="42">
          <cell r="F42" t="str">
            <v xml:space="preserve"> </v>
          </cell>
        </row>
        <row r="43">
          <cell r="F43" t="str">
            <v xml:space="preserve"> </v>
          </cell>
        </row>
        <row r="44">
          <cell r="F44" t="str">
            <v xml:space="preserve"> </v>
          </cell>
        </row>
        <row r="45">
          <cell r="F45" t="str">
            <v xml:space="preserve"> </v>
          </cell>
        </row>
        <row r="46">
          <cell r="F46" t="str">
            <v xml:space="preserve"> </v>
          </cell>
        </row>
        <row r="47">
          <cell r="F47" t="str">
            <v xml:space="preserve"> </v>
          </cell>
        </row>
        <row r="48">
          <cell r="F48" t="str">
            <v xml:space="preserve"> </v>
          </cell>
        </row>
        <row r="49">
          <cell r="F49" t="str">
            <v xml:space="preserve"> </v>
          </cell>
        </row>
        <row r="50">
          <cell r="F50" t="str">
            <v xml:space="preserve"> </v>
          </cell>
        </row>
        <row r="51">
          <cell r="F51" t="str">
            <v xml:space="preserve"> </v>
          </cell>
        </row>
        <row r="52">
          <cell r="F52" t="str">
            <v xml:space="preserve"> </v>
          </cell>
        </row>
        <row r="53">
          <cell r="F53" t="str">
            <v xml:space="preserve"> </v>
          </cell>
        </row>
        <row r="54">
          <cell r="F54" t="str">
            <v xml:space="preserve"> </v>
          </cell>
        </row>
        <row r="55">
          <cell r="F55" t="str">
            <v xml:space="preserve"> </v>
          </cell>
        </row>
        <row r="56">
          <cell r="F56" t="str">
            <v xml:space="preserve"> 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9" tint="0.39997558519241921"/>
  </sheetPr>
  <dimension ref="B1:BN94"/>
  <sheetViews>
    <sheetView tabSelected="1" topLeftCell="AW8" zoomScale="50" zoomScaleNormal="50" workbookViewId="0">
      <selection activeCell="BA19" sqref="BA19"/>
    </sheetView>
  </sheetViews>
  <sheetFormatPr defaultColWidth="10.81640625" defaultRowHeight="14.5" x14ac:dyDescent="0.35"/>
  <cols>
    <col min="1" max="1" width="2.7265625" style="3" customWidth="1"/>
    <col min="2" max="3" width="25.54296875" style="5" customWidth="1"/>
    <col min="4" max="4" width="28.1796875" style="5" customWidth="1"/>
    <col min="5" max="5" width="25.54296875" style="5" customWidth="1"/>
    <col min="6" max="6" width="10.81640625" style="5" customWidth="1"/>
    <col min="7" max="9" width="25.54296875" style="5" customWidth="1"/>
    <col min="10" max="10" width="29.7265625" style="5" customWidth="1"/>
    <col min="11" max="11" width="11.54296875" style="3" customWidth="1"/>
    <col min="12" max="12" width="25.54296875" style="7" customWidth="1"/>
    <col min="13" max="14" width="25.54296875" style="3" customWidth="1"/>
    <col min="15" max="15" width="30.81640625" style="3" bestFit="1" customWidth="1"/>
    <col min="16" max="16" width="18.453125" style="3" customWidth="1"/>
    <col min="17" max="17" width="10.81640625" style="3"/>
    <col min="18" max="18" width="14.7265625" style="3" bestFit="1" customWidth="1"/>
    <col min="19" max="19" width="10.81640625" style="3"/>
    <col min="20" max="20" width="42.26953125" style="3" customWidth="1"/>
    <col min="21" max="21" width="10.81640625" style="3"/>
    <col min="22" max="22" width="12.1796875" style="5" bestFit="1" customWidth="1"/>
    <col min="23" max="23" width="24.26953125" style="5" bestFit="1" customWidth="1"/>
    <col min="24" max="25" width="10.81640625" style="3"/>
    <col min="26" max="26" width="19.81640625" style="3" customWidth="1"/>
    <col min="27" max="28" width="10.81640625" style="3"/>
    <col min="29" max="29" width="15.7265625" style="3" customWidth="1"/>
    <col min="30" max="30" width="46" style="3" bestFit="1" customWidth="1"/>
    <col min="31" max="31" width="9.54296875" style="3" bestFit="1" customWidth="1"/>
    <col min="32" max="32" width="13.1796875" style="3" bestFit="1" customWidth="1"/>
    <col min="33" max="33" width="22" style="3" bestFit="1" customWidth="1"/>
    <col min="34" max="35" width="21.1796875" style="3" bestFit="1" customWidth="1"/>
    <col min="36" max="36" width="10" style="3" bestFit="1" customWidth="1"/>
    <col min="37" max="38" width="9.1796875" style="3" bestFit="1" customWidth="1"/>
    <col min="39" max="40" width="10.81640625" style="3"/>
    <col min="41" max="41" width="11" style="3" bestFit="1" customWidth="1"/>
    <col min="42" max="42" width="13.54296875" style="3" bestFit="1" customWidth="1"/>
    <col min="43" max="43" width="26.453125" style="3" bestFit="1" customWidth="1"/>
    <col min="44" max="47" width="10.81640625" style="3"/>
    <col min="48" max="49" width="12.1796875" style="3" bestFit="1" customWidth="1"/>
    <col min="50" max="50" width="26.26953125" style="3" bestFit="1" customWidth="1"/>
    <col min="51" max="51" width="11" style="3" bestFit="1" customWidth="1"/>
    <col min="52" max="52" width="39.26953125" style="3" bestFit="1" customWidth="1"/>
    <col min="53" max="53" width="109" style="3" customWidth="1"/>
    <col min="54" max="54" width="28.1796875" style="3" customWidth="1"/>
    <col min="55" max="55" width="10.54296875" style="3" bestFit="1" customWidth="1"/>
    <col min="56" max="56" width="14.81640625" style="3" bestFit="1" customWidth="1"/>
    <col min="57" max="57" width="10.26953125" style="3" customWidth="1"/>
    <col min="58" max="58" width="10.81640625" style="3" bestFit="1" customWidth="1"/>
    <col min="59" max="59" width="13.54296875" style="3" bestFit="1" customWidth="1"/>
    <col min="60" max="60" width="14.453125" style="3" customWidth="1"/>
    <col min="61" max="62" width="17.54296875" style="3" customWidth="1"/>
    <col min="63" max="63" width="15.26953125" style="3" bestFit="1" customWidth="1"/>
    <col min="64" max="16384" width="10.81640625" style="3"/>
  </cols>
  <sheetData>
    <row r="1" spans="2:61" ht="15" customHeight="1" x14ac:dyDescent="0.35">
      <c r="BA1" s="109"/>
      <c r="BB1" s="110"/>
      <c r="BC1" s="110"/>
      <c r="BD1" s="110"/>
      <c r="BE1" s="110"/>
      <c r="BF1" s="110"/>
      <c r="BG1" s="110"/>
      <c r="BH1" s="110"/>
      <c r="BI1" s="111"/>
    </row>
    <row r="2" spans="2:61" ht="38.15" customHeight="1" x14ac:dyDescent="0.35">
      <c r="B2" s="112" t="s">
        <v>127</v>
      </c>
      <c r="C2" s="113"/>
      <c r="D2" s="114"/>
      <c r="E2" s="9"/>
      <c r="AB2" s="37"/>
      <c r="AC2" s="37"/>
      <c r="AD2" s="37"/>
      <c r="AE2" s="37"/>
      <c r="AF2" s="37"/>
      <c r="AG2" s="37"/>
      <c r="AH2" s="37"/>
      <c r="AI2" s="37"/>
      <c r="AJ2" s="37"/>
      <c r="AN2" s="37"/>
      <c r="AO2" s="37"/>
      <c r="AP2" s="37"/>
      <c r="AX2" s="5"/>
      <c r="AY2" s="5"/>
      <c r="BA2" s="5"/>
      <c r="BB2" s="5"/>
      <c r="BC2" s="5"/>
      <c r="BD2" s="5"/>
      <c r="BE2" s="5"/>
      <c r="BF2" s="5"/>
      <c r="BG2" s="5"/>
      <c r="BH2" s="5"/>
      <c r="BI2" s="5"/>
    </row>
    <row r="3" spans="2:61" ht="15" customHeight="1" x14ac:dyDescent="0.35">
      <c r="B3" s="115"/>
      <c r="C3" s="116"/>
      <c r="D3" s="117"/>
      <c r="E3" s="9"/>
      <c r="F3" s="1"/>
      <c r="G3" s="1"/>
      <c r="H3" s="1"/>
      <c r="I3" s="1"/>
      <c r="N3" s="121">
        <f ca="1">NOW()</f>
        <v>45054.466765625002</v>
      </c>
      <c r="O3" s="121"/>
      <c r="AB3" s="38"/>
      <c r="AC3" s="1"/>
      <c r="AD3" s="1"/>
      <c r="AE3" s="1"/>
      <c r="AF3" s="1"/>
      <c r="AG3" s="1"/>
      <c r="AH3" s="39"/>
      <c r="AI3" s="39"/>
      <c r="AJ3" s="40"/>
      <c r="AN3" s="1"/>
      <c r="AP3" s="2"/>
      <c r="AQ3" s="2"/>
      <c r="AX3" s="5"/>
      <c r="AY3" s="27"/>
      <c r="BA3" s="5"/>
      <c r="BB3" s="5"/>
      <c r="BC3" s="5"/>
      <c r="BD3" s="5"/>
      <c r="BE3" s="5"/>
      <c r="BF3" s="5"/>
      <c r="BG3" s="5"/>
      <c r="BH3" s="5"/>
      <c r="BI3" s="5"/>
    </row>
    <row r="4" spans="2:61" ht="15" customHeight="1" x14ac:dyDescent="0.35">
      <c r="B4" s="115"/>
      <c r="C4" s="116"/>
      <c r="D4" s="117"/>
      <c r="E4" s="9"/>
      <c r="F4" s="3"/>
      <c r="G4" s="3"/>
      <c r="H4" s="3"/>
      <c r="I4" s="1"/>
      <c r="N4" s="121"/>
      <c r="O4" s="121"/>
      <c r="AB4" s="38"/>
      <c r="AC4" s="1"/>
      <c r="AD4" s="1"/>
      <c r="AE4" s="1"/>
      <c r="AF4" s="1"/>
      <c r="AG4" s="1"/>
      <c r="AH4" s="39"/>
      <c r="AI4" s="39"/>
      <c r="AJ4" s="40"/>
      <c r="AN4" s="1"/>
      <c r="AO4" s="18"/>
      <c r="AP4" s="19"/>
      <c r="AQ4" s="24"/>
      <c r="AX4" s="5"/>
      <c r="AY4" s="27"/>
      <c r="BA4" s="5"/>
      <c r="BB4" s="5"/>
      <c r="BC4" s="5"/>
      <c r="BD4" s="5"/>
      <c r="BE4" s="5"/>
      <c r="BF4" s="5"/>
      <c r="BG4" s="5"/>
      <c r="BH4" s="5"/>
      <c r="BI4" s="5"/>
    </row>
    <row r="5" spans="2:61" ht="15" customHeight="1" x14ac:dyDescent="0.35">
      <c r="B5" s="118"/>
      <c r="C5" s="119"/>
      <c r="D5" s="120"/>
      <c r="E5" s="9"/>
      <c r="F5" s="3"/>
      <c r="G5" s="3"/>
      <c r="H5" s="3"/>
      <c r="I5" s="1"/>
      <c r="N5" s="121"/>
      <c r="O5" s="121"/>
      <c r="AB5" s="38"/>
      <c r="AC5" s="1"/>
      <c r="AD5" s="1"/>
      <c r="AE5" s="1"/>
      <c r="AF5" s="1"/>
      <c r="AG5" s="1"/>
      <c r="AH5" s="39"/>
      <c r="AI5" s="39"/>
      <c r="AJ5" s="40"/>
      <c r="AL5" s="5"/>
      <c r="AM5" s="17" t="s">
        <v>0</v>
      </c>
      <c r="AN5" s="24">
        <f>Planning_L6!L3</f>
        <v>0.20833333333333334</v>
      </c>
      <c r="AP5" s="22"/>
      <c r="AQ5" s="24"/>
      <c r="AX5" s="5"/>
      <c r="AY5" s="27"/>
      <c r="BA5" s="5"/>
      <c r="BB5" s="5"/>
      <c r="BC5" s="5"/>
      <c r="BD5" s="5"/>
      <c r="BE5" s="5"/>
      <c r="BF5" s="5"/>
      <c r="BG5" s="5"/>
      <c r="BH5" s="5"/>
      <c r="BI5" s="5"/>
    </row>
    <row r="6" spans="2:61" ht="15" customHeight="1" x14ac:dyDescent="0.35">
      <c r="B6" s="1"/>
      <c r="C6" s="3"/>
      <c r="D6" s="3"/>
      <c r="E6" s="3"/>
      <c r="F6" s="3"/>
      <c r="G6" s="3"/>
      <c r="H6" s="3"/>
      <c r="I6" s="1"/>
      <c r="N6" s="121"/>
      <c r="O6" s="121"/>
      <c r="AB6" s="38"/>
      <c r="AC6" s="1"/>
      <c r="AD6" s="1"/>
      <c r="AE6" s="1"/>
      <c r="AF6" s="1"/>
      <c r="AG6" s="1"/>
      <c r="AH6" s="39"/>
      <c r="AI6" s="39"/>
      <c r="AJ6" s="40"/>
      <c r="AL6" s="17">
        <v>1</v>
      </c>
      <c r="AM6" s="22">
        <f>Planning_L6!M4</f>
        <v>96000</v>
      </c>
      <c r="AN6" s="24">
        <f>Planning_L6!L4</f>
        <v>0.6</v>
      </c>
      <c r="AO6" s="49"/>
      <c r="AP6" s="22"/>
      <c r="AQ6" s="24"/>
      <c r="AW6" s="17" t="s">
        <v>34</v>
      </c>
      <c r="AX6" s="17" t="s">
        <v>1</v>
      </c>
      <c r="AY6" s="2" t="s">
        <v>35</v>
      </c>
      <c r="BA6" s="93"/>
      <c r="BB6" s="93"/>
      <c r="BC6" s="93"/>
      <c r="BD6" s="93"/>
      <c r="BE6" s="93"/>
      <c r="BF6" s="93"/>
      <c r="BG6" s="5"/>
      <c r="BH6" s="5"/>
      <c r="BI6" s="5"/>
    </row>
    <row r="7" spans="2:61" ht="25.5" customHeight="1" x14ac:dyDescent="0.35">
      <c r="B7" s="1"/>
      <c r="C7" s="10" t="s">
        <v>4</v>
      </c>
      <c r="D7" s="11">
        <v>0.48</v>
      </c>
      <c r="F7" s="3"/>
      <c r="G7" s="3"/>
      <c r="H7" s="3"/>
      <c r="I7" s="1"/>
      <c r="AB7" s="38"/>
      <c r="AC7" s="1"/>
      <c r="AD7" s="1"/>
      <c r="AE7" s="1"/>
      <c r="AF7" s="1"/>
      <c r="AG7" s="1"/>
      <c r="AH7" s="39"/>
      <c r="AI7" s="39"/>
      <c r="AJ7" s="40"/>
      <c r="AL7" s="17"/>
      <c r="AM7" s="22">
        <f>Planning_L6!M5</f>
        <v>0</v>
      </c>
      <c r="AN7" s="24">
        <f>Planning_L6!L5</f>
        <v>6.25E-2</v>
      </c>
      <c r="AO7" s="49"/>
      <c r="AP7" s="22"/>
      <c r="AQ7" s="24"/>
      <c r="AW7" s="17" t="s">
        <v>37</v>
      </c>
      <c r="AX7" s="4">
        <v>0.316</v>
      </c>
      <c r="AY7" s="48">
        <v>0.4</v>
      </c>
      <c r="BA7" s="5"/>
      <c r="BB7" s="5"/>
      <c r="BC7" s="5"/>
      <c r="BD7" s="5"/>
      <c r="BE7" s="5"/>
      <c r="BF7" s="5"/>
      <c r="BG7" s="31"/>
      <c r="BH7" s="5"/>
      <c r="BI7" s="5"/>
    </row>
    <row r="8" spans="2:61" ht="15" customHeight="1" x14ac:dyDescent="0.35">
      <c r="B8" s="1"/>
      <c r="C8" s="3"/>
      <c r="D8" s="3"/>
      <c r="E8" s="3"/>
      <c r="F8" s="3"/>
      <c r="G8" s="3"/>
      <c r="H8" s="3"/>
      <c r="I8" s="1"/>
      <c r="M8" s="124">
        <f>O8-O10</f>
        <v>0.10674502697853372</v>
      </c>
      <c r="N8" s="122" t="s">
        <v>147</v>
      </c>
      <c r="O8" s="123">
        <f>BK94</f>
        <v>0.52294649886622546</v>
      </c>
      <c r="AB8" s="38"/>
      <c r="AC8" s="1"/>
      <c r="AD8" s="1"/>
      <c r="AE8" s="1"/>
      <c r="AF8" s="1"/>
      <c r="AG8" s="1"/>
      <c r="AH8" s="39"/>
      <c r="AI8" s="39"/>
      <c r="AJ8" s="40"/>
      <c r="AL8" s="17">
        <v>2</v>
      </c>
      <c r="AM8" s="22">
        <f>Planning_L6!M6</f>
        <v>48000</v>
      </c>
      <c r="AN8" s="24">
        <f>Planning_L6!L6</f>
        <v>0.3</v>
      </c>
      <c r="AO8" s="49"/>
      <c r="AP8" s="22"/>
      <c r="AQ8" s="24"/>
      <c r="AW8" s="17" t="s">
        <v>41</v>
      </c>
      <c r="AX8" s="4">
        <v>0.39300000000000002</v>
      </c>
      <c r="AY8" s="48">
        <v>0.4</v>
      </c>
      <c r="BA8" s="5"/>
      <c r="BB8" s="5"/>
      <c r="BC8" s="5"/>
      <c r="BD8" s="5"/>
      <c r="BE8" s="5"/>
      <c r="BF8" s="5"/>
      <c r="BG8" s="5"/>
      <c r="BH8" s="5"/>
      <c r="BI8" s="5"/>
    </row>
    <row r="9" spans="2:61" ht="15.75" customHeight="1" x14ac:dyDescent="0.35">
      <c r="B9" s="1"/>
      <c r="C9" s="3"/>
      <c r="D9" s="3"/>
      <c r="E9" s="3"/>
      <c r="F9" s="3"/>
      <c r="G9" s="3"/>
      <c r="H9" s="3"/>
      <c r="I9" s="1"/>
      <c r="M9" s="127"/>
      <c r="N9" s="122"/>
      <c r="O9" s="122"/>
      <c r="AB9" s="38"/>
      <c r="AC9" s="1"/>
      <c r="AD9" s="1"/>
      <c r="AE9" s="1"/>
      <c r="AF9" s="1"/>
      <c r="AG9" s="1"/>
      <c r="AH9" s="39"/>
      <c r="AI9" s="39"/>
      <c r="AJ9" s="40"/>
      <c r="AL9" s="17"/>
      <c r="AM9" s="22">
        <f>Planning_L6!M7</f>
        <v>0</v>
      </c>
      <c r="AN9" s="24">
        <f>Planning_L6!L7</f>
        <v>4.1666666666666664E-2</v>
      </c>
      <c r="AO9" s="49"/>
      <c r="AP9" s="22"/>
      <c r="AQ9" s="24"/>
      <c r="AW9" s="17" t="s">
        <v>44</v>
      </c>
      <c r="AX9" s="4">
        <v>0.41399999999999998</v>
      </c>
      <c r="AY9" s="48">
        <v>0.4</v>
      </c>
      <c r="BA9" s="93"/>
      <c r="BB9" s="93"/>
      <c r="BC9" s="93"/>
      <c r="BD9" s="5"/>
      <c r="BE9" s="5"/>
      <c r="BF9" s="5"/>
    </row>
    <row r="10" spans="2:61" ht="15.75" customHeight="1" x14ac:dyDescent="0.35">
      <c r="B10" s="105" t="s">
        <v>7</v>
      </c>
      <c r="C10" s="106">
        <v>12000</v>
      </c>
      <c r="D10" s="3"/>
      <c r="E10" s="3"/>
      <c r="F10" s="3"/>
      <c r="G10" s="3"/>
      <c r="H10" s="3"/>
      <c r="I10" s="1"/>
      <c r="M10" s="124">
        <f>O10-O12</f>
        <v>1.113076836221355E-2</v>
      </c>
      <c r="N10" s="122" t="s">
        <v>6</v>
      </c>
      <c r="O10" s="123">
        <f>BG94</f>
        <v>0.41620147188769174</v>
      </c>
      <c r="AB10" s="38"/>
      <c r="AC10" s="1"/>
      <c r="AD10" s="1"/>
      <c r="AE10" s="1"/>
      <c r="AF10" s="1"/>
      <c r="AG10" s="1"/>
      <c r="AH10" s="39"/>
      <c r="AI10" s="39"/>
      <c r="AJ10" s="40"/>
      <c r="AL10" s="17">
        <v>3</v>
      </c>
      <c r="AM10" s="22">
        <f>Planning_L6!M8</f>
        <v>48000</v>
      </c>
      <c r="AN10" s="24">
        <f>Planning_L6!L8</f>
        <v>0.3</v>
      </c>
      <c r="AO10" s="49"/>
      <c r="AP10" s="22"/>
      <c r="AQ10" s="24"/>
      <c r="AW10" s="17" t="s">
        <v>47</v>
      </c>
      <c r="AX10" s="4">
        <v>0.443</v>
      </c>
      <c r="AY10" s="48">
        <v>0.4</v>
      </c>
      <c r="BA10" s="5"/>
      <c r="BB10" s="5"/>
      <c r="BC10" s="5"/>
      <c r="BD10" s="5"/>
      <c r="BI10" s="31"/>
    </row>
    <row r="11" spans="2:61" ht="15" customHeight="1" x14ac:dyDescent="0.35">
      <c r="B11" s="105"/>
      <c r="C11" s="106"/>
      <c r="D11" s="3"/>
      <c r="E11" s="3"/>
      <c r="F11" s="3"/>
      <c r="G11" s="3"/>
      <c r="H11" s="3"/>
      <c r="I11" s="1"/>
      <c r="M11" s="124"/>
      <c r="N11" s="122"/>
      <c r="O11" s="123"/>
      <c r="AB11" s="38"/>
      <c r="AC11" s="1"/>
      <c r="AD11" s="1"/>
      <c r="AE11" s="1"/>
      <c r="AF11" s="1"/>
      <c r="AG11" s="1"/>
      <c r="AH11" s="39"/>
      <c r="AI11" s="39"/>
      <c r="AJ11" s="40"/>
      <c r="AL11" s="17"/>
      <c r="AM11" s="22">
        <f>Planning_L6!M9</f>
        <v>0</v>
      </c>
      <c r="AN11" s="24">
        <f>Planning_L6!L9</f>
        <v>4.1666666666666664E-2</v>
      </c>
      <c r="AO11" s="49"/>
      <c r="AP11" s="22"/>
      <c r="AQ11" s="24"/>
      <c r="AW11" s="17" t="s">
        <v>50</v>
      </c>
      <c r="AX11" s="4">
        <v>0.51800000000000002</v>
      </c>
      <c r="AY11" s="48">
        <v>0.4</v>
      </c>
      <c r="BA11" s="5"/>
      <c r="BB11" s="5"/>
      <c r="BC11" s="5"/>
      <c r="BD11" s="5"/>
      <c r="BE11" s="5"/>
      <c r="BF11" s="5"/>
      <c r="BI11" s="5"/>
    </row>
    <row r="12" spans="2:61" ht="15.5" x14ac:dyDescent="0.35">
      <c r="B12" s="107" t="s">
        <v>9</v>
      </c>
      <c r="C12" s="108">
        <f>C10*D7</f>
        <v>5760</v>
      </c>
      <c r="D12"/>
      <c r="E12" s="1"/>
      <c r="F12" s="1"/>
      <c r="G12" s="1"/>
      <c r="H12" s="1"/>
      <c r="I12" s="1"/>
      <c r="M12" s="125"/>
      <c r="N12" s="122" t="s">
        <v>8</v>
      </c>
      <c r="O12" s="123">
        <f>BJ91</f>
        <v>0.40507070352547819</v>
      </c>
      <c r="AB12" s="38"/>
      <c r="AC12" s="1"/>
      <c r="AD12" s="1"/>
      <c r="AE12" s="1"/>
      <c r="AF12" s="1"/>
      <c r="AG12" s="1"/>
      <c r="AH12" s="39"/>
      <c r="AI12" s="39"/>
      <c r="AJ12" s="40"/>
      <c r="AL12" s="17">
        <v>4</v>
      </c>
      <c r="AM12" s="22">
        <f>Planning_L6!M10</f>
        <v>48000</v>
      </c>
      <c r="AN12" s="24">
        <f>Planning_L6!L10</f>
        <v>0.3</v>
      </c>
      <c r="AO12" s="49"/>
      <c r="AP12" s="22"/>
      <c r="AQ12" s="24"/>
      <c r="AW12" s="17" t="s">
        <v>52</v>
      </c>
      <c r="AX12" s="4"/>
      <c r="AY12" s="48">
        <v>0.4</v>
      </c>
      <c r="BA12" s="5"/>
      <c r="BB12" s="5"/>
      <c r="BC12" s="5"/>
      <c r="BD12" s="5"/>
      <c r="BE12" s="5"/>
      <c r="BF12" s="5"/>
      <c r="BG12" s="5"/>
      <c r="BH12" s="5"/>
      <c r="BI12" s="5"/>
    </row>
    <row r="13" spans="2:61" ht="15.5" x14ac:dyDescent="0.35">
      <c r="B13" s="107"/>
      <c r="C13" s="108"/>
      <c r="D13" s="1"/>
      <c r="E13" s="1"/>
      <c r="F13" s="1"/>
      <c r="G13" s="1"/>
      <c r="H13" s="1"/>
      <c r="I13" s="1"/>
      <c r="M13" s="126"/>
      <c r="N13" s="122"/>
      <c r="O13" s="123"/>
      <c r="AB13" s="38"/>
      <c r="AC13" s="1"/>
      <c r="AD13" s="1"/>
      <c r="AE13" s="1"/>
      <c r="AF13" s="1"/>
      <c r="AG13" s="1"/>
      <c r="AH13" s="39"/>
      <c r="AI13" s="39"/>
      <c r="AJ13" s="40"/>
      <c r="AL13" s="17"/>
      <c r="AM13" s="22">
        <f>Planning_L6!M11</f>
        <v>0</v>
      </c>
      <c r="AN13" s="24">
        <f>Planning_L6!L11</f>
        <v>4.1666666666666664E-2</v>
      </c>
      <c r="AO13" s="49"/>
      <c r="AP13" s="22"/>
      <c r="AQ13" s="24"/>
      <c r="AX13" s="5"/>
      <c r="AY13" s="27"/>
      <c r="BA13" s="93"/>
      <c r="BB13" s="93"/>
      <c r="BC13" s="93"/>
      <c r="BD13" s="93"/>
      <c r="BE13" s="93"/>
      <c r="BF13" s="93"/>
      <c r="BG13" s="5"/>
      <c r="BH13" s="5"/>
      <c r="BI13" s="5"/>
    </row>
    <row r="14" spans="2:61" ht="15" customHeight="1" x14ac:dyDescent="0.35">
      <c r="B14" s="1"/>
      <c r="C14" s="8"/>
      <c r="D14" s="8"/>
      <c r="E14" s="8"/>
      <c r="F14" s="8"/>
      <c r="G14" s="104"/>
      <c r="H14" s="104"/>
      <c r="I14" s="1"/>
      <c r="AB14" s="38"/>
      <c r="AC14" s="1"/>
      <c r="AD14" s="1"/>
      <c r="AE14" s="1"/>
      <c r="AF14" s="1"/>
      <c r="AG14" s="1"/>
      <c r="AH14" s="39"/>
      <c r="AI14" s="39"/>
      <c r="AJ14" s="40"/>
      <c r="AL14" s="17">
        <v>5</v>
      </c>
      <c r="AM14" s="22">
        <f>Planning_L6!M12</f>
        <v>30000</v>
      </c>
      <c r="AN14" s="24">
        <f>Planning_L6!L12</f>
        <v>0.1875</v>
      </c>
      <c r="AO14" s="49"/>
      <c r="AP14" s="22"/>
      <c r="AQ14" s="24"/>
      <c r="AX14" s="5"/>
      <c r="AY14" s="27"/>
      <c r="BA14" s="5"/>
      <c r="BB14" s="5"/>
      <c r="BC14" s="5"/>
      <c r="BD14" s="93"/>
      <c r="BE14" s="93"/>
      <c r="BF14" s="5"/>
      <c r="BG14" s="5"/>
      <c r="BH14" s="5"/>
      <c r="BI14" s="5"/>
    </row>
    <row r="15" spans="2:61" ht="15.75" customHeight="1" x14ac:dyDescent="0.35">
      <c r="B15" s="1"/>
      <c r="C15" s="8"/>
      <c r="D15" s="8"/>
      <c r="E15" s="8"/>
      <c r="F15" s="8"/>
      <c r="G15" s="104"/>
      <c r="H15" s="104"/>
      <c r="I15" s="1"/>
      <c r="AB15" s="38"/>
      <c r="AC15" s="1"/>
      <c r="AD15" s="1"/>
      <c r="AE15" s="1"/>
      <c r="AF15" s="1"/>
      <c r="AG15" s="1"/>
      <c r="AH15" s="39"/>
      <c r="AI15" s="39"/>
      <c r="AJ15" s="40"/>
      <c r="AL15" s="17"/>
      <c r="AM15" s="22">
        <f>Planning_L6!M13</f>
        <v>0</v>
      </c>
      <c r="AN15" s="24">
        <f>Planning_L6!L13</f>
        <v>4.1666666666666664E-2</v>
      </c>
      <c r="AO15" s="49"/>
      <c r="AP15" s="22"/>
      <c r="AQ15" s="24"/>
      <c r="AX15" s="5"/>
      <c r="AY15" s="27"/>
      <c r="BA15" s="5"/>
      <c r="BB15" s="5"/>
      <c r="BC15" s="5"/>
      <c r="BF15" s="32"/>
      <c r="BG15" s="5"/>
      <c r="BH15" s="5"/>
      <c r="BI15" s="5"/>
    </row>
    <row r="16" spans="2:61" ht="15.5" x14ac:dyDescent="0.35">
      <c r="B16" s="1"/>
      <c r="C16" s="1"/>
      <c r="D16" s="1"/>
      <c r="E16" s="1"/>
      <c r="F16" s="1"/>
      <c r="G16" s="1"/>
      <c r="H16" s="1"/>
      <c r="I16" s="1"/>
      <c r="AB16" s="38"/>
      <c r="AC16" s="1"/>
      <c r="AD16" s="1"/>
      <c r="AE16" s="1"/>
      <c r="AF16" s="1"/>
      <c r="AG16" s="1"/>
      <c r="AH16" s="39"/>
      <c r="AI16" s="39"/>
      <c r="AJ16" s="40"/>
      <c r="AL16" s="17">
        <v>6</v>
      </c>
      <c r="AM16" s="22">
        <f>Planning_L6!M14</f>
        <v>24000</v>
      </c>
      <c r="AN16" s="24">
        <f>Planning_L6!L14</f>
        <v>0.17391203703703703</v>
      </c>
      <c r="AO16" s="49"/>
      <c r="AP16" s="22"/>
      <c r="AQ16" s="24"/>
      <c r="AX16" s="5"/>
      <c r="AY16" s="27"/>
      <c r="BA16" s="5"/>
      <c r="BB16" s="5"/>
      <c r="BC16" s="5"/>
      <c r="BD16" s="5"/>
      <c r="BE16" s="5"/>
      <c r="BF16" s="5"/>
      <c r="BG16" s="5"/>
      <c r="BH16" s="5"/>
      <c r="BI16" s="5"/>
    </row>
    <row r="17" spans="2:61" ht="15.5" x14ac:dyDescent="0.35">
      <c r="B17" s="1"/>
      <c r="C17" s="1"/>
      <c r="D17" s="1"/>
      <c r="E17" s="1"/>
      <c r="F17" s="1"/>
      <c r="G17" s="1"/>
      <c r="H17" s="1"/>
      <c r="I17" s="1"/>
      <c r="AB17" s="38"/>
      <c r="AC17" s="1"/>
      <c r="AD17" s="1"/>
      <c r="AE17" s="1"/>
      <c r="AF17" s="1"/>
      <c r="AG17" s="1"/>
      <c r="AH17" s="39"/>
      <c r="AI17" s="39"/>
      <c r="AJ17" s="40"/>
      <c r="AL17" s="17"/>
      <c r="AM17" s="22">
        <f>Planning_L6!M15</f>
        <v>0</v>
      </c>
      <c r="AN17" s="24">
        <f>Planning_L6!L15</f>
        <v>4.1666666666666664E-2</v>
      </c>
      <c r="AO17" s="49"/>
      <c r="AP17" s="22"/>
      <c r="AQ17" s="24"/>
      <c r="AX17" s="5"/>
      <c r="AY17" s="27"/>
      <c r="BA17" s="5"/>
      <c r="BB17" s="5"/>
      <c r="BC17" s="5"/>
      <c r="BD17" s="5"/>
      <c r="BE17" s="5"/>
      <c r="BF17" s="5"/>
      <c r="BG17" s="5"/>
      <c r="BH17" s="5"/>
      <c r="BI17" s="5"/>
    </row>
    <row r="18" spans="2:61" ht="15" customHeight="1" x14ac:dyDescent="0.35">
      <c r="C18" s="6"/>
      <c r="D18" s="6"/>
      <c r="E18" s="6"/>
      <c r="F18" s="6"/>
      <c r="G18" s="6"/>
      <c r="H18" s="6"/>
      <c r="AB18" s="38"/>
      <c r="AC18" s="1"/>
      <c r="AD18" s="1"/>
      <c r="AE18" s="1"/>
      <c r="AF18" s="1"/>
      <c r="AG18" s="1"/>
      <c r="AH18" s="39"/>
      <c r="AI18" s="39"/>
      <c r="AJ18" s="40"/>
      <c r="AL18" s="17">
        <v>7</v>
      </c>
      <c r="AM18" s="22">
        <f>Planning_L6!M16</f>
        <v>75000</v>
      </c>
      <c r="AN18" s="24">
        <f>Planning_L6!L16</f>
        <v>0.54348379629629628</v>
      </c>
      <c r="AO18" s="49"/>
      <c r="AP18" s="22"/>
      <c r="AQ18" s="24"/>
      <c r="AW18" s="52"/>
      <c r="AX18" s="5"/>
      <c r="AY18" s="27"/>
      <c r="BA18" s="5"/>
      <c r="BB18" s="5"/>
      <c r="BC18" s="5"/>
      <c r="BD18" s="5"/>
      <c r="BE18" s="5"/>
      <c r="BF18" s="5"/>
      <c r="BG18" s="5"/>
      <c r="BH18" s="5"/>
      <c r="BI18" s="5"/>
    </row>
    <row r="19" spans="2:61" ht="15" customHeight="1" x14ac:dyDescent="0.35">
      <c r="C19" s="6"/>
      <c r="D19" s="6"/>
      <c r="E19" s="6"/>
      <c r="F19" s="6"/>
      <c r="G19" s="6"/>
      <c r="H19" s="6"/>
      <c r="AB19" s="38"/>
      <c r="AC19" s="1"/>
      <c r="AD19" s="1"/>
      <c r="AE19" s="1"/>
      <c r="AF19" s="1"/>
      <c r="AG19" s="1"/>
      <c r="AH19" s="39"/>
      <c r="AI19" s="39"/>
      <c r="AJ19" s="40"/>
      <c r="AL19" s="17"/>
      <c r="AM19" s="22">
        <f>Planning_L6!M17</f>
        <v>0</v>
      </c>
      <c r="AN19" s="24">
        <f>Planning_L6!L17</f>
        <v>6.25E-2</v>
      </c>
      <c r="AO19" s="49"/>
      <c r="AP19" s="22"/>
      <c r="AQ19" s="24"/>
      <c r="AW19" s="53" t="str">
        <f ca="1">CONCATENATE("OEE S",_xlfn.ISOWEEKNUM(TODAY())+1)</f>
        <v>OEE S20</v>
      </c>
      <c r="AX19" s="5"/>
      <c r="AY19" s="27"/>
      <c r="BA19" s="5"/>
      <c r="BB19" s="5"/>
      <c r="BC19" s="5"/>
      <c r="BD19" s="5"/>
      <c r="BG19" s="93"/>
      <c r="BH19" s="93"/>
      <c r="BI19" s="5"/>
    </row>
    <row r="20" spans="2:61" ht="15" customHeight="1" x14ac:dyDescent="0.35">
      <c r="C20" s="6"/>
      <c r="D20" s="6"/>
      <c r="E20" s="6"/>
      <c r="F20" s="6"/>
      <c r="G20" s="6"/>
      <c r="H20" s="6"/>
      <c r="AB20" s="41"/>
      <c r="AC20" s="42"/>
      <c r="AD20" s="42"/>
      <c r="AE20" s="42"/>
      <c r="AF20" s="42"/>
      <c r="AG20" s="42"/>
      <c r="AH20" s="43"/>
      <c r="AI20" s="43"/>
      <c r="AJ20" s="44"/>
      <c r="AL20" s="17">
        <v>8</v>
      </c>
      <c r="AM20" s="22">
        <f>Planning_L6!M18</f>
        <v>120000</v>
      </c>
      <c r="AN20" s="24">
        <f>Planning_L6!L18</f>
        <v>0.75</v>
      </c>
      <c r="AO20" s="49"/>
      <c r="AP20" s="22"/>
      <c r="AQ20" s="24"/>
      <c r="AX20" s="5"/>
      <c r="AY20" s="27"/>
      <c r="BA20" s="5"/>
      <c r="BB20" s="5"/>
      <c r="BC20" s="5"/>
      <c r="BD20" s="5"/>
      <c r="BG20" s="5"/>
      <c r="BH20" s="5"/>
      <c r="BI20" s="5"/>
    </row>
    <row r="21" spans="2:61" ht="15" customHeight="1" x14ac:dyDescent="0.35">
      <c r="C21" s="6"/>
      <c r="D21" s="6"/>
      <c r="E21" s="6"/>
      <c r="F21" s="6"/>
      <c r="G21" s="6"/>
      <c r="H21" s="6"/>
      <c r="AL21" s="17"/>
      <c r="AM21" s="22">
        <f>Planning_L6!M19</f>
        <v>0</v>
      </c>
      <c r="AN21" s="24">
        <f>Planning_L6!L19</f>
        <v>0.125</v>
      </c>
      <c r="AO21" s="49"/>
      <c r="AP21" s="22"/>
      <c r="AQ21" s="24"/>
      <c r="AX21" s="5"/>
      <c r="AY21" s="7"/>
      <c r="BA21" s="5"/>
      <c r="BB21" s="5"/>
      <c r="BC21" s="5"/>
      <c r="BD21" s="5"/>
      <c r="BG21" s="93"/>
      <c r="BH21" s="93"/>
      <c r="BI21" s="5"/>
    </row>
    <row r="22" spans="2:61" ht="15" customHeight="1" x14ac:dyDescent="0.35">
      <c r="C22" s="6"/>
      <c r="D22" s="6"/>
      <c r="E22" s="6"/>
      <c r="F22" s="6"/>
      <c r="G22" s="6"/>
      <c r="H22" s="6"/>
      <c r="AL22" s="17">
        <v>9</v>
      </c>
      <c r="AM22" s="22">
        <f>Planning_L6!M20</f>
        <v>0</v>
      </c>
      <c r="AN22" s="24">
        <f>Planning_L6!L20</f>
        <v>0</v>
      </c>
      <c r="AO22" s="49"/>
      <c r="AP22" s="22"/>
      <c r="AQ22" s="24"/>
      <c r="AX22" s="5"/>
      <c r="AY22" s="7"/>
      <c r="BA22" s="5"/>
      <c r="BB22" s="5"/>
      <c r="BC22" s="5"/>
      <c r="BD22" s="5"/>
      <c r="BG22" s="5"/>
      <c r="BH22" s="5"/>
      <c r="BI22" s="5"/>
    </row>
    <row r="23" spans="2:61" ht="15" customHeight="1" x14ac:dyDescent="0.35">
      <c r="C23" s="6"/>
      <c r="D23" s="6"/>
      <c r="E23" s="6"/>
      <c r="F23" s="6"/>
      <c r="G23" s="6"/>
      <c r="H23" s="6"/>
      <c r="AL23" s="17"/>
      <c r="AM23" s="22">
        <f>Planning_L6!M21</f>
        <v>0</v>
      </c>
      <c r="AN23" s="24">
        <f>Planning_L6!L21</f>
        <v>0</v>
      </c>
      <c r="AO23" s="49"/>
      <c r="AP23" s="22"/>
      <c r="AQ23" s="24"/>
      <c r="AX23" s="5"/>
      <c r="AY23" s="7"/>
      <c r="BA23" s="93"/>
      <c r="BB23" s="93"/>
      <c r="BG23" s="5"/>
      <c r="BH23" s="5"/>
      <c r="BI23" s="5"/>
    </row>
    <row r="24" spans="2:61" ht="15" customHeight="1" x14ac:dyDescent="0.35">
      <c r="C24" s="6"/>
      <c r="D24" s="6"/>
      <c r="E24" s="6"/>
      <c r="F24" s="6"/>
      <c r="G24" s="6"/>
      <c r="H24" s="6"/>
      <c r="AL24" s="17">
        <v>10</v>
      </c>
      <c r="AM24" s="22">
        <f>Planning_L6!M22</f>
        <v>0</v>
      </c>
      <c r="AN24" s="24">
        <f>Planning_L6!L22</f>
        <v>0</v>
      </c>
      <c r="AO24" s="49"/>
      <c r="AP24" s="22"/>
      <c r="AQ24" s="24"/>
      <c r="AX24" s="5"/>
      <c r="AY24" s="7"/>
      <c r="BG24" s="5"/>
      <c r="BH24" s="5"/>
      <c r="BI24" s="5"/>
    </row>
    <row r="25" spans="2:61" ht="15.5" x14ac:dyDescent="0.35">
      <c r="AL25" s="17"/>
      <c r="AM25" s="22">
        <f>Planning_L6!M23</f>
        <v>0</v>
      </c>
      <c r="AN25" s="24">
        <f>Planning_L6!L23</f>
        <v>0</v>
      </c>
      <c r="AO25" s="49"/>
      <c r="AP25" s="22"/>
      <c r="AQ25" s="24"/>
      <c r="AX25" s="5"/>
      <c r="AY25" s="7"/>
      <c r="BG25" s="5"/>
      <c r="BH25" s="5"/>
      <c r="BI25" s="5"/>
    </row>
    <row r="26" spans="2:61" ht="15.5" x14ac:dyDescent="0.35">
      <c r="AL26" s="17">
        <v>11</v>
      </c>
      <c r="AM26" s="22">
        <f>Planning_L6!M24</f>
        <v>0</v>
      </c>
      <c r="AN26" s="24">
        <f>Planning_L6!L24</f>
        <v>0</v>
      </c>
      <c r="AO26" s="49"/>
      <c r="AP26" s="22"/>
      <c r="AQ26" s="24"/>
      <c r="AX26" s="5"/>
      <c r="AY26" s="7"/>
      <c r="BG26" s="5"/>
      <c r="BH26" s="5"/>
      <c r="BI26" s="5"/>
    </row>
    <row r="27" spans="2:61" ht="15.5" x14ac:dyDescent="0.35">
      <c r="B27" s="95" t="s">
        <v>3</v>
      </c>
      <c r="C27" s="96"/>
      <c r="D27" s="96"/>
      <c r="E27" s="97"/>
      <c r="G27" s="95" t="s">
        <v>18</v>
      </c>
      <c r="H27" s="96"/>
      <c r="I27" s="96"/>
      <c r="J27" s="97"/>
      <c r="L27" s="95" t="s">
        <v>19</v>
      </c>
      <c r="M27" s="96"/>
      <c r="N27" s="96"/>
      <c r="O27" s="97"/>
      <c r="AL27" s="17"/>
      <c r="AM27" s="22">
        <f>Planning_L6!M25</f>
        <v>0</v>
      </c>
      <c r="AN27" s="24">
        <f>Planning_L6!L25</f>
        <v>0</v>
      </c>
      <c r="AO27" s="49"/>
      <c r="AP27" s="22"/>
      <c r="AQ27" s="24"/>
      <c r="AX27" s="5"/>
      <c r="AY27" s="7"/>
      <c r="BG27" s="5"/>
      <c r="BH27" s="5"/>
      <c r="BI27" s="5"/>
    </row>
    <row r="28" spans="2:61" ht="15.5" x14ac:dyDescent="0.35">
      <c r="B28" s="98"/>
      <c r="C28" s="99"/>
      <c r="D28" s="99"/>
      <c r="E28" s="100"/>
      <c r="G28" s="98"/>
      <c r="H28" s="99"/>
      <c r="I28" s="99"/>
      <c r="J28" s="100"/>
      <c r="L28" s="98"/>
      <c r="M28" s="99"/>
      <c r="N28" s="99"/>
      <c r="O28" s="100"/>
      <c r="AL28" s="17">
        <v>12</v>
      </c>
      <c r="AM28" s="22">
        <f>Planning_L6!M26</f>
        <v>0</v>
      </c>
      <c r="AN28" s="24">
        <f>Planning_L6!L26</f>
        <v>0</v>
      </c>
      <c r="AO28" s="49"/>
      <c r="AP28" s="22"/>
      <c r="AQ28" s="24"/>
      <c r="AX28" s="5"/>
      <c r="AY28" s="7"/>
      <c r="BG28" s="93"/>
      <c r="BH28" s="93"/>
      <c r="BI28" s="5"/>
    </row>
    <row r="29" spans="2:61" ht="15.5" x14ac:dyDescent="0.35">
      <c r="B29" s="101"/>
      <c r="C29" s="102"/>
      <c r="D29" s="102"/>
      <c r="E29" s="103"/>
      <c r="G29" s="101"/>
      <c r="H29" s="102"/>
      <c r="I29" s="102"/>
      <c r="J29" s="103"/>
      <c r="L29" s="101"/>
      <c r="M29" s="102"/>
      <c r="N29" s="102"/>
      <c r="O29" s="103"/>
      <c r="AL29" s="17"/>
      <c r="AM29" s="22">
        <f>Planning_L6!M27</f>
        <v>0</v>
      </c>
      <c r="AN29" s="24">
        <f>Planning_L6!L27</f>
        <v>0</v>
      </c>
      <c r="AO29" s="49"/>
      <c r="AP29" s="22"/>
      <c r="AQ29" s="24"/>
      <c r="AX29" s="5"/>
      <c r="AY29" s="7"/>
      <c r="BA29" s="5"/>
      <c r="BB29" s="5"/>
      <c r="BG29" s="5"/>
      <c r="BH29" s="5"/>
      <c r="BI29" s="5"/>
    </row>
    <row r="30" spans="2:61" ht="15.5" x14ac:dyDescent="0.35">
      <c r="AL30" s="17">
        <v>13</v>
      </c>
      <c r="AM30" s="22">
        <f>Planning_L6!M28</f>
        <v>0</v>
      </c>
      <c r="AN30" s="24">
        <f>Planning_L6!L28</f>
        <v>0</v>
      </c>
      <c r="AO30" s="49"/>
      <c r="AP30" s="22"/>
      <c r="AQ30" s="24"/>
      <c r="AX30" s="5"/>
      <c r="AY30" s="7"/>
      <c r="AZ30" s="2" t="s">
        <v>39</v>
      </c>
      <c r="BB30" s="5"/>
      <c r="BC30" s="5"/>
      <c r="BD30" s="5"/>
      <c r="BG30" s="5"/>
      <c r="BH30" s="5"/>
      <c r="BI30" s="5"/>
    </row>
    <row r="31" spans="2:61" ht="15.5" x14ac:dyDescent="0.35">
      <c r="AL31" s="17"/>
      <c r="AM31" s="22">
        <f>Planning_L6!M29</f>
        <v>0</v>
      </c>
      <c r="AN31" s="24">
        <f>Planning_L6!L29</f>
        <v>0</v>
      </c>
      <c r="AO31" s="49"/>
      <c r="AP31" s="22"/>
      <c r="AQ31" s="24"/>
      <c r="AX31" s="5"/>
      <c r="AY31" s="7"/>
      <c r="AZ31" s="4">
        <v>1</v>
      </c>
      <c r="BB31" s="5"/>
      <c r="BC31" s="5"/>
      <c r="BD31" s="5"/>
      <c r="BG31" s="5"/>
      <c r="BH31" s="5"/>
      <c r="BI31" s="5"/>
    </row>
    <row r="32" spans="2:61" ht="15.5" x14ac:dyDescent="0.35">
      <c r="AL32" s="17">
        <v>14</v>
      </c>
      <c r="AM32" s="22">
        <f>Planning_L6!M30</f>
        <v>0</v>
      </c>
      <c r="AN32" s="24">
        <f>Planning_L6!L30</f>
        <v>0</v>
      </c>
      <c r="AO32" s="49"/>
      <c r="AP32" s="22"/>
      <c r="AQ32" s="24"/>
      <c r="AX32" s="5"/>
      <c r="AY32" s="7"/>
      <c r="AZ32" s="4">
        <f>I58/I57</f>
        <v>0.8666666666666667</v>
      </c>
      <c r="BB32" s="5"/>
      <c r="BC32" s="5"/>
      <c r="BD32" s="5"/>
      <c r="BG32" s="5"/>
      <c r="BH32" s="5"/>
      <c r="BI32" s="5"/>
    </row>
    <row r="33" spans="38:66" ht="15.5" x14ac:dyDescent="0.35">
      <c r="AL33" s="17"/>
      <c r="AM33" s="22">
        <f>Planning_L6!M31</f>
        <v>0</v>
      </c>
      <c r="AN33" s="24">
        <f>Planning_L6!L31</f>
        <v>0</v>
      </c>
      <c r="AO33" s="49"/>
      <c r="AP33" s="22"/>
      <c r="AQ33" s="24"/>
      <c r="AX33" s="5"/>
      <c r="AY33" s="7"/>
      <c r="AZ33" s="4">
        <f>AZ31-AZ32</f>
        <v>0.1333333333333333</v>
      </c>
      <c r="BB33" s="5"/>
      <c r="BC33" s="5"/>
      <c r="BD33" s="5"/>
      <c r="BG33" s="5"/>
      <c r="BH33" s="5"/>
      <c r="BI33" s="5"/>
    </row>
    <row r="34" spans="38:66" ht="15.5" x14ac:dyDescent="0.35">
      <c r="AL34" s="17">
        <v>15</v>
      </c>
      <c r="AM34" s="22">
        <f>Planning_L6!M32</f>
        <v>0</v>
      </c>
      <c r="AN34" s="24">
        <f>Planning_L6!L32</f>
        <v>0</v>
      </c>
      <c r="AO34" s="49"/>
      <c r="AP34" s="22"/>
      <c r="AQ34" s="24"/>
      <c r="AX34" s="5"/>
      <c r="AY34" s="7"/>
      <c r="BB34" s="5"/>
      <c r="BC34" s="5"/>
      <c r="BD34" s="5"/>
      <c r="BG34" s="5"/>
      <c r="BH34" s="5"/>
      <c r="BI34" s="5"/>
    </row>
    <row r="35" spans="38:66" ht="15.5" x14ac:dyDescent="0.35">
      <c r="AL35" s="17"/>
      <c r="AM35" s="22">
        <f>Planning_L6!M33</f>
        <v>0</v>
      </c>
      <c r="AN35" s="24">
        <f>Planning_L6!L33</f>
        <v>0</v>
      </c>
      <c r="AO35" s="49"/>
      <c r="AP35" s="22"/>
      <c r="AQ35" s="24"/>
      <c r="AX35" s="5"/>
      <c r="AY35" s="7"/>
      <c r="AZ35" s="2" t="s">
        <v>54</v>
      </c>
      <c r="BB35" s="5"/>
      <c r="BC35" s="5"/>
      <c r="BD35" s="5"/>
      <c r="BG35" s="5"/>
      <c r="BH35" s="5"/>
      <c r="BI35" s="5"/>
    </row>
    <row r="36" spans="38:66" ht="15.5" x14ac:dyDescent="0.35">
      <c r="AL36" s="17">
        <v>16</v>
      </c>
      <c r="AM36" s="22">
        <f>Planning_L6!M34</f>
        <v>0</v>
      </c>
      <c r="AN36" s="24">
        <f>Planning_L6!L34</f>
        <v>0</v>
      </c>
      <c r="AO36" s="49"/>
      <c r="AP36" s="22"/>
      <c r="AQ36" s="24"/>
      <c r="AX36" s="5"/>
      <c r="AY36" s="7"/>
      <c r="AZ36" s="4">
        <v>1</v>
      </c>
      <c r="BB36" s="5"/>
      <c r="BC36" s="5"/>
      <c r="BD36" s="5"/>
      <c r="BG36" s="5"/>
      <c r="BH36" s="5"/>
      <c r="BI36" s="5"/>
    </row>
    <row r="37" spans="38:66" ht="15.5" x14ac:dyDescent="0.35">
      <c r="AL37" s="17"/>
      <c r="AM37" s="22">
        <f>Planning_L6!M35</f>
        <v>0</v>
      </c>
      <c r="AN37" s="24">
        <f>Planning_L6!L35</f>
        <v>0</v>
      </c>
      <c r="AO37" s="49"/>
      <c r="AP37" s="22"/>
      <c r="AQ37" s="24"/>
      <c r="AX37" s="5"/>
      <c r="AY37" s="7"/>
      <c r="AZ37" s="4">
        <f>IF(I60=1,I58/N58,N59/N58)</f>
        <v>0.7341513292433538</v>
      </c>
      <c r="BG37" s="5"/>
      <c r="BH37" s="5"/>
    </row>
    <row r="38" spans="38:66" ht="15.5" x14ac:dyDescent="0.35">
      <c r="AL38" s="17">
        <v>17</v>
      </c>
      <c r="AM38" s="22">
        <f>Planning_L6!M36</f>
        <v>0</v>
      </c>
      <c r="AN38" s="24">
        <f>Planning_L6!L36</f>
        <v>0</v>
      </c>
      <c r="AO38" s="49"/>
      <c r="AP38" s="22"/>
      <c r="AQ38" s="24"/>
      <c r="AZ38" s="4">
        <f>AZ36-AZ37</f>
        <v>0.2658486707566462</v>
      </c>
      <c r="BG38" s="5"/>
      <c r="BH38" s="5"/>
    </row>
    <row r="39" spans="38:66" ht="15.5" x14ac:dyDescent="0.35">
      <c r="AL39" s="17"/>
      <c r="AM39" s="22">
        <f>Planning_L6!M37</f>
        <v>0</v>
      </c>
      <c r="AN39" s="24">
        <f>Planning_L6!L37</f>
        <v>0</v>
      </c>
      <c r="AO39" s="49"/>
      <c r="AP39" s="22"/>
      <c r="AQ39" s="24"/>
      <c r="BG39" s="5"/>
      <c r="BH39" s="5"/>
    </row>
    <row r="40" spans="38:66" ht="15.5" x14ac:dyDescent="0.35">
      <c r="AL40" s="17">
        <v>18</v>
      </c>
      <c r="AM40" s="22">
        <f>Planning_L6!M38</f>
        <v>0</v>
      </c>
      <c r="AN40" s="24">
        <f>Planning_L6!L38</f>
        <v>0</v>
      </c>
      <c r="AO40" s="49"/>
      <c r="AZ40" s="94" t="s">
        <v>10</v>
      </c>
      <c r="BA40" s="94"/>
      <c r="BD40" s="17" t="s">
        <v>24</v>
      </c>
      <c r="BE40" s="17" t="s">
        <v>25</v>
      </c>
      <c r="BF40" s="17" t="s">
        <v>125</v>
      </c>
      <c r="BG40" s="17" t="s">
        <v>6</v>
      </c>
      <c r="BH40" s="17" t="s">
        <v>26</v>
      </c>
      <c r="BI40" s="17" t="s">
        <v>27</v>
      </c>
      <c r="BJ40" s="3" t="s">
        <v>8</v>
      </c>
      <c r="BK40" s="3" t="s">
        <v>147</v>
      </c>
    </row>
    <row r="41" spans="38:66" x14ac:dyDescent="0.35">
      <c r="AZ41" s="5"/>
      <c r="BA41" s="5"/>
      <c r="BC41" s="2" t="s">
        <v>28</v>
      </c>
      <c r="BD41" s="17">
        <v>3.6354166669999999</v>
      </c>
      <c r="BE41" s="17">
        <v>118</v>
      </c>
      <c r="BF41" s="17">
        <v>429666</v>
      </c>
      <c r="BG41" s="4">
        <f>'[1]Synthèse hebdo'!U5</f>
        <v>0.41639345850999387</v>
      </c>
      <c r="BH41" s="50">
        <v>0.48</v>
      </c>
      <c r="BI41" s="17">
        <v>115</v>
      </c>
      <c r="BJ41" s="47">
        <f>'[2]Synthèse hebdo'!$U5</f>
        <v>0.43392243175661593</v>
      </c>
      <c r="BK41" s="47">
        <f>IF(BL41&lt;&gt;"",BL41,NA())</f>
        <v>0.59535410176531667</v>
      </c>
      <c r="BL41" s="51">
        <f>'[3]Synthèse hebdo'!F5</f>
        <v>0.59535410176531667</v>
      </c>
    </row>
    <row r="42" spans="38:66" x14ac:dyDescent="0.35">
      <c r="AZ42" s="94" t="s">
        <v>11</v>
      </c>
      <c r="BA42" s="94"/>
      <c r="BC42" s="2" t="s">
        <v>29</v>
      </c>
      <c r="BD42" s="17">
        <v>4.9166666670000003</v>
      </c>
      <c r="BE42" s="17">
        <v>97</v>
      </c>
      <c r="BF42" s="17">
        <v>474461</v>
      </c>
      <c r="BG42" s="4">
        <f>'[1]Synthèse hebdo'!U6</f>
        <v>0.3350713276836158</v>
      </c>
      <c r="BH42" s="50">
        <v>0.48</v>
      </c>
      <c r="BI42" s="17">
        <v>115</v>
      </c>
      <c r="BJ42" s="47">
        <f>'[2]Synthèse hebdo'!$U6</f>
        <v>0.26641277258566975</v>
      </c>
      <c r="BK42" s="47">
        <f t="shared" ref="BK42:BK92" si="0">IF(BL42&lt;&gt;"",BL42,NA())</f>
        <v>0.49345185185185186</v>
      </c>
      <c r="BL42" s="51">
        <f>'[3]Synthèse hebdo'!F6</f>
        <v>0.49345185185185186</v>
      </c>
    </row>
    <row r="43" spans="38:66" x14ac:dyDescent="0.35">
      <c r="AZ43" s="17" t="s">
        <v>12</v>
      </c>
      <c r="BA43" s="17" t="s">
        <v>13</v>
      </c>
      <c r="BC43" s="2" t="s">
        <v>30</v>
      </c>
      <c r="BD43" s="17">
        <v>3.4375</v>
      </c>
      <c r="BE43" s="17">
        <v>128</v>
      </c>
      <c r="BF43" s="17">
        <v>438327</v>
      </c>
      <c r="BG43" s="4">
        <f>'[1]Synthèse hebdo'!U7</f>
        <v>0.44864585465711365</v>
      </c>
      <c r="BH43" s="50">
        <v>0.48</v>
      </c>
      <c r="BI43" s="17">
        <v>115</v>
      </c>
      <c r="BJ43" s="47">
        <f>'[2]Synthèse hebdo'!$U7</f>
        <v>0.33349410980217825</v>
      </c>
      <c r="BK43" s="47">
        <f t="shared" si="0"/>
        <v>0.45986315789473686</v>
      </c>
      <c r="BL43" s="51">
        <f>'[3]Synthèse hebdo'!F7</f>
        <v>0.45986315789473686</v>
      </c>
    </row>
    <row r="44" spans="38:66" x14ac:dyDescent="0.35">
      <c r="AZ44" s="17" t="s">
        <v>14</v>
      </c>
      <c r="BA44" s="17">
        <v>41</v>
      </c>
      <c r="BC44" s="2" t="s">
        <v>32</v>
      </c>
      <c r="BD44" s="17">
        <v>0</v>
      </c>
      <c r="BE44" s="17">
        <v>0</v>
      </c>
      <c r="BF44" s="17">
        <v>0</v>
      </c>
      <c r="BG44" s="4" t="str">
        <f>'[1]Synthèse hebdo'!U8</f>
        <v xml:space="preserve"> </v>
      </c>
      <c r="BH44" s="50">
        <v>0.48</v>
      </c>
      <c r="BI44" s="17">
        <v>115</v>
      </c>
      <c r="BJ44" s="128">
        <f>'[2]Synthèse hebdo'!$U8</f>
        <v>0.46618749999999998</v>
      </c>
      <c r="BK44" s="128" t="e">
        <f>IF(BL44=" ",NA(),BL44)</f>
        <v>#N/A</v>
      </c>
      <c r="BL44" s="129" t="str">
        <f>'[3]Synthèse hebdo'!F8</f>
        <v xml:space="preserve"> </v>
      </c>
      <c r="BM44" s="130">
        <f>LEN(BL44)</f>
        <v>1</v>
      </c>
      <c r="BN44" s="130">
        <f>CODE(BL44)</f>
        <v>32</v>
      </c>
    </row>
    <row r="45" spans="38:66" x14ac:dyDescent="0.35">
      <c r="AZ45" s="17" t="s">
        <v>15</v>
      </c>
      <c r="BA45" s="17">
        <v>25</v>
      </c>
      <c r="BC45" s="2" t="s">
        <v>36</v>
      </c>
      <c r="BD45" s="17">
        <v>3.9791666669999999</v>
      </c>
      <c r="BE45" s="17">
        <v>110</v>
      </c>
      <c r="BF45" s="17">
        <v>436103</v>
      </c>
      <c r="BG45" s="4">
        <f>'[1]Synthèse hebdo'!U9</f>
        <v>0.38351368583049356</v>
      </c>
      <c r="BH45" s="50">
        <v>0.48</v>
      </c>
      <c r="BI45" s="17">
        <v>115</v>
      </c>
      <c r="BJ45" s="47">
        <f>'[2]Synthèse hebdo'!$U9</f>
        <v>0.28169557675628792</v>
      </c>
      <c r="BK45" s="47">
        <f t="shared" si="0"/>
        <v>0.55608950617283948</v>
      </c>
      <c r="BL45" s="51">
        <f>'[3]Synthèse hebdo'!F9</f>
        <v>0.55608950617283948</v>
      </c>
    </row>
    <row r="46" spans="38:66" x14ac:dyDescent="0.35">
      <c r="AZ46" s="17" t="s">
        <v>16</v>
      </c>
      <c r="BA46" s="17">
        <v>30</v>
      </c>
      <c r="BC46" s="2" t="s">
        <v>38</v>
      </c>
      <c r="BD46" s="17">
        <v>4.3854166670000003</v>
      </c>
      <c r="BE46" s="17">
        <v>118</v>
      </c>
      <c r="BF46" s="17">
        <v>516763</v>
      </c>
      <c r="BG46" s="4">
        <f>'[1]Synthèse hebdo'!U10</f>
        <v>0.41110819411296728</v>
      </c>
      <c r="BH46" s="50">
        <v>0.48</v>
      </c>
      <c r="BI46" s="17">
        <v>115</v>
      </c>
      <c r="BJ46" s="47" t="str">
        <f>'[2]Synthèse hebdo'!$U10</f>
        <v xml:space="preserve"> </v>
      </c>
      <c r="BK46" s="47">
        <f t="shared" si="0"/>
        <v>0.34319360269360272</v>
      </c>
      <c r="BL46" s="51">
        <f>'[3]Synthèse hebdo'!F10</f>
        <v>0.34319360269360272</v>
      </c>
    </row>
    <row r="47" spans="38:66" x14ac:dyDescent="0.35">
      <c r="AZ47" s="17" t="s">
        <v>17</v>
      </c>
      <c r="BA47" s="17">
        <v>100</v>
      </c>
      <c r="BC47" s="2" t="s">
        <v>42</v>
      </c>
      <c r="BD47" s="17">
        <v>3.7708333330000001</v>
      </c>
      <c r="BE47" s="17">
        <v>112</v>
      </c>
      <c r="BF47" s="17">
        <v>422899</v>
      </c>
      <c r="BG47" s="4">
        <f>'[1]Synthèse hebdo'!U11</f>
        <v>0.39302881040892196</v>
      </c>
      <c r="BH47" s="50">
        <v>0.48</v>
      </c>
      <c r="BI47" s="17">
        <v>115</v>
      </c>
      <c r="BJ47" s="47">
        <f>'[2]Synthèse hebdo'!$U11</f>
        <v>0.36153253652058431</v>
      </c>
      <c r="BK47" s="47">
        <f t="shared" si="0"/>
        <v>0.37721559633027524</v>
      </c>
      <c r="BL47" s="51">
        <f>'[3]Synthèse hebdo'!F11</f>
        <v>0.37721559633027524</v>
      </c>
    </row>
    <row r="48" spans="38:66" x14ac:dyDescent="0.35">
      <c r="AU48" s="2" t="s">
        <v>31</v>
      </c>
      <c r="AV48" s="2" t="s">
        <v>22</v>
      </c>
      <c r="AZ48" s="5"/>
      <c r="BA48" s="5"/>
      <c r="BC48" s="2" t="s">
        <v>45</v>
      </c>
      <c r="BD48" s="17">
        <v>3.65625</v>
      </c>
      <c r="BE48" s="17">
        <v>106</v>
      </c>
      <c r="BF48" s="17">
        <v>387235</v>
      </c>
      <c r="BG48" s="4">
        <f>'[1]Synthèse hebdo'!U12</f>
        <v>0.36941092296684952</v>
      </c>
      <c r="BH48" s="50">
        <v>0.48</v>
      </c>
      <c r="BI48" s="17">
        <v>115</v>
      </c>
      <c r="BJ48" s="128">
        <f>'[2]Synthèse hebdo'!$U12</f>
        <v>0.43541031116534473</v>
      </c>
      <c r="BK48" s="128" t="e">
        <f>IF(BL48=" ",NA(),BL48)</f>
        <v>#N/A</v>
      </c>
      <c r="BL48" s="129" t="str">
        <f>'[3]Synthèse hebdo'!F12</f>
        <v xml:space="preserve"> </v>
      </c>
      <c r="BM48" s="130"/>
      <c r="BN48" s="130"/>
    </row>
    <row r="49" spans="2:64" ht="26" x14ac:dyDescent="0.35">
      <c r="AU49" s="2" t="s">
        <v>33</v>
      </c>
      <c r="AV49" s="20">
        <f>IF(C62="OUI",5/24,0)</f>
        <v>0</v>
      </c>
      <c r="AZ49" s="94" t="s">
        <v>20</v>
      </c>
      <c r="BA49" s="94"/>
      <c r="BC49" s="2" t="s">
        <v>48</v>
      </c>
      <c r="BD49" s="17">
        <v>3.5625</v>
      </c>
      <c r="BE49" s="17">
        <v>127</v>
      </c>
      <c r="BF49" s="17">
        <v>451316</v>
      </c>
      <c r="BG49" s="4">
        <f>'[1]Synthèse hebdo'!U13</f>
        <v>0.44203330068560243</v>
      </c>
      <c r="BH49" s="50">
        <v>0.48</v>
      </c>
      <c r="BI49" s="17">
        <v>115</v>
      </c>
      <c r="BJ49" s="47" t="str">
        <f>'[2]Synthèse hebdo'!$U13</f>
        <v xml:space="preserve"> </v>
      </c>
      <c r="BK49" s="47">
        <f t="shared" si="0"/>
        <v>0.43231862745098038</v>
      </c>
      <c r="BL49" s="51">
        <f>'[3]Synthèse hebdo'!F13</f>
        <v>0.43231862745098038</v>
      </c>
    </row>
    <row r="50" spans="2:64" x14ac:dyDescent="0.35">
      <c r="AZ50" s="17" t="s">
        <v>21</v>
      </c>
      <c r="BA50" s="17" t="s">
        <v>13</v>
      </c>
      <c r="BC50" s="2" t="s">
        <v>51</v>
      </c>
      <c r="BD50" s="17">
        <v>1.4791666670000001</v>
      </c>
      <c r="BE50" s="17">
        <v>156</v>
      </c>
      <c r="BF50" s="17">
        <v>231415</v>
      </c>
      <c r="BG50" s="4">
        <f>'[1]Synthèse hebdo'!U14</f>
        <v>0.54322769953051642</v>
      </c>
      <c r="BH50" s="50">
        <v>0.48</v>
      </c>
      <c r="BI50" s="17">
        <v>115</v>
      </c>
      <c r="BJ50" s="47">
        <f>'[2]Synthèse hebdo'!$U14</f>
        <v>0.39592078189300411</v>
      </c>
      <c r="BK50" s="47">
        <f t="shared" si="0"/>
        <v>0.41698682476943344</v>
      </c>
      <c r="BL50" s="51">
        <f>'[3]Synthèse hebdo'!F14</f>
        <v>0.41698682476943344</v>
      </c>
    </row>
    <row r="51" spans="2:64" x14ac:dyDescent="0.35">
      <c r="AV51" s="3" t="s">
        <v>22</v>
      </c>
      <c r="AZ51" s="17">
        <v>10</v>
      </c>
      <c r="BA51" s="17">
        <v>10</v>
      </c>
      <c r="BC51" s="2" t="s">
        <v>53</v>
      </c>
      <c r="BD51" s="17">
        <v>2.9583333330000001</v>
      </c>
      <c r="BE51" s="17">
        <v>116</v>
      </c>
      <c r="BF51" s="17">
        <v>342711</v>
      </c>
      <c r="BG51" s="4">
        <f>'[1]Synthèse hebdo'!U15</f>
        <v>0.40224295774647889</v>
      </c>
      <c r="BH51" s="50">
        <v>0.48</v>
      </c>
      <c r="BI51" s="17">
        <v>115</v>
      </c>
      <c r="BJ51" s="47">
        <f>'[2]Synthèse hebdo'!$U15</f>
        <v>0.56160648279783909</v>
      </c>
      <c r="BK51" s="47">
        <f t="shared" si="0"/>
        <v>0.65339353891336271</v>
      </c>
      <c r="BL51" s="51">
        <f>'[3]Synthèse hebdo'!F15</f>
        <v>0.65339353891336271</v>
      </c>
    </row>
    <row r="52" spans="2:64" x14ac:dyDescent="0.35">
      <c r="AV52" s="3" t="s">
        <v>23</v>
      </c>
      <c r="AZ52" s="17">
        <v>20</v>
      </c>
      <c r="BA52" s="17">
        <v>10</v>
      </c>
      <c r="BC52" s="2" t="s">
        <v>55</v>
      </c>
      <c r="BD52" s="17">
        <v>3.2083333330000001</v>
      </c>
      <c r="BE52" s="17">
        <v>121</v>
      </c>
      <c r="BF52" s="17">
        <v>388543</v>
      </c>
      <c r="BG52" s="4">
        <f>'[1]Synthèse hebdo'!U16</f>
        <v>0.42626769061985736</v>
      </c>
      <c r="BH52" s="50">
        <v>0.48</v>
      </c>
      <c r="BI52" s="17">
        <v>115</v>
      </c>
      <c r="BJ52" s="47">
        <f>'[2]Synthèse hebdo'!$U16</f>
        <v>0.47965184034184716</v>
      </c>
      <c r="BK52" s="47">
        <f t="shared" si="0"/>
        <v>0.61861349693251533</v>
      </c>
      <c r="BL52" s="51">
        <f>'[3]Synthèse hebdo'!F16</f>
        <v>0.61861349693251533</v>
      </c>
    </row>
    <row r="53" spans="2:64" x14ac:dyDescent="0.35">
      <c r="AZ53" s="17">
        <v>30</v>
      </c>
      <c r="BA53" s="17">
        <v>10</v>
      </c>
      <c r="BC53" s="2" t="s">
        <v>56</v>
      </c>
      <c r="BD53" s="17">
        <v>2.8854166669999999</v>
      </c>
      <c r="BE53" s="17">
        <v>141</v>
      </c>
      <c r="BF53" s="17">
        <v>408057</v>
      </c>
      <c r="BG53" s="4">
        <f>'[1]Synthèse hebdo'!U17</f>
        <v>0.49104332129963901</v>
      </c>
      <c r="BH53" s="50">
        <v>0.48</v>
      </c>
      <c r="BI53" s="17">
        <v>115</v>
      </c>
      <c r="BJ53" s="47">
        <f>'[2]Synthèse hebdo'!$U17</f>
        <v>0.53064685314685311</v>
      </c>
      <c r="BK53" s="47">
        <f t="shared" si="0"/>
        <v>0.63659981429897861</v>
      </c>
      <c r="BL53" s="51">
        <f>'[3]Synthèse hebdo'!F17</f>
        <v>0.63659981429897861</v>
      </c>
    </row>
    <row r="54" spans="2:64" x14ac:dyDescent="0.35">
      <c r="AV54" s="3">
        <v>1</v>
      </c>
      <c r="AZ54" s="17">
        <v>40</v>
      </c>
      <c r="BA54" s="17">
        <v>10</v>
      </c>
      <c r="BC54" s="2" t="s">
        <v>57</v>
      </c>
      <c r="BD54" s="17">
        <v>1.6666666670000001</v>
      </c>
      <c r="BE54" s="17">
        <v>138</v>
      </c>
      <c r="BF54" s="17">
        <v>230105</v>
      </c>
      <c r="BG54" s="4">
        <f>'[1]Synthèse hebdo'!U18</f>
        <v>0.49860238353196101</v>
      </c>
      <c r="BH54" s="50">
        <v>0.48</v>
      </c>
      <c r="BI54" s="17">
        <v>115</v>
      </c>
      <c r="BJ54" s="47">
        <f>'[2]Synthèse hebdo'!$U18</f>
        <v>0.51572014051522252</v>
      </c>
      <c r="BK54" s="47">
        <f t="shared" si="0"/>
        <v>0.5512345679012346</v>
      </c>
      <c r="BL54" s="51">
        <f>'[3]Synthèse hebdo'!F18</f>
        <v>0.5512345679012346</v>
      </c>
    </row>
    <row r="55" spans="2:64" x14ac:dyDescent="0.35">
      <c r="AV55" s="3">
        <v>2</v>
      </c>
      <c r="AZ55" s="17">
        <v>50</v>
      </c>
      <c r="BA55" s="17">
        <v>10</v>
      </c>
      <c r="BC55" s="2" t="s">
        <v>58</v>
      </c>
      <c r="BD55" s="17">
        <v>3.6145833330000001</v>
      </c>
      <c r="BE55" s="17">
        <v>139</v>
      </c>
      <c r="BF55" s="17">
        <v>502990</v>
      </c>
      <c r="BG55" s="4">
        <f>'[1]Synthèse hebdo'!U19</f>
        <v>0.48527737578388808</v>
      </c>
      <c r="BH55" s="50">
        <v>0.48</v>
      </c>
      <c r="BI55" s="17">
        <v>115</v>
      </c>
      <c r="BJ55" s="47">
        <f>'[2]Synthèse hebdo'!$U19</f>
        <v>0.32647886410788379</v>
      </c>
      <c r="BK55" s="47">
        <f t="shared" si="0"/>
        <v>0.57484600389863549</v>
      </c>
      <c r="BL55" s="51">
        <f>'[3]Synthèse hebdo'!F19</f>
        <v>0.57484600389863549</v>
      </c>
    </row>
    <row r="56" spans="2:64" ht="54.75" customHeight="1" x14ac:dyDescent="0.35">
      <c r="C56" s="12" t="s">
        <v>63</v>
      </c>
      <c r="D56" s="12" t="s">
        <v>5</v>
      </c>
      <c r="G56" s="91" t="s">
        <v>64</v>
      </c>
      <c r="H56" s="91"/>
      <c r="I56" s="16">
        <f>I58/I57</f>
        <v>0.8666666666666667</v>
      </c>
      <c r="L56" s="92" t="s">
        <v>64</v>
      </c>
      <c r="M56" s="92"/>
      <c r="N56" s="33">
        <f>IF(I60=1,I58/N58,N59/N58)</f>
        <v>0.7341513292433538</v>
      </c>
      <c r="AV56" s="3">
        <v>3</v>
      </c>
      <c r="AZ56" s="17">
        <v>60</v>
      </c>
      <c r="BA56" s="17">
        <v>10</v>
      </c>
      <c r="BC56" s="2" t="s">
        <v>59</v>
      </c>
      <c r="BD56" s="17">
        <v>1.9375</v>
      </c>
      <c r="BE56" s="17">
        <v>125</v>
      </c>
      <c r="BF56" s="17">
        <v>241757</v>
      </c>
      <c r="BG56" s="4">
        <f>'[1]Synthèse hebdo'!U20</f>
        <v>0.43325627240143372</v>
      </c>
      <c r="BH56" s="50">
        <v>0.48</v>
      </c>
      <c r="BI56" s="17">
        <v>115</v>
      </c>
      <c r="BJ56" s="47">
        <f>'[2]Synthèse hebdo'!$U20</f>
        <v>0.26654861111111111</v>
      </c>
      <c r="BK56" s="47">
        <f t="shared" si="0"/>
        <v>0.51182193268186749</v>
      </c>
      <c r="BL56" s="51">
        <f>'[3]Synthèse hebdo'!F20</f>
        <v>0.51182193268186749</v>
      </c>
    </row>
    <row r="57" spans="2:64" ht="53.25" customHeight="1" x14ac:dyDescent="0.35">
      <c r="B57" s="15" t="s">
        <v>66</v>
      </c>
      <c r="C57" s="13">
        <f>D7*100</f>
        <v>48</v>
      </c>
      <c r="D57" s="14">
        <v>60</v>
      </c>
      <c r="G57" s="90" t="s">
        <v>67</v>
      </c>
      <c r="H57" s="90"/>
      <c r="I57" s="14">
        <f>IF(I60=AL6,AM6,0)+IF(I60=AL8,AM8,0)+IF(I60=AL10,AM10,0)+IF(I60=AL12,AM12,0)+IF(I60=AL14,AM14,0)+IF(I60=AL16,AM16,0)+IF(I60=AL18,AM18,0)+IF(I60=AL20,AM20,0)+IF(I60=AL22,AM22,0)+IF(I60=AL24,AM24,0)+IF(I60=AL26,AM26,0)+IF(I60=AL28,AM28,0)+IF(I60=AL30,AM30,0)+IF(I60=AL32,AM32,0)+IF(I60=AL34,AM34,0)+IF(I60=AL36,AM36,0)+IF(I60=AL38,AM38,0)+IF(I60=AL40,AM40,0)</f>
        <v>75000</v>
      </c>
      <c r="L57" s="91" t="s">
        <v>68</v>
      </c>
      <c r="M57" s="91"/>
      <c r="N57" s="14">
        <f>I60</f>
        <v>7</v>
      </c>
      <c r="AZ57" s="17">
        <v>70</v>
      </c>
      <c r="BA57" s="17">
        <v>10</v>
      </c>
      <c r="BC57" s="2" t="s">
        <v>60</v>
      </c>
      <c r="BD57" s="17">
        <v>3.3125</v>
      </c>
      <c r="BE57" s="17">
        <v>117</v>
      </c>
      <c r="BF57" s="17">
        <v>387723</v>
      </c>
      <c r="BG57" s="4">
        <f>'[1]Synthèse hebdo'!U21</f>
        <v>0.41028888888888887</v>
      </c>
      <c r="BH57" s="50">
        <v>0.48</v>
      </c>
      <c r="BI57" s="17">
        <v>115</v>
      </c>
      <c r="BJ57" s="47">
        <f>'[2]Synthèse hebdo'!$U21</f>
        <v>0.35734995911692558</v>
      </c>
      <c r="BK57" s="47">
        <f t="shared" si="0"/>
        <v>0.62321485943775101</v>
      </c>
      <c r="BL57" s="51">
        <f>'[3]Synthèse hebdo'!F21</f>
        <v>0.62321485943775101</v>
      </c>
    </row>
    <row r="58" spans="2:64" ht="52.5" customHeight="1" x14ac:dyDescent="0.35">
      <c r="B58" s="15" t="s">
        <v>9</v>
      </c>
      <c r="C58" s="14">
        <f>C12</f>
        <v>5760</v>
      </c>
      <c r="D58" s="14">
        <f>(D57*C10)/100</f>
        <v>7200</v>
      </c>
      <c r="G58" s="90" t="s">
        <v>70</v>
      </c>
      <c r="H58" s="90"/>
      <c r="I58" s="14">
        <v>65000</v>
      </c>
      <c r="L58" s="91" t="s">
        <v>71</v>
      </c>
      <c r="M58" s="91"/>
      <c r="N58" s="14">
        <f>SUM(AM6:AM40)</f>
        <v>489000</v>
      </c>
      <c r="AZ58" s="17">
        <v>80</v>
      </c>
      <c r="BA58" s="17">
        <v>10</v>
      </c>
      <c r="BC58" s="2" t="s">
        <v>61</v>
      </c>
      <c r="BD58" s="17">
        <v>3.6770833330000001</v>
      </c>
      <c r="BE58" s="17">
        <v>123</v>
      </c>
      <c r="BF58" s="17">
        <v>453688</v>
      </c>
      <c r="BG58" s="4">
        <f>'[1]Synthèse hebdo'!U22</f>
        <v>0.42841170915958449</v>
      </c>
      <c r="BH58" s="50">
        <v>0.48</v>
      </c>
      <c r="BI58" s="17">
        <v>115</v>
      </c>
      <c r="BJ58" s="47">
        <f>'[2]Synthèse hebdo'!$U22</f>
        <v>0.46488233164373644</v>
      </c>
      <c r="BK58" s="47" t="str">
        <f t="shared" si="0"/>
        <v xml:space="preserve"> </v>
      </c>
      <c r="BL58" s="51" t="str">
        <f>'[3]Synthèse hebdo'!F22</f>
        <v xml:space="preserve"> </v>
      </c>
    </row>
    <row r="59" spans="2:64" ht="55.5" customHeight="1" x14ac:dyDescent="0.35">
      <c r="B59" s="15" t="s">
        <v>73</v>
      </c>
      <c r="C59" s="14">
        <f>C58*8</f>
        <v>46080</v>
      </c>
      <c r="D59" s="14">
        <f>D58*8</f>
        <v>57600</v>
      </c>
      <c r="G59" s="90" t="s">
        <v>74</v>
      </c>
      <c r="H59" s="90"/>
      <c r="I59" s="14">
        <f>I57-I58</f>
        <v>10000</v>
      </c>
      <c r="L59" s="91" t="s">
        <v>75</v>
      </c>
      <c r="M59" s="91"/>
      <c r="N59" s="14">
        <f>IF(I60=AL6,I58,0)+IF(I60=AL8,AM6+I58,0)+IF(I60=AL10,SUM(AM6:AM8)+I58,0)+IF(I60=AL12,SUM(AM6:AM10)+I58,0)+IF(I60=AL14,SUM(AM6:AM12)+I58,0)+IF(I60=AL16,SUM(AM6:AM14)+I58,0)+IF(I60=AL18,SUM(AM6:AM16)+I58,0)+IF(I60=AL20,SUM(AM6:AM18)+I58,0)+IF(I60=AL22,SUM(AM6:AM20)+I58,0)+IF(I60=AL24,SUM(AM6:AM22)+I58,0)+IF(I60=AL26,SUM(AM6:AM24)+I58,0)+IF(I60=AL28,SUM(AM6:AM26)+I58,0)+IF(I60=AL30,SUM(AM6:AM28)+I58,0)+IF(I60=AL32,SUM(AM6:AM30)+I58,0)+IF(I60=AL34,SUM(AM6:AM32)+I58,0)+IF(I60=AL36,SUM(AM6:AM34)+I58,0)</f>
        <v>359000</v>
      </c>
      <c r="AZ59" s="17">
        <v>90</v>
      </c>
      <c r="BA59" s="17">
        <v>10</v>
      </c>
      <c r="BC59" s="2" t="s">
        <v>62</v>
      </c>
      <c r="BD59" s="2">
        <v>3.3645833330000001</v>
      </c>
      <c r="BE59" s="2">
        <v>119</v>
      </c>
      <c r="BF59" s="2">
        <v>400159</v>
      </c>
      <c r="BG59" s="4">
        <f>'[1]Synthèse hebdo'!U23</f>
        <v>0.42255438225976771</v>
      </c>
      <c r="BH59" s="50">
        <v>0.48</v>
      </c>
      <c r="BI59" s="2">
        <v>115</v>
      </c>
      <c r="BJ59" s="47">
        <f>'[2]Synthèse hebdo'!$U23</f>
        <v>0.29236395646606916</v>
      </c>
      <c r="BK59" s="47" t="str">
        <f t="shared" si="0"/>
        <v xml:space="preserve"> </v>
      </c>
      <c r="BL59" s="51" t="str">
        <f>'[3]Synthèse hebdo'!F23</f>
        <v xml:space="preserve"> </v>
      </c>
    </row>
    <row r="60" spans="2:64" ht="57" customHeight="1" x14ac:dyDescent="0.35">
      <c r="B60" s="15" t="s">
        <v>77</v>
      </c>
      <c r="C60" s="14">
        <f>C59*3</f>
        <v>138240</v>
      </c>
      <c r="D60" s="14">
        <f>D59*3</f>
        <v>172800</v>
      </c>
      <c r="G60" s="91" t="s">
        <v>68</v>
      </c>
      <c r="H60" s="91"/>
      <c r="I60" s="14">
        <v>7</v>
      </c>
      <c r="L60" s="91" t="s">
        <v>78</v>
      </c>
      <c r="M60" s="91"/>
      <c r="N60" s="45">
        <f>N58-N59</f>
        <v>130000</v>
      </c>
      <c r="AW60" s="20">
        <f>N60/C58/24</f>
        <v>0.94039351851851849</v>
      </c>
      <c r="AX60" s="35">
        <f ca="1">NOW()+AW60+(AV49*D62)</f>
        <v>45055.40715914352</v>
      </c>
      <c r="AZ60" s="17">
        <v>100</v>
      </c>
      <c r="BA60" s="17">
        <v>10</v>
      </c>
      <c r="BC60" s="2" t="s">
        <v>65</v>
      </c>
      <c r="BD60" s="2">
        <v>2.5520833330000001</v>
      </c>
      <c r="BE60" s="2">
        <v>186</v>
      </c>
      <c r="BF60" s="2">
        <v>474535</v>
      </c>
      <c r="BG60" s="4">
        <f>'[1]Synthèse hebdo'!U24</f>
        <v>0.65083538798519291</v>
      </c>
      <c r="BH60" s="50">
        <v>0.48</v>
      </c>
      <c r="BI60" s="2">
        <v>115</v>
      </c>
      <c r="BJ60" s="47">
        <f>'[2]Synthèse hebdo'!$U24</f>
        <v>0.38298184965106163</v>
      </c>
      <c r="BK60" s="47" t="str">
        <f t="shared" si="0"/>
        <v xml:space="preserve"> </v>
      </c>
      <c r="BL60" s="51" t="str">
        <f>'[3]Synthèse hebdo'!F24</f>
        <v xml:space="preserve"> </v>
      </c>
    </row>
    <row r="61" spans="2:64" ht="58.5" customHeight="1" x14ac:dyDescent="0.35">
      <c r="G61" s="90" t="s">
        <v>80</v>
      </c>
      <c r="H61" s="90"/>
      <c r="I61" s="20">
        <f>I59/C58/24</f>
        <v>7.2337962962962965E-2</v>
      </c>
      <c r="J61" s="34">
        <f ca="1">NOW()+I61</f>
        <v>45054.539103587966</v>
      </c>
      <c r="L61" s="90" t="s">
        <v>80</v>
      </c>
      <c r="M61" s="90"/>
      <c r="N61" s="20">
        <f>N60/C58/24+IF(I60=AL6,SUM(AN39+AN37+AN35+AN33+AN31+AN29+AN27+AN25+AN23+AN21+AN19+AN17+AN15+AN13+AN11+AN9+AN7))+IF(I60=AL8,SUM(AN39+AN37+AN35+AN33+AN31+AN29+AN27+AN25+AN23+AN21+AN19+AN17+AN15+AN13+AN11+AN9))+IF(I60=AL10,SUM(AN39+AN37+AN35+AN33+AN31+AN29+AN27+AN25+AN23+AN21+AN19+AN17+AN15+AN13+AN11))+IF(I60=AL12,SUM(AN39+AN37+AN35+AN33+AN31+AN29+AN27+AN25+AN23+AN21+AN19+AN17+AN15+AN13))+IF(I60=AL14,SUM(AN39+AN37+AN35+AN33+AN31+AN29+AN27+AN25+AN23+AN21+AN19+AN17+AN15))+IF(I60=AL16,SUM(AN39+AN37+AN35+AN33+AN31+AN29+AN27+AN25+AN23+AN21+AN19+AN17))+IF(I60=AL18,SUM(AN39+AN37+AN35+AN33+AN31+AN29+AN27+AN25+AN23+AN21+AN19))+IF(I60=AL20,SUM(AN39+AN37+AN35+AN33+AN31+AN29+AN27+AN25+AN23+AN21))+IF(I60=AL22,SUM(AN39+AN37+AN35+AN33+AN31+AN29+AN27+AN25+AN23))+IF(I60=AL24,SUM(AN39+AN37+AN35+AN33+AN31+AN29+AN27+AN25))+IF(I60=AL26,SUM(AN39+AN37+AN35+AN33+AN31+AN29+AN27))+IF(I60=AL28,SUM(AN39+AN37+AN35+AN33+AN31+AN29))+IF(I60=AL30,SUM(AN39+AN37+AN35+AN33+AN31))+IF(I60=AL32,SUM(AN39+AN37+AN35+AN33))+IF(I60=AL34,SUM(AN39+AN37+AN35))+IF(I60=AL36,SUM(AN39+AN37))+IF(I60=AL38,SUM(AN39))</f>
        <v>1.1278935185185186</v>
      </c>
      <c r="O61" s="35">
        <f ca="1">NOW()+N61</f>
        <v>45055.59465914352</v>
      </c>
      <c r="AW61" s="20">
        <f>N60/D58/24</f>
        <v>0.75231481481481488</v>
      </c>
      <c r="AX61" s="35">
        <f ca="1">NOW()+AW61+(AV49*D62)</f>
        <v>45055.21908043982</v>
      </c>
      <c r="AZ61" s="17" t="s">
        <v>17</v>
      </c>
      <c r="BA61" s="17">
        <v>100</v>
      </c>
      <c r="BC61" s="2" t="s">
        <v>69</v>
      </c>
      <c r="BD61" s="2">
        <v>2.0520833330000001</v>
      </c>
      <c r="BE61" s="2">
        <v>98</v>
      </c>
      <c r="BF61" s="2">
        <v>201995</v>
      </c>
      <c r="BG61" s="4">
        <f>'[1]Synthèse hebdo'!U25</f>
        <v>0.34178510998307954</v>
      </c>
      <c r="BH61" s="50">
        <v>0.48</v>
      </c>
      <c r="BI61" s="2">
        <v>115</v>
      </c>
      <c r="BJ61" s="47">
        <f>'[2]Synthèse hebdo'!$U25</f>
        <v>0.28786798179059181</v>
      </c>
      <c r="BK61" s="47" t="str">
        <f t="shared" si="0"/>
        <v xml:space="preserve"> </v>
      </c>
      <c r="BL61" s="51" t="str">
        <f>'[3]Synthèse hebdo'!F25</f>
        <v xml:space="preserve"> </v>
      </c>
    </row>
    <row r="62" spans="2:64" ht="59.25" customHeight="1" x14ac:dyDescent="0.35">
      <c r="B62" s="36" t="s">
        <v>82</v>
      </c>
      <c r="C62" s="36" t="s">
        <v>23</v>
      </c>
      <c r="D62" s="36">
        <v>1</v>
      </c>
      <c r="G62" s="90" t="s">
        <v>83</v>
      </c>
      <c r="H62" s="90"/>
      <c r="I62" s="20">
        <f>I59/D58/24</f>
        <v>5.7870370370370371E-2</v>
      </c>
      <c r="J62" s="34">
        <f ca="1">NOW()+I62</f>
        <v>45054.524635995374</v>
      </c>
      <c r="L62" s="90" t="s">
        <v>83</v>
      </c>
      <c r="M62" s="90"/>
      <c r="N62" s="20" cm="1">
        <f t="array" ref="N62">N60/D58/24+IF(I60=AL6,SUM(AN39+AN37+AN35+AN33+AN31+AN29+AN27+AN25+AN23+AN21+AN19+AN17+AN15+AN13+AN11+AN9+AN7))+IF(I60=AL8,SUM(AN39+AN37+AN35+AN33+AN31+AN29+AN27+AN25+AN23+AN21+AN19+AN17+AN15+AN13+AN11+AN9))+IF(I60=AL10,SUM(AN39+AN37+AN35+AN33+AN31+AN29+AN27+AN25+AN23+AN21+AN19+AN17+AN15+AN13+AN11))+IF(I60=AL12,SUM(AN39+AN37+AN35+AN33+AN31+AN29+AN27+AN25+AN23+AN21+AN19+AN17+AN15+AN13))+IF(I60=AL14,SUM(AN39+AN37+AN35+AN33+AN31+AN29+AN27+AN25+AN23+AN21+AN19+AN17+AN15))+IF(I60=AL16,SUM(AN39+AN37+AN35+AN33+AN31+AN29+AN27+AN25+AN23+AN21+AN19+AN17))+IF(I60=AL18,SUM(AN39+AN37+AN35+AN33+AN31+AN29+AN27+AN25+AN23+AN21+AN19))+IF(I60=AL20,SUM(AN39+AN37+AN35+AN33+AN31+AN29+AN27+AN25+AN23+AN21))+IF(I60=AL22,SUM(AN39+AN37+AN35+AN33+AN31+AN29+AN27+AN25+AN23))+IF(I60=AL24,SUM(AN39+AN37+AN35+AN33+AN31+AN29+AN27+AN25))+IF(I60=AL26,SUM(AN39+AN37+AN35+AN33+AN31+AN29+AN27))+IF(I60=AL28,SUM(AN39+AN37+AN35+AN33+AN31+AN29))+IF(I60=AL30,SUM(AN39+AN37+AN35+AN33+AN31))+IF(I60=AL32,SUM(AN39+AN13:S29S53+AN35+AN33))+IF(I60=AL34,SUM(AN39+AN37+AN35))+IF(I60=AL36,SUM(AN39+AN37))+IF(I60=AL38,SUM(AN39))</f>
        <v>0.93981481481481488</v>
      </c>
      <c r="O62" s="35">
        <f ca="1">NOW()+N62</f>
        <v>45055.40658043982</v>
      </c>
      <c r="AZ62" s="5"/>
      <c r="BA62" s="5"/>
      <c r="BC62" s="2" t="s">
        <v>72</v>
      </c>
      <c r="BD62" s="2">
        <v>1.7916666670000001</v>
      </c>
      <c r="BE62" s="2">
        <v>89</v>
      </c>
      <c r="BF62" s="2">
        <v>159637</v>
      </c>
      <c r="BG62" s="4">
        <f>'[1]Synthèse hebdo'!U26</f>
        <v>0.41808897485493229</v>
      </c>
      <c r="BH62" s="50">
        <v>0.48</v>
      </c>
      <c r="BI62" s="2">
        <v>115</v>
      </c>
      <c r="BJ62" s="47" t="str">
        <f>'[2]Synthèse hebdo'!$U26</f>
        <v xml:space="preserve"> </v>
      </c>
      <c r="BK62" s="47" t="str">
        <f t="shared" si="0"/>
        <v xml:space="preserve"> </v>
      </c>
      <c r="BL62" s="51" t="str">
        <f>'[3]Synthèse hebdo'!F26</f>
        <v xml:space="preserve"> </v>
      </c>
    </row>
    <row r="63" spans="2:64" x14ac:dyDescent="0.35">
      <c r="AZ63" s="88" t="s">
        <v>40</v>
      </c>
      <c r="BA63" s="89"/>
      <c r="BC63" s="2" t="s">
        <v>76</v>
      </c>
      <c r="BD63" s="2"/>
      <c r="BE63" s="2"/>
      <c r="BF63" s="2"/>
      <c r="BG63" s="4">
        <f>'[1]Synthèse hebdo'!U27</f>
        <v>0.42964346164346162</v>
      </c>
      <c r="BH63" s="50">
        <v>0.48</v>
      </c>
      <c r="BI63" s="2"/>
      <c r="BJ63" s="47">
        <f>'[2]Synthèse hebdo'!$U27</f>
        <v>0.31285882352941174</v>
      </c>
      <c r="BK63" s="47" t="str">
        <f t="shared" si="0"/>
        <v xml:space="preserve"> </v>
      </c>
      <c r="BL63" s="51" t="str">
        <f>'[3]Synthèse hebdo'!F27</f>
        <v xml:space="preserve"> </v>
      </c>
    </row>
    <row r="64" spans="2:64" x14ac:dyDescent="0.35">
      <c r="AZ64" s="17" t="s">
        <v>43</v>
      </c>
      <c r="BA64" s="17">
        <f>D57</f>
        <v>60</v>
      </c>
      <c r="BC64" s="2" t="s">
        <v>79</v>
      </c>
      <c r="BD64" s="2"/>
      <c r="BE64" s="2"/>
      <c r="BF64" s="2"/>
      <c r="BG64" s="4">
        <f>'[1]Synthèse hebdo'!U28</f>
        <v>0.43268085106382981</v>
      </c>
      <c r="BH64" s="50">
        <v>0.48</v>
      </c>
      <c r="BI64" s="2"/>
      <c r="BJ64" s="47">
        <f>'[2]Synthèse hebdo'!$U28</f>
        <v>0.37202002832288084</v>
      </c>
      <c r="BK64" s="47" t="str">
        <f t="shared" si="0"/>
        <v xml:space="preserve"> </v>
      </c>
      <c r="BL64" s="51" t="str">
        <f>'[3]Synthèse hebdo'!F28</f>
        <v xml:space="preserve"> </v>
      </c>
    </row>
    <row r="65" spans="52:64" x14ac:dyDescent="0.35">
      <c r="AZ65" s="17" t="s">
        <v>46</v>
      </c>
      <c r="BA65" s="17">
        <v>1.5</v>
      </c>
      <c r="BC65" s="2" t="s">
        <v>81</v>
      </c>
      <c r="BD65" s="2"/>
      <c r="BE65" s="2"/>
      <c r="BF65" s="2"/>
      <c r="BG65" s="4">
        <f>'[1]Synthèse hebdo'!U29</f>
        <v>0.49886009933774833</v>
      </c>
      <c r="BH65" s="50">
        <v>0.48</v>
      </c>
      <c r="BI65" s="2"/>
      <c r="BJ65" s="47">
        <f>'[2]Synthèse hebdo'!$U29</f>
        <v>0.32484845227858983</v>
      </c>
      <c r="BK65" s="47" t="str">
        <f t="shared" si="0"/>
        <v xml:space="preserve"> </v>
      </c>
      <c r="BL65" s="51" t="str">
        <f>'[3]Synthèse hebdo'!F29</f>
        <v xml:space="preserve"> </v>
      </c>
    </row>
    <row r="66" spans="52:64" x14ac:dyDescent="0.35">
      <c r="AZ66" s="17" t="s">
        <v>49</v>
      </c>
      <c r="BA66" s="17">
        <f>SUM(BA44:BA47)-SUM(BA64:BA65)</f>
        <v>134.5</v>
      </c>
      <c r="BC66" s="2" t="s">
        <v>84</v>
      </c>
      <c r="BD66" s="2"/>
      <c r="BE66" s="2"/>
      <c r="BF66" s="2"/>
      <c r="BG66" s="4">
        <f>'[1]Synthèse hebdo'!U30</f>
        <v>0.37511943539630838</v>
      </c>
      <c r="BH66" s="50">
        <v>0.48</v>
      </c>
      <c r="BI66" s="2"/>
      <c r="BJ66" s="47">
        <f>'[2]Synthèse hebdo'!$U30</f>
        <v>0.32364864864864867</v>
      </c>
      <c r="BK66" s="47" t="str">
        <f t="shared" si="0"/>
        <v xml:space="preserve"> </v>
      </c>
      <c r="BL66" s="51" t="str">
        <f>'[3]Synthèse hebdo'!F30</f>
        <v xml:space="preserve"> </v>
      </c>
    </row>
    <row r="67" spans="52:64" x14ac:dyDescent="0.35">
      <c r="BC67" s="2" t="s">
        <v>85</v>
      </c>
      <c r="BD67" s="2"/>
      <c r="BE67" s="2"/>
      <c r="BF67" s="2"/>
      <c r="BG67" s="4">
        <f>'[1]Synthèse hebdo'!U31</f>
        <v>0.41441834370045139</v>
      </c>
      <c r="BH67" s="50">
        <v>0.48</v>
      </c>
      <c r="BI67" s="2"/>
      <c r="BJ67" s="47">
        <f>'[2]Synthèse hebdo'!$U31</f>
        <v>0.28932318894697534</v>
      </c>
      <c r="BK67" s="47" t="str">
        <f t="shared" si="0"/>
        <v xml:space="preserve"> </v>
      </c>
      <c r="BL67" s="51" t="str">
        <f>'[3]Synthèse hebdo'!F31</f>
        <v xml:space="preserve"> </v>
      </c>
    </row>
    <row r="68" spans="52:64" x14ac:dyDescent="0.35">
      <c r="BC68" s="2" t="s">
        <v>86</v>
      </c>
      <c r="BD68" s="2"/>
      <c r="BE68" s="2"/>
      <c r="BF68" s="2"/>
      <c r="BG68" s="4">
        <f>'[1]Synthèse hebdo'!U32</f>
        <v>0.3164770562770563</v>
      </c>
      <c r="BH68" s="50">
        <v>0.48</v>
      </c>
      <c r="BI68" s="2"/>
      <c r="BJ68" s="47">
        <f>'[2]Synthèse hebdo'!$U32</f>
        <v>0.34130454408666866</v>
      </c>
      <c r="BK68" s="47" t="str">
        <f t="shared" si="0"/>
        <v xml:space="preserve"> </v>
      </c>
      <c r="BL68" s="51" t="str">
        <f>'[3]Synthèse hebdo'!F32</f>
        <v xml:space="preserve"> </v>
      </c>
    </row>
    <row r="69" spans="52:64" x14ac:dyDescent="0.35">
      <c r="BC69" s="2" t="s">
        <v>87</v>
      </c>
      <c r="BD69" s="2"/>
      <c r="BE69" s="2"/>
      <c r="BF69" s="2"/>
      <c r="BG69" s="4">
        <f>'[1]Synthèse hebdo'!U33</f>
        <v>0.39435367913148373</v>
      </c>
      <c r="BH69" s="50">
        <v>0.48</v>
      </c>
      <c r="BI69" s="2"/>
      <c r="BJ69" s="47">
        <f>'[2]Synthèse hebdo'!$U33</f>
        <v>0.33227416173570018</v>
      </c>
      <c r="BK69" s="47" t="str">
        <f t="shared" si="0"/>
        <v xml:space="preserve"> </v>
      </c>
      <c r="BL69" s="51" t="str">
        <f>'[3]Synthèse hebdo'!F33</f>
        <v xml:space="preserve"> </v>
      </c>
    </row>
    <row r="70" spans="52:64" x14ac:dyDescent="0.35">
      <c r="BC70" s="2" t="s">
        <v>88</v>
      </c>
      <c r="BD70" s="2"/>
      <c r="BE70" s="2"/>
      <c r="BF70" s="2"/>
      <c r="BG70" s="4">
        <f>'[1]Synthèse hebdo'!U34</f>
        <v>0.15757863887984369</v>
      </c>
      <c r="BH70" s="50">
        <v>0.48</v>
      </c>
      <c r="BI70" s="2"/>
      <c r="BJ70" s="47">
        <f>'[2]Synthèse hebdo'!$U34</f>
        <v>0.25444250237951027</v>
      </c>
      <c r="BK70" s="47" t="str">
        <f t="shared" si="0"/>
        <v xml:space="preserve"> </v>
      </c>
      <c r="BL70" s="51" t="str">
        <f>'[3]Synthèse hebdo'!F34</f>
        <v xml:space="preserve"> </v>
      </c>
    </row>
    <row r="71" spans="52:64" x14ac:dyDescent="0.35">
      <c r="BC71" s="2" t="s">
        <v>89</v>
      </c>
      <c r="BD71" s="2"/>
      <c r="BE71" s="2"/>
      <c r="BF71" s="2"/>
      <c r="BG71" s="4">
        <f>'[1]Synthèse hebdo'!U35</f>
        <v>0.40094033722438399</v>
      </c>
      <c r="BH71" s="50">
        <v>0.48</v>
      </c>
      <c r="BI71" s="2"/>
      <c r="BJ71" s="47">
        <f>'[2]Synthèse hebdo'!$U35</f>
        <v>0.37752638577245906</v>
      </c>
      <c r="BK71" s="47" t="str">
        <f t="shared" si="0"/>
        <v xml:space="preserve"> </v>
      </c>
      <c r="BL71" s="51" t="str">
        <f>'[3]Synthèse hebdo'!F35</f>
        <v xml:space="preserve"> </v>
      </c>
    </row>
    <row r="72" spans="52:64" x14ac:dyDescent="0.35">
      <c r="BC72" s="2" t="s">
        <v>90</v>
      </c>
      <c r="BD72" s="2"/>
      <c r="BE72" s="2"/>
      <c r="BF72" s="2"/>
      <c r="BG72" s="4">
        <f>'[1]Synthèse hebdo'!U36</f>
        <v>0.43438355559480701</v>
      </c>
      <c r="BH72" s="50">
        <v>0.48</v>
      </c>
      <c r="BI72" s="2"/>
      <c r="BJ72" s="47">
        <f>'[2]Synthèse hebdo'!$U36</f>
        <v>0.51236003303055311</v>
      </c>
      <c r="BK72" s="47" t="str">
        <f t="shared" si="0"/>
        <v xml:space="preserve"> </v>
      </c>
      <c r="BL72" s="51" t="str">
        <f>'[3]Synthèse hebdo'!F36</f>
        <v xml:space="preserve"> </v>
      </c>
    </row>
    <row r="73" spans="52:64" x14ac:dyDescent="0.35">
      <c r="BC73" s="2" t="s">
        <v>91</v>
      </c>
      <c r="BD73" s="2"/>
      <c r="BE73" s="2"/>
      <c r="BF73" s="2"/>
      <c r="BG73" s="4">
        <f>'[1]Synthèse hebdo'!U37</f>
        <v>0.35352468589630154</v>
      </c>
      <c r="BH73" s="50">
        <v>0.48</v>
      </c>
      <c r="BI73" s="2"/>
      <c r="BJ73" s="47">
        <f>'[2]Synthèse hebdo'!$U37</f>
        <v>0.34565754633715801</v>
      </c>
      <c r="BK73" s="47" t="str">
        <f t="shared" si="0"/>
        <v xml:space="preserve"> </v>
      </c>
      <c r="BL73" s="51" t="str">
        <f>'[3]Synthèse hebdo'!F37</f>
        <v xml:space="preserve"> </v>
      </c>
    </row>
    <row r="74" spans="52:64" x14ac:dyDescent="0.35">
      <c r="BC74" s="2" t="s">
        <v>92</v>
      </c>
      <c r="BD74" s="2"/>
      <c r="BE74" s="2"/>
      <c r="BF74" s="2"/>
      <c r="BG74" s="4">
        <f>'[1]Synthèse hebdo'!U38</f>
        <v>0.4491191852938638</v>
      </c>
      <c r="BH74" s="50">
        <v>0.48</v>
      </c>
      <c r="BI74" s="2"/>
      <c r="BJ74" s="47">
        <f>'[2]Synthèse hebdo'!$U38</f>
        <v>0.33049246231155777</v>
      </c>
      <c r="BK74" s="47" t="str">
        <f t="shared" si="0"/>
        <v xml:space="preserve"> </v>
      </c>
      <c r="BL74" s="51" t="str">
        <f>'[3]Synthèse hebdo'!F38</f>
        <v xml:space="preserve"> </v>
      </c>
    </row>
    <row r="75" spans="52:64" x14ac:dyDescent="0.35">
      <c r="BC75" s="2" t="s">
        <v>93</v>
      </c>
      <c r="BD75" s="2"/>
      <c r="BE75" s="2"/>
      <c r="BF75" s="2"/>
      <c r="BG75" s="4">
        <f>'[1]Synthèse hebdo'!U39</f>
        <v>0.35482699993098821</v>
      </c>
      <c r="BH75" s="50">
        <v>0.48</v>
      </c>
      <c r="BI75" s="2"/>
      <c r="BJ75" s="47">
        <f>'[2]Synthèse hebdo'!$U39</f>
        <v>0.31007344649534097</v>
      </c>
      <c r="BK75" s="47" t="str">
        <f t="shared" si="0"/>
        <v xml:space="preserve"> </v>
      </c>
      <c r="BL75" s="51" t="str">
        <f>'[3]Synthèse hebdo'!F39</f>
        <v xml:space="preserve"> </v>
      </c>
    </row>
    <row r="76" spans="52:64" x14ac:dyDescent="0.35">
      <c r="BC76" s="2" t="s">
        <v>94</v>
      </c>
      <c r="BD76" s="2"/>
      <c r="BE76" s="2"/>
      <c r="BF76" s="2"/>
      <c r="BG76" s="4" t="str">
        <f>'[1]Synthèse hebdo'!U40</f>
        <v xml:space="preserve"> </v>
      </c>
      <c r="BH76" s="50">
        <v>0.48</v>
      </c>
      <c r="BI76" s="2"/>
      <c r="BJ76" s="47">
        <f>'[2]Synthèse hebdo'!$U40</f>
        <v>0.25960992907801417</v>
      </c>
      <c r="BK76" s="47" t="str">
        <f t="shared" si="0"/>
        <v xml:space="preserve"> </v>
      </c>
      <c r="BL76" s="51" t="str">
        <f>'[3]Synthèse hebdo'!F40</f>
        <v xml:space="preserve"> </v>
      </c>
    </row>
    <row r="77" spans="52:64" x14ac:dyDescent="0.35">
      <c r="BC77" s="2" t="s">
        <v>95</v>
      </c>
      <c r="BD77" s="2"/>
      <c r="BE77" s="2"/>
      <c r="BF77" s="2"/>
      <c r="BG77" s="4">
        <f>'[1]Synthèse hebdo'!U41</f>
        <v>0.468829436565734</v>
      </c>
      <c r="BH77" s="50">
        <v>0.48</v>
      </c>
      <c r="BI77" s="2"/>
      <c r="BJ77" s="47">
        <f>'[2]Synthèse hebdo'!$U41</f>
        <v>0.39846471139681267</v>
      </c>
      <c r="BK77" s="47" t="str">
        <f t="shared" si="0"/>
        <v xml:space="preserve"> </v>
      </c>
      <c r="BL77" s="51" t="str">
        <f>'[3]Synthèse hebdo'!F41</f>
        <v xml:space="preserve"> </v>
      </c>
    </row>
    <row r="78" spans="52:64" x14ac:dyDescent="0.35">
      <c r="BC78" s="2" t="s">
        <v>96</v>
      </c>
      <c r="BD78" s="2"/>
      <c r="BE78" s="2"/>
      <c r="BF78" s="2"/>
      <c r="BG78" s="4">
        <f>'[1]Synthèse hebdo'!U42</f>
        <v>0.44655179603829021</v>
      </c>
      <c r="BH78" s="50">
        <v>0.48</v>
      </c>
      <c r="BI78" s="2"/>
      <c r="BJ78" s="47" t="str">
        <f>'[2]Synthèse hebdo'!$U42</f>
        <v xml:space="preserve"> </v>
      </c>
      <c r="BK78" s="47" t="str">
        <f t="shared" si="0"/>
        <v xml:space="preserve"> </v>
      </c>
      <c r="BL78" s="51" t="str">
        <f>'[3]Synthèse hebdo'!F42</f>
        <v xml:space="preserve"> </v>
      </c>
    </row>
    <row r="79" spans="52:64" x14ac:dyDescent="0.35">
      <c r="BC79" s="2" t="s">
        <v>97</v>
      </c>
      <c r="BD79" s="2"/>
      <c r="BE79" s="2"/>
      <c r="BF79" s="2"/>
      <c r="BG79" s="4">
        <f>'[1]Synthèse hebdo'!U43</f>
        <v>0.39591224018475757</v>
      </c>
      <c r="BH79" s="50">
        <v>0.48</v>
      </c>
      <c r="BI79" s="2"/>
      <c r="BJ79" s="47">
        <f>'[2]Synthèse hebdo'!$U43</f>
        <v>0.37131772865192891</v>
      </c>
      <c r="BK79" s="47" t="str">
        <f t="shared" si="0"/>
        <v xml:space="preserve"> </v>
      </c>
      <c r="BL79" s="51" t="str">
        <f>'[3]Synthèse hebdo'!F43</f>
        <v xml:space="preserve"> </v>
      </c>
    </row>
    <row r="80" spans="52:64" x14ac:dyDescent="0.35">
      <c r="BC80" s="2" t="s">
        <v>98</v>
      </c>
      <c r="BD80" s="2"/>
      <c r="BE80" s="2"/>
      <c r="BF80" s="2"/>
      <c r="BG80" s="4">
        <f>'[1]Synthèse hebdo'!U44</f>
        <v>0.41980611251703331</v>
      </c>
      <c r="BH80" s="50">
        <v>0.48</v>
      </c>
      <c r="BI80" s="2"/>
      <c r="BJ80" s="47">
        <f>'[2]Synthèse hebdo'!$U44</f>
        <v>0.38999911371089241</v>
      </c>
      <c r="BK80" s="47" t="str">
        <f t="shared" si="0"/>
        <v xml:space="preserve"> </v>
      </c>
      <c r="BL80" s="51" t="str">
        <f>'[3]Synthèse hebdo'!F44</f>
        <v xml:space="preserve"> </v>
      </c>
    </row>
    <row r="81" spans="55:64" x14ac:dyDescent="0.35">
      <c r="BC81" s="2" t="s">
        <v>99</v>
      </c>
      <c r="BD81" s="2"/>
      <c r="BE81" s="2"/>
      <c r="BF81" s="2"/>
      <c r="BG81" s="4">
        <f>'[1]Synthèse hebdo'!U45</f>
        <v>0.5277116409537167</v>
      </c>
      <c r="BH81" s="50">
        <v>0.48</v>
      </c>
      <c r="BI81" s="2"/>
      <c r="BJ81" s="47">
        <f>'[2]Synthèse hebdo'!$U45</f>
        <v>0.48238095238095235</v>
      </c>
      <c r="BK81" s="47" t="str">
        <f t="shared" si="0"/>
        <v xml:space="preserve"> </v>
      </c>
      <c r="BL81" s="51" t="str">
        <f>'[3]Synthèse hebdo'!F45</f>
        <v xml:space="preserve"> </v>
      </c>
    </row>
    <row r="82" spans="55:64" x14ac:dyDescent="0.35">
      <c r="BC82" s="2" t="s">
        <v>100</v>
      </c>
      <c r="BD82" s="2"/>
      <c r="BE82" s="2"/>
      <c r="BF82" s="2"/>
      <c r="BG82" s="4">
        <f>'[1]Synthèse hebdo'!U46</f>
        <v>0.53428161236885707</v>
      </c>
      <c r="BH82" s="50">
        <v>0.48</v>
      </c>
      <c r="BI82" s="2"/>
      <c r="BJ82" s="47">
        <f>'[2]Synthèse hebdo'!$U46</f>
        <v>0.3526884176182708</v>
      </c>
      <c r="BK82" s="47" t="str">
        <f t="shared" si="0"/>
        <v xml:space="preserve"> </v>
      </c>
      <c r="BL82" s="51" t="str">
        <f>'[3]Synthèse hebdo'!F46</f>
        <v xml:space="preserve"> </v>
      </c>
    </row>
    <row r="83" spans="55:64" x14ac:dyDescent="0.35">
      <c r="BC83" s="2" t="s">
        <v>101</v>
      </c>
      <c r="BD83" s="2"/>
      <c r="BE83" s="2"/>
      <c r="BF83" s="2"/>
      <c r="BG83" s="4">
        <f>'[1]Synthèse hebdo'!U47</f>
        <v>0.48035423273969258</v>
      </c>
      <c r="BH83" s="50">
        <v>0.48</v>
      </c>
      <c r="BI83" s="2"/>
      <c r="BJ83" s="47">
        <f>'[2]Synthèse hebdo'!$U47</f>
        <v>0.3774451686030037</v>
      </c>
      <c r="BK83" s="47" t="str">
        <f t="shared" si="0"/>
        <v xml:space="preserve"> </v>
      </c>
      <c r="BL83" s="51" t="str">
        <f>'[3]Synthèse hebdo'!F47</f>
        <v xml:space="preserve"> </v>
      </c>
    </row>
    <row r="84" spans="55:64" x14ac:dyDescent="0.35">
      <c r="BC84" s="2" t="s">
        <v>102</v>
      </c>
      <c r="BD84" s="2"/>
      <c r="BE84" s="2"/>
      <c r="BF84" s="2"/>
      <c r="BG84" s="4">
        <f>'[1]Synthèse hebdo'!U48</f>
        <v>0.44018086094766179</v>
      </c>
      <c r="BH84" s="50">
        <v>0.48</v>
      </c>
      <c r="BI84" s="2"/>
      <c r="BJ84" s="47">
        <f>'[2]Synthèse hebdo'!$U48</f>
        <v>0.44452769980794804</v>
      </c>
      <c r="BK84" s="47" t="str">
        <f t="shared" si="0"/>
        <v xml:space="preserve"> </v>
      </c>
      <c r="BL84" s="51" t="str">
        <f>'[3]Synthèse hebdo'!F48</f>
        <v xml:space="preserve"> </v>
      </c>
    </row>
    <row r="85" spans="55:64" x14ac:dyDescent="0.35">
      <c r="BC85" s="2" t="s">
        <v>103</v>
      </c>
      <c r="BD85" s="2"/>
      <c r="BE85" s="2"/>
      <c r="BF85" s="2"/>
      <c r="BG85" s="4">
        <f>'[1]Synthèse hebdo'!U49</f>
        <v>0.38494628403237674</v>
      </c>
      <c r="BH85" s="50">
        <v>0.48</v>
      </c>
      <c r="BI85" s="2"/>
      <c r="BJ85" s="47">
        <f>'[2]Synthèse hebdo'!$U49</f>
        <v>0.45739368316339218</v>
      </c>
      <c r="BK85" s="47" t="str">
        <f t="shared" si="0"/>
        <v xml:space="preserve"> </v>
      </c>
      <c r="BL85" s="51" t="str">
        <f>'[3]Synthèse hebdo'!F49</f>
        <v xml:space="preserve"> </v>
      </c>
    </row>
    <row r="86" spans="55:64" x14ac:dyDescent="0.35">
      <c r="BC86" s="2" t="s">
        <v>104</v>
      </c>
      <c r="BD86" s="2"/>
      <c r="BE86" s="2"/>
      <c r="BF86" s="2"/>
      <c r="BG86" s="4">
        <f>'[1]Synthèse hebdo'!U50</f>
        <v>0.40109523809523812</v>
      </c>
      <c r="BH86" s="50">
        <v>0.48</v>
      </c>
      <c r="BI86" s="2"/>
      <c r="BJ86" s="47">
        <f>'[2]Synthèse hebdo'!$U50</f>
        <v>0.41578197765479796</v>
      </c>
      <c r="BK86" s="47" t="str">
        <f t="shared" si="0"/>
        <v xml:space="preserve"> </v>
      </c>
      <c r="BL86" s="51" t="str">
        <f>'[3]Synthèse hebdo'!F50</f>
        <v xml:space="preserve"> </v>
      </c>
    </row>
    <row r="87" spans="55:64" x14ac:dyDescent="0.35">
      <c r="BC87" s="2" t="s">
        <v>105</v>
      </c>
      <c r="BD87" s="2"/>
      <c r="BE87" s="2"/>
      <c r="BF87" s="2"/>
      <c r="BG87" s="4">
        <f>'[1]Synthèse hebdo'!U51</f>
        <v>0.35932674050632912</v>
      </c>
      <c r="BH87" s="50">
        <v>0.48</v>
      </c>
      <c r="BI87" s="2"/>
      <c r="BJ87" s="47">
        <f>'[2]Synthèse hebdo'!$U51</f>
        <v>0.35848110951697743</v>
      </c>
      <c r="BK87" s="47" t="str">
        <f t="shared" si="0"/>
        <v xml:space="preserve"> </v>
      </c>
      <c r="BL87" s="51" t="str">
        <f>'[3]Synthèse hebdo'!F51</f>
        <v xml:space="preserve"> </v>
      </c>
    </row>
    <row r="88" spans="55:64" x14ac:dyDescent="0.35">
      <c r="BC88" s="2" t="s">
        <v>106</v>
      </c>
      <c r="BD88" s="2"/>
      <c r="BE88" s="2"/>
      <c r="BF88" s="2"/>
      <c r="BG88" s="4">
        <f>'[1]Synthèse hebdo'!U52</f>
        <v>0.42328346758726515</v>
      </c>
      <c r="BH88" s="50">
        <v>0.48</v>
      </c>
      <c r="BI88" s="2"/>
      <c r="BJ88" s="47">
        <f>'[2]Synthèse hebdo'!$U52</f>
        <v>0.22956864678333744</v>
      </c>
      <c r="BK88" s="47" t="str">
        <f t="shared" si="0"/>
        <v xml:space="preserve"> </v>
      </c>
      <c r="BL88" s="51" t="str">
        <f>'[3]Synthèse hebdo'!F52</f>
        <v xml:space="preserve"> </v>
      </c>
    </row>
    <row r="89" spans="55:64" x14ac:dyDescent="0.35">
      <c r="BC89" s="2" t="s">
        <v>107</v>
      </c>
      <c r="BD89" s="2"/>
      <c r="BE89" s="2"/>
      <c r="BF89" s="2"/>
      <c r="BG89" s="4">
        <f>'[1]Synthèse hebdo'!U53</f>
        <v>0.43087744621790425</v>
      </c>
      <c r="BH89" s="50">
        <v>0.48</v>
      </c>
      <c r="BI89" s="2"/>
      <c r="BJ89" s="47">
        <f>'[2]Synthèse hebdo'!$U53</f>
        <v>0.47973366063209572</v>
      </c>
      <c r="BK89" s="47" t="str">
        <f t="shared" si="0"/>
        <v xml:space="preserve"> </v>
      </c>
      <c r="BL89" s="51" t="str">
        <f>'[3]Synthèse hebdo'!F53</f>
        <v xml:space="preserve"> </v>
      </c>
    </row>
    <row r="90" spans="55:64" x14ac:dyDescent="0.35">
      <c r="BC90" s="2" t="s">
        <v>108</v>
      </c>
      <c r="BD90" s="2"/>
      <c r="BE90" s="2"/>
      <c r="BF90" s="2"/>
      <c r="BG90" s="4">
        <f>'[1]Synthèse hebdo'!U54</f>
        <v>0.13552179034157832</v>
      </c>
      <c r="BH90" s="50">
        <v>0.48</v>
      </c>
      <c r="BI90" s="2"/>
      <c r="BJ90" s="47">
        <f>'[2]Synthèse hebdo'!$U54</f>
        <v>0.36946748591909884</v>
      </c>
      <c r="BK90" s="47" t="str">
        <f t="shared" si="0"/>
        <v xml:space="preserve"> </v>
      </c>
      <c r="BL90" s="51" t="str">
        <f>'[3]Synthèse hebdo'!F54</f>
        <v xml:space="preserve"> </v>
      </c>
    </row>
    <row r="91" spans="55:64" x14ac:dyDescent="0.35">
      <c r="BC91" s="2" t="s">
        <v>109</v>
      </c>
      <c r="BD91" s="2"/>
      <c r="BE91" s="2"/>
      <c r="BF91" s="2"/>
      <c r="BG91" s="4">
        <f>'[1]Synthèse hebdo'!U55</f>
        <v>0.38217918512914728</v>
      </c>
      <c r="BH91" s="50">
        <v>0.48</v>
      </c>
      <c r="BI91" s="2"/>
      <c r="BJ91" s="47">
        <f>'[2]Synthèse hebdo'!$U55</f>
        <v>0.40507070352547819</v>
      </c>
      <c r="BK91" s="47" t="str">
        <f t="shared" si="0"/>
        <v xml:space="preserve"> </v>
      </c>
      <c r="BL91" s="51" t="str">
        <f>'[3]Synthèse hebdo'!F55</f>
        <v xml:space="preserve"> </v>
      </c>
    </row>
    <row r="92" spans="55:64" x14ac:dyDescent="0.35">
      <c r="BC92" s="2" t="s">
        <v>110</v>
      </c>
      <c r="BD92" s="2"/>
      <c r="BE92" s="2"/>
      <c r="BF92" s="2"/>
      <c r="BG92" s="4" t="str">
        <f>'[1]Synthèse hebdo'!U56</f>
        <v xml:space="preserve"> </v>
      </c>
      <c r="BH92" s="50">
        <v>0.48</v>
      </c>
      <c r="BI92" s="2"/>
      <c r="BJ92" s="47" t="str">
        <f>'[2]Synthèse hebdo'!$U56</f>
        <v xml:space="preserve"> </v>
      </c>
      <c r="BK92" s="47" t="str">
        <f t="shared" si="0"/>
        <v xml:space="preserve"> </v>
      </c>
      <c r="BL92" s="51" t="str">
        <f>'[3]Synthèse hebdo'!F56</f>
        <v xml:space="preserve"> </v>
      </c>
    </row>
    <row r="94" spans="55:64" x14ac:dyDescent="0.35">
      <c r="BG94" s="47">
        <f>IF(SUM(BG37:BG92)=0,0,AVERAGEIFS(BG37:BG92,BG37:BG92,"&gt;0"))</f>
        <v>0.41620147188769174</v>
      </c>
      <c r="BJ94" s="47">
        <f>IF(SUM(BJ37:BJ92)=0,0,AVERAGEIFS(BJ37:BJ92,BJ37:BJ92,"&gt;0"))</f>
        <v>0.37573268305292085</v>
      </c>
      <c r="BK94" s="47">
        <f>AVERAGE(BL41:BL92)</f>
        <v>0.52294649886622546</v>
      </c>
    </row>
  </sheetData>
  <mergeCells count="46">
    <mergeCell ref="BA13:BF13"/>
    <mergeCell ref="BA1:BI1"/>
    <mergeCell ref="B2:D5"/>
    <mergeCell ref="BA6:BF6"/>
    <mergeCell ref="N3:O6"/>
    <mergeCell ref="BA9:BC9"/>
    <mergeCell ref="N10:N11"/>
    <mergeCell ref="N12:N13"/>
    <mergeCell ref="O10:O11"/>
    <mergeCell ref="O12:O13"/>
    <mergeCell ref="M10:M11"/>
    <mergeCell ref="N8:N9"/>
    <mergeCell ref="O8:O9"/>
    <mergeCell ref="M12:M13"/>
    <mergeCell ref="M8:M9"/>
    <mergeCell ref="G14:H15"/>
    <mergeCell ref="B10:B11"/>
    <mergeCell ref="C10:C11"/>
    <mergeCell ref="B12:B13"/>
    <mergeCell ref="C12:C13"/>
    <mergeCell ref="AZ42:BA42"/>
    <mergeCell ref="AZ49:BA49"/>
    <mergeCell ref="B27:E29"/>
    <mergeCell ref="G27:J29"/>
    <mergeCell ref="L27:O29"/>
    <mergeCell ref="BD14:BE14"/>
    <mergeCell ref="BG19:BH19"/>
    <mergeCell ref="BG21:BH21"/>
    <mergeCell ref="BA23:BB23"/>
    <mergeCell ref="AZ40:BA40"/>
    <mergeCell ref="BG28:BH28"/>
    <mergeCell ref="AZ63:BA63"/>
    <mergeCell ref="G61:H61"/>
    <mergeCell ref="L61:M61"/>
    <mergeCell ref="G56:H56"/>
    <mergeCell ref="L56:M56"/>
    <mergeCell ref="G57:H57"/>
    <mergeCell ref="L57:M57"/>
    <mergeCell ref="G62:H62"/>
    <mergeCell ref="L62:M62"/>
    <mergeCell ref="G58:H58"/>
    <mergeCell ref="L58:M58"/>
    <mergeCell ref="G59:H59"/>
    <mergeCell ref="L59:M59"/>
    <mergeCell ref="G60:H60"/>
    <mergeCell ref="L60:M60"/>
  </mergeCells>
  <phoneticPr fontId="13" type="noConversion"/>
  <conditionalFormatting sqref="BB7">
    <cfRule type="expression" dxfId="35" priority="26">
      <formula>$BB$7&lt;$BB$4</formula>
    </cfRule>
    <cfRule type="expression" dxfId="34" priority="27">
      <formula>$BB$7&gt;=$BB$4</formula>
    </cfRule>
  </conditionalFormatting>
  <conditionalFormatting sqref="M10">
    <cfRule type="cellIs" dxfId="33" priority="3" operator="lessThan">
      <formula>0</formula>
    </cfRule>
    <cfRule type="cellIs" dxfId="32" priority="4" operator="lessThan">
      <formula>0</formula>
    </cfRule>
    <cfRule type="cellIs" dxfId="31" priority="5" operator="greaterThan">
      <formula>0</formula>
    </cfRule>
  </conditionalFormatting>
  <conditionalFormatting sqref="M8:M9">
    <cfRule type="cellIs" dxfId="30" priority="1" operator="lessThan">
      <formula>0</formula>
    </cfRule>
    <cfRule type="cellIs" dxfId="29" priority="2" operator="greaterThan">
      <formula>0</formula>
    </cfRule>
  </conditionalFormatting>
  <dataValidations disablePrompts="1" count="2">
    <dataValidation type="list" allowBlank="1" showInputMessage="1" showErrorMessage="1" sqref="D62" xr:uid="{0D0BF054-ABB0-4D1D-97AB-061343197787}">
      <formula1>$AV$54:$AV$56</formula1>
    </dataValidation>
    <dataValidation type="list" allowBlank="1" showInputMessage="1" showErrorMessage="1" sqref="C62" xr:uid="{60E5134E-1527-412A-AF35-F6A62E29F3F6}">
      <formula1>$AV$51:$AV$52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19C748-5083-44A6-ACE0-E53C825987D1}">
  <sheetPr codeName="Feuil8">
    <tabColor theme="9" tint="0.59999389629810485"/>
  </sheetPr>
  <dimension ref="B1:AI42"/>
  <sheetViews>
    <sheetView zoomScaleNormal="100" workbookViewId="0">
      <selection activeCell="I10" sqref="I10"/>
    </sheetView>
  </sheetViews>
  <sheetFormatPr defaultColWidth="11.453125" defaultRowHeight="14.5" x14ac:dyDescent="0.35"/>
  <cols>
    <col min="1" max="1" width="1.453125" customWidth="1"/>
    <col min="2" max="2" width="3.54296875" style="46" customWidth="1"/>
    <col min="3" max="3" width="1.453125" customWidth="1"/>
    <col min="4" max="4" width="9" bestFit="1" customWidth="1"/>
    <col min="5" max="5" width="8.1796875" bestFit="1" customWidth="1"/>
    <col min="6" max="6" width="35.54296875" bestFit="1" customWidth="1"/>
    <col min="7" max="7" width="8.7265625" bestFit="1" customWidth="1"/>
    <col min="8" max="8" width="12" bestFit="1" customWidth="1"/>
    <col min="9" max="9" width="23" bestFit="1" customWidth="1"/>
    <col min="10" max="11" width="19.54296875" bestFit="1" customWidth="1"/>
    <col min="13" max="13" width="8.453125" bestFit="1" customWidth="1"/>
    <col min="14" max="14" width="8.54296875" bestFit="1" customWidth="1"/>
    <col min="15" max="15" width="8" bestFit="1" customWidth="1"/>
    <col min="16" max="16" width="10.7265625" bestFit="1" customWidth="1"/>
    <col min="17" max="17" width="13.1796875" customWidth="1"/>
    <col min="18" max="18" width="3.1796875" customWidth="1"/>
    <col min="19" max="19" width="2.54296875" customWidth="1"/>
    <col min="20" max="20" width="54.81640625" customWidth="1"/>
  </cols>
  <sheetData>
    <row r="1" spans="2:20" ht="7.5" customHeight="1" thickBot="1" x14ac:dyDescent="0.4"/>
    <row r="2" spans="2:20" ht="15" thickBot="1" x14ac:dyDescent="0.4">
      <c r="D2" s="62" t="s">
        <v>34</v>
      </c>
      <c r="E2" s="63" t="s">
        <v>111</v>
      </c>
      <c r="F2" s="63" t="s">
        <v>112</v>
      </c>
      <c r="G2" s="63" t="s">
        <v>113</v>
      </c>
      <c r="H2" s="63" t="s">
        <v>114</v>
      </c>
      <c r="I2" s="63" t="s">
        <v>115</v>
      </c>
      <c r="J2" s="63" t="s">
        <v>116</v>
      </c>
      <c r="K2" s="63" t="s">
        <v>117</v>
      </c>
      <c r="L2" s="63" t="s">
        <v>118</v>
      </c>
      <c r="M2" s="63" t="s">
        <v>119</v>
      </c>
      <c r="N2" s="63" t="s">
        <v>120</v>
      </c>
      <c r="O2" s="63" t="s">
        <v>121</v>
      </c>
      <c r="P2" s="64" t="s">
        <v>122</v>
      </c>
      <c r="Q2" s="28" t="s">
        <v>123</v>
      </c>
      <c r="T2" s="60"/>
    </row>
    <row r="3" spans="2:20" x14ac:dyDescent="0.35">
      <c r="D3" s="54" t="s">
        <v>132</v>
      </c>
      <c r="E3" s="55"/>
      <c r="F3" s="55" t="s">
        <v>128</v>
      </c>
      <c r="G3" s="55">
        <v>1350645</v>
      </c>
      <c r="H3" s="55"/>
      <c r="I3" s="55"/>
      <c r="J3" s="56">
        <v>44914.208425925928</v>
      </c>
      <c r="K3" s="56">
        <v>44914.416759259257</v>
      </c>
      <c r="L3" s="57">
        <v>0.20833333333333334</v>
      </c>
      <c r="M3" s="55"/>
      <c r="N3" s="55"/>
      <c r="O3" s="55"/>
      <c r="P3" s="58"/>
      <c r="Q3" s="59"/>
      <c r="R3" s="26"/>
    </row>
    <row r="4" spans="2:20" x14ac:dyDescent="0.35">
      <c r="B4" s="75">
        <v>1</v>
      </c>
      <c r="C4" s="74"/>
      <c r="D4" s="76" t="s">
        <v>132</v>
      </c>
      <c r="E4" s="70">
        <v>304682</v>
      </c>
      <c r="F4" s="70" t="s">
        <v>134</v>
      </c>
      <c r="G4" s="70">
        <v>1411790</v>
      </c>
      <c r="H4" s="70">
        <v>160594</v>
      </c>
      <c r="I4" s="70" t="s">
        <v>130</v>
      </c>
      <c r="J4" s="77">
        <v>44914.416759259257</v>
      </c>
      <c r="K4" s="77">
        <v>44915.016759259262</v>
      </c>
      <c r="L4" s="78">
        <v>0.6</v>
      </c>
      <c r="M4" s="69">
        <v>96000</v>
      </c>
      <c r="N4" s="70">
        <v>128</v>
      </c>
      <c r="O4" s="70">
        <v>202307</v>
      </c>
      <c r="P4" s="71">
        <v>96000</v>
      </c>
      <c r="Q4" s="72">
        <v>6666.6666670000004</v>
      </c>
      <c r="R4" s="73"/>
      <c r="T4" s="61"/>
    </row>
    <row r="5" spans="2:20" x14ac:dyDescent="0.35">
      <c r="D5" s="54" t="s">
        <v>133</v>
      </c>
      <c r="E5" s="55"/>
      <c r="F5" s="55" t="s">
        <v>135</v>
      </c>
      <c r="G5" s="55">
        <v>1386327</v>
      </c>
      <c r="H5" s="55"/>
      <c r="I5" s="55"/>
      <c r="J5" s="56">
        <v>44915.016759259262</v>
      </c>
      <c r="K5" s="56">
        <v>44915.079259259262</v>
      </c>
      <c r="L5" s="57">
        <v>6.25E-2</v>
      </c>
      <c r="M5" s="55"/>
      <c r="N5" s="55"/>
      <c r="O5" s="55"/>
      <c r="P5" s="58"/>
      <c r="Q5" s="59"/>
      <c r="R5" s="26"/>
      <c r="T5" s="61"/>
    </row>
    <row r="6" spans="2:20" x14ac:dyDescent="0.35">
      <c r="B6" s="75">
        <v>2</v>
      </c>
      <c r="C6" s="74"/>
      <c r="D6" s="76" t="s">
        <v>133</v>
      </c>
      <c r="E6" s="70">
        <v>306018</v>
      </c>
      <c r="F6" s="70" t="s">
        <v>136</v>
      </c>
      <c r="G6" s="70">
        <v>1411797</v>
      </c>
      <c r="H6" s="70">
        <v>160637</v>
      </c>
      <c r="I6" s="70" t="s">
        <v>137</v>
      </c>
      <c r="J6" s="77">
        <v>44915.079259259262</v>
      </c>
      <c r="K6" s="77">
        <v>44915.379259259258</v>
      </c>
      <c r="L6" s="78">
        <v>0.3</v>
      </c>
      <c r="M6" s="69">
        <v>48000</v>
      </c>
      <c r="N6" s="70">
        <v>71</v>
      </c>
      <c r="O6" s="70">
        <v>202759</v>
      </c>
      <c r="P6" s="71">
        <v>48000</v>
      </c>
      <c r="Q6" s="72">
        <v>6666.6666670000004</v>
      </c>
      <c r="R6" s="73"/>
      <c r="T6" s="61"/>
    </row>
    <row r="7" spans="2:20" x14ac:dyDescent="0.35">
      <c r="D7" s="54" t="s">
        <v>133</v>
      </c>
      <c r="E7" s="55"/>
      <c r="F7" s="55" t="s">
        <v>126</v>
      </c>
      <c r="G7" s="55">
        <v>1375959</v>
      </c>
      <c r="H7" s="55"/>
      <c r="I7" s="55"/>
      <c r="J7" s="56">
        <v>44915.379259259258</v>
      </c>
      <c r="K7" s="56">
        <v>44915.420925925922</v>
      </c>
      <c r="L7" s="57">
        <v>4.1666666666666664E-2</v>
      </c>
      <c r="M7" s="55"/>
      <c r="N7" s="55"/>
      <c r="O7" s="55"/>
      <c r="P7" s="58"/>
      <c r="Q7" s="59"/>
      <c r="R7" s="26"/>
      <c r="T7" s="61"/>
    </row>
    <row r="8" spans="2:20" x14ac:dyDescent="0.35">
      <c r="B8" s="75">
        <v>3</v>
      </c>
      <c r="C8" s="74"/>
      <c r="D8" s="76" t="s">
        <v>133</v>
      </c>
      <c r="E8" s="70">
        <v>306064</v>
      </c>
      <c r="F8" s="70" t="s">
        <v>138</v>
      </c>
      <c r="G8" s="70">
        <v>1411793</v>
      </c>
      <c r="H8" s="70">
        <v>160638</v>
      </c>
      <c r="I8" s="70" t="s">
        <v>137</v>
      </c>
      <c r="J8" s="77">
        <v>44915.420925925922</v>
      </c>
      <c r="K8" s="77">
        <v>44915.720925925925</v>
      </c>
      <c r="L8" s="78">
        <v>0.3</v>
      </c>
      <c r="M8" s="69">
        <v>48000</v>
      </c>
      <c r="N8" s="70">
        <v>71</v>
      </c>
      <c r="O8" s="70">
        <v>201371</v>
      </c>
      <c r="P8" s="71">
        <v>48000</v>
      </c>
      <c r="Q8" s="72">
        <v>6666.6666670000004</v>
      </c>
      <c r="R8" s="73"/>
      <c r="T8" s="61"/>
    </row>
    <row r="9" spans="2:20" x14ac:dyDescent="0.35">
      <c r="D9" s="54" t="s">
        <v>133</v>
      </c>
      <c r="E9" s="55"/>
      <c r="F9" s="55" t="s">
        <v>126</v>
      </c>
      <c r="G9" s="55">
        <v>1365248</v>
      </c>
      <c r="H9" s="55"/>
      <c r="I9" s="55"/>
      <c r="J9" s="56">
        <v>44915.720925925925</v>
      </c>
      <c r="K9" s="56">
        <v>44915.762592592589</v>
      </c>
      <c r="L9" s="57">
        <v>4.1666666666666664E-2</v>
      </c>
      <c r="M9" s="55"/>
      <c r="N9" s="55"/>
      <c r="O9" s="55"/>
      <c r="P9" s="58"/>
      <c r="Q9" s="59"/>
      <c r="R9" s="26"/>
      <c r="T9" s="61"/>
    </row>
    <row r="10" spans="2:20" x14ac:dyDescent="0.35">
      <c r="B10" s="75">
        <v>4</v>
      </c>
      <c r="C10" s="74"/>
      <c r="D10" s="76" t="s">
        <v>133</v>
      </c>
      <c r="E10" s="70">
        <v>306019</v>
      </c>
      <c r="F10" s="70" t="s">
        <v>139</v>
      </c>
      <c r="G10" s="70">
        <v>1411796</v>
      </c>
      <c r="H10" s="70">
        <v>160639</v>
      </c>
      <c r="I10" s="70" t="s">
        <v>137</v>
      </c>
      <c r="J10" s="77">
        <v>44915.762592592589</v>
      </c>
      <c r="K10" s="77">
        <v>44916.062592592592</v>
      </c>
      <c r="L10" s="78">
        <v>0.3</v>
      </c>
      <c r="M10" s="69">
        <v>48000</v>
      </c>
      <c r="N10" s="70">
        <v>71</v>
      </c>
      <c r="O10" s="70">
        <v>202755</v>
      </c>
      <c r="P10" s="71">
        <v>48000</v>
      </c>
      <c r="Q10" s="72">
        <v>6666.6666670000004</v>
      </c>
      <c r="R10" s="73"/>
      <c r="T10" s="61"/>
    </row>
    <row r="11" spans="2:20" x14ac:dyDescent="0.35">
      <c r="D11" s="54" t="s">
        <v>129</v>
      </c>
      <c r="E11" s="55"/>
      <c r="F11" s="55" t="s">
        <v>126</v>
      </c>
      <c r="G11" s="55">
        <v>1350092</v>
      </c>
      <c r="H11" s="55"/>
      <c r="I11" s="55"/>
      <c r="J11" s="56">
        <v>44916.062592592592</v>
      </c>
      <c r="K11" s="56">
        <v>44916.104259259257</v>
      </c>
      <c r="L11" s="57">
        <v>4.1666666666666664E-2</v>
      </c>
      <c r="M11" s="55"/>
      <c r="N11" s="55"/>
      <c r="O11" s="55"/>
      <c r="P11" s="58"/>
      <c r="Q11" s="59"/>
      <c r="R11" s="26"/>
      <c r="T11" s="61"/>
    </row>
    <row r="12" spans="2:20" x14ac:dyDescent="0.35">
      <c r="B12" s="75">
        <v>5</v>
      </c>
      <c r="C12" s="74"/>
      <c r="D12" s="76" t="s">
        <v>129</v>
      </c>
      <c r="E12" s="70">
        <v>305614</v>
      </c>
      <c r="F12" s="70" t="s">
        <v>140</v>
      </c>
      <c r="G12" s="70">
        <v>1411794</v>
      </c>
      <c r="H12" s="70">
        <v>160595</v>
      </c>
      <c r="I12" s="70" t="s">
        <v>130</v>
      </c>
      <c r="J12" s="77">
        <v>44916.104259259257</v>
      </c>
      <c r="K12" s="77">
        <v>44916.291759259257</v>
      </c>
      <c r="L12" s="78">
        <v>0.1875</v>
      </c>
      <c r="M12" s="69">
        <v>30000</v>
      </c>
      <c r="N12" s="70">
        <v>40</v>
      </c>
      <c r="O12" s="70">
        <v>202114</v>
      </c>
      <c r="P12" s="71">
        <v>30000</v>
      </c>
      <c r="Q12" s="72">
        <v>6666.6666670000004</v>
      </c>
      <c r="R12" s="73"/>
      <c r="T12" s="61"/>
    </row>
    <row r="13" spans="2:20" x14ac:dyDescent="0.35">
      <c r="D13" s="54" t="s">
        <v>129</v>
      </c>
      <c r="E13" s="55"/>
      <c r="F13" s="55" t="s">
        <v>126</v>
      </c>
      <c r="G13" s="55">
        <v>1356153</v>
      </c>
      <c r="H13" s="55"/>
      <c r="I13" s="55"/>
      <c r="J13" s="56">
        <v>44916.291759259257</v>
      </c>
      <c r="K13" s="56">
        <v>44916.333425925928</v>
      </c>
      <c r="L13" s="57">
        <v>4.1666666666666664E-2</v>
      </c>
      <c r="M13" s="55"/>
      <c r="N13" s="55"/>
      <c r="O13" s="55"/>
      <c r="P13" s="58"/>
      <c r="Q13" s="59"/>
      <c r="R13" s="26"/>
      <c r="T13" s="61"/>
    </row>
    <row r="14" spans="2:20" x14ac:dyDescent="0.35">
      <c r="B14" s="75">
        <v>6</v>
      </c>
      <c r="C14" s="74"/>
      <c r="D14" s="76" t="s">
        <v>129</v>
      </c>
      <c r="E14" s="70">
        <v>305610</v>
      </c>
      <c r="F14" s="70" t="s">
        <v>141</v>
      </c>
      <c r="G14" s="70">
        <v>1411791</v>
      </c>
      <c r="H14" s="70">
        <v>160640</v>
      </c>
      <c r="I14" s="70" t="s">
        <v>142</v>
      </c>
      <c r="J14" s="77">
        <v>44916.333425925928</v>
      </c>
      <c r="K14" s="77">
        <v>44916.507337962961</v>
      </c>
      <c r="L14" s="78">
        <v>0.17391203703703703</v>
      </c>
      <c r="M14" s="69">
        <v>24000</v>
      </c>
      <c r="N14" s="70">
        <v>32</v>
      </c>
      <c r="O14" s="70">
        <v>202568</v>
      </c>
      <c r="P14" s="71">
        <v>24000</v>
      </c>
      <c r="Q14" s="72">
        <v>5750.0332760000001</v>
      </c>
      <c r="R14" s="73"/>
      <c r="T14" s="61"/>
    </row>
    <row r="15" spans="2:20" x14ac:dyDescent="0.35">
      <c r="D15" s="54" t="s">
        <v>129</v>
      </c>
      <c r="E15" s="55"/>
      <c r="F15" s="55" t="s">
        <v>126</v>
      </c>
      <c r="G15" s="55">
        <v>1402709</v>
      </c>
      <c r="H15" s="55"/>
      <c r="I15" s="55"/>
      <c r="J15" s="56">
        <v>44916.507337962961</v>
      </c>
      <c r="K15" s="56">
        <v>44916.549004629633</v>
      </c>
      <c r="L15" s="57">
        <v>4.1666666666666664E-2</v>
      </c>
      <c r="M15" s="55"/>
      <c r="N15" s="55"/>
      <c r="O15" s="55"/>
      <c r="P15" s="58"/>
      <c r="Q15" s="59"/>
      <c r="R15" s="26"/>
      <c r="T15" s="61"/>
    </row>
    <row r="16" spans="2:20" x14ac:dyDescent="0.35">
      <c r="B16" s="75">
        <v>7</v>
      </c>
      <c r="C16" s="74"/>
      <c r="D16" s="76" t="s">
        <v>129</v>
      </c>
      <c r="E16" s="70">
        <v>305873</v>
      </c>
      <c r="F16" s="70" t="s">
        <v>143</v>
      </c>
      <c r="G16" s="70">
        <v>1412185</v>
      </c>
      <c r="H16" s="70">
        <v>160641</v>
      </c>
      <c r="I16" s="70" t="s">
        <v>130</v>
      </c>
      <c r="J16" s="77">
        <v>44916.549004629633</v>
      </c>
      <c r="K16" s="77">
        <v>44917.092488425929</v>
      </c>
      <c r="L16" s="78">
        <v>0.54348379629629628</v>
      </c>
      <c r="M16" s="69">
        <v>75000</v>
      </c>
      <c r="N16" s="70">
        <v>100</v>
      </c>
      <c r="O16" s="70">
        <v>200957</v>
      </c>
      <c r="P16" s="71">
        <v>75000</v>
      </c>
      <c r="Q16" s="72">
        <v>5749.9414360000001</v>
      </c>
      <c r="R16" s="73"/>
      <c r="T16" s="61"/>
    </row>
    <row r="17" spans="2:35" x14ac:dyDescent="0.35">
      <c r="D17" s="54" t="s">
        <v>131</v>
      </c>
      <c r="E17" s="55"/>
      <c r="F17" s="55" t="s">
        <v>144</v>
      </c>
      <c r="G17" s="55">
        <v>1365887</v>
      </c>
      <c r="H17" s="55"/>
      <c r="I17" s="55"/>
      <c r="J17" s="56">
        <v>44917.092488425929</v>
      </c>
      <c r="K17" s="56">
        <v>44917.154988425929</v>
      </c>
      <c r="L17" s="57">
        <v>6.25E-2</v>
      </c>
      <c r="M17" s="55"/>
      <c r="N17" s="55"/>
      <c r="O17" s="55"/>
      <c r="P17" s="58"/>
      <c r="Q17" s="59"/>
      <c r="R17" s="26"/>
      <c r="T17" s="61"/>
    </row>
    <row r="18" spans="2:35" ht="14.25" customHeight="1" x14ac:dyDescent="0.35">
      <c r="B18" s="75">
        <v>8</v>
      </c>
      <c r="C18" s="74"/>
      <c r="D18" s="76" t="s">
        <v>131</v>
      </c>
      <c r="E18" s="70">
        <v>304880</v>
      </c>
      <c r="F18" s="70" t="s">
        <v>145</v>
      </c>
      <c r="G18" s="70">
        <v>1411795</v>
      </c>
      <c r="H18" s="70">
        <v>160642</v>
      </c>
      <c r="I18" s="70" t="s">
        <v>146</v>
      </c>
      <c r="J18" s="77">
        <v>44917.154988425929</v>
      </c>
      <c r="K18" s="77">
        <v>44917.904988425929</v>
      </c>
      <c r="L18" s="78">
        <v>0.75</v>
      </c>
      <c r="M18" s="69">
        <v>120000</v>
      </c>
      <c r="N18" s="70">
        <v>200</v>
      </c>
      <c r="O18" s="70">
        <v>200014</v>
      </c>
      <c r="P18" s="71">
        <v>120000</v>
      </c>
      <c r="Q18" s="72">
        <v>6666.6666670000004</v>
      </c>
      <c r="R18" s="73"/>
      <c r="S18" s="65"/>
      <c r="T18" s="65"/>
      <c r="U18" s="65"/>
      <c r="V18" s="65"/>
      <c r="W18" s="65"/>
      <c r="X18" s="65"/>
      <c r="Y18" s="65"/>
      <c r="Z18" s="65"/>
      <c r="AA18" s="68"/>
      <c r="AB18" s="68"/>
      <c r="AC18" s="66"/>
      <c r="AD18" s="67"/>
      <c r="AE18" s="67"/>
      <c r="AI18" t="s">
        <v>2</v>
      </c>
    </row>
    <row r="19" spans="2:35" x14ac:dyDescent="0.35">
      <c r="D19" s="54" t="s">
        <v>131</v>
      </c>
      <c r="E19" s="55"/>
      <c r="F19" s="55" t="s">
        <v>124</v>
      </c>
      <c r="G19" s="55">
        <v>1407218</v>
      </c>
      <c r="H19" s="55"/>
      <c r="I19" s="55"/>
      <c r="J19" s="56">
        <v>44917.904988425929</v>
      </c>
      <c r="K19" s="56">
        <v>44918.029988425929</v>
      </c>
      <c r="L19" s="57">
        <v>0.125</v>
      </c>
      <c r="M19" s="55"/>
      <c r="N19" s="55"/>
      <c r="O19" s="55"/>
      <c r="P19" s="58"/>
      <c r="Q19" s="59"/>
      <c r="R19" s="26"/>
      <c r="T19" s="61"/>
    </row>
    <row r="20" spans="2:35" x14ac:dyDescent="0.35">
      <c r="B20" s="75">
        <v>9</v>
      </c>
      <c r="C20" s="74"/>
      <c r="D20" s="76"/>
      <c r="E20" s="70"/>
      <c r="F20" s="70"/>
      <c r="G20" s="70"/>
      <c r="H20" s="70"/>
      <c r="I20" s="70"/>
      <c r="J20" s="77"/>
      <c r="K20" s="77"/>
      <c r="L20" s="78"/>
      <c r="M20" s="69"/>
      <c r="N20" s="70"/>
      <c r="O20" s="70"/>
      <c r="P20" s="71"/>
      <c r="Q20" s="72"/>
      <c r="R20" s="73"/>
      <c r="T20" s="61"/>
    </row>
    <row r="21" spans="2:35" x14ac:dyDescent="0.35">
      <c r="D21" s="54"/>
      <c r="E21" s="55"/>
      <c r="F21" s="55"/>
      <c r="G21" s="55"/>
      <c r="H21" s="55"/>
      <c r="I21" s="55"/>
      <c r="J21" s="56"/>
      <c r="K21" s="56"/>
      <c r="L21" s="57"/>
      <c r="M21" s="55"/>
      <c r="N21" s="55"/>
      <c r="O21" s="55"/>
      <c r="P21" s="58"/>
      <c r="Q21" s="59"/>
      <c r="R21" s="26"/>
      <c r="T21" s="61"/>
    </row>
    <row r="22" spans="2:35" x14ac:dyDescent="0.35">
      <c r="B22" s="75">
        <v>10</v>
      </c>
      <c r="C22" s="74"/>
      <c r="D22" s="82"/>
      <c r="E22" s="79"/>
      <c r="F22" s="79"/>
      <c r="G22" s="79"/>
      <c r="H22" s="79"/>
      <c r="I22" s="79"/>
      <c r="J22" s="83"/>
      <c r="K22" s="83"/>
      <c r="L22" s="84"/>
      <c r="M22" s="25"/>
      <c r="N22" s="79"/>
      <c r="O22" s="79"/>
      <c r="P22" s="80"/>
      <c r="Q22" s="81"/>
      <c r="R22" s="73"/>
      <c r="T22" s="61"/>
    </row>
    <row r="23" spans="2:35" x14ac:dyDescent="0.35">
      <c r="D23" s="21"/>
      <c r="E23" s="22"/>
      <c r="F23" s="22"/>
      <c r="G23" s="22"/>
      <c r="H23" s="22"/>
      <c r="I23" s="22"/>
      <c r="J23" s="23"/>
      <c r="K23" s="23"/>
      <c r="L23" s="24"/>
      <c r="M23" s="22"/>
      <c r="N23" s="22"/>
      <c r="O23" s="22"/>
      <c r="P23" s="29"/>
      <c r="Q23" s="30"/>
      <c r="R23" s="26"/>
      <c r="T23" s="61"/>
    </row>
    <row r="24" spans="2:35" x14ac:dyDescent="0.35">
      <c r="B24" s="75">
        <v>11</v>
      </c>
      <c r="C24" s="74"/>
      <c r="D24" s="82"/>
      <c r="E24" s="79"/>
      <c r="F24" s="79"/>
      <c r="G24" s="79"/>
      <c r="H24" s="79"/>
      <c r="I24" s="79"/>
      <c r="J24" s="83"/>
      <c r="K24" s="83"/>
      <c r="L24" s="84"/>
      <c r="M24" s="25"/>
      <c r="N24" s="79"/>
      <c r="O24" s="79"/>
      <c r="P24" s="80"/>
      <c r="Q24" s="81"/>
      <c r="R24" s="73"/>
    </row>
    <row r="25" spans="2:35" x14ac:dyDescent="0.35">
      <c r="D25" s="21"/>
      <c r="E25" s="22"/>
      <c r="F25" s="22"/>
      <c r="G25" s="22"/>
      <c r="H25" s="22"/>
      <c r="I25" s="22"/>
      <c r="J25" s="23"/>
      <c r="K25" s="23"/>
      <c r="L25" s="24"/>
      <c r="M25" s="22"/>
      <c r="N25" s="22"/>
      <c r="O25" s="22"/>
      <c r="P25" s="29"/>
      <c r="Q25" s="30"/>
      <c r="R25" s="26"/>
    </row>
    <row r="26" spans="2:35" x14ac:dyDescent="0.35">
      <c r="B26" s="75">
        <v>12</v>
      </c>
      <c r="C26" s="74"/>
      <c r="D26" s="82"/>
      <c r="E26" s="79"/>
      <c r="F26" s="79"/>
      <c r="G26" s="79"/>
      <c r="H26" s="79"/>
      <c r="I26" s="79"/>
      <c r="J26" s="83"/>
      <c r="K26" s="83"/>
      <c r="L26" s="84"/>
      <c r="M26" s="25"/>
      <c r="N26" s="79"/>
      <c r="O26" s="79"/>
      <c r="P26" s="80"/>
      <c r="Q26" s="81"/>
      <c r="R26" s="73"/>
    </row>
    <row r="27" spans="2:35" x14ac:dyDescent="0.35">
      <c r="D27" s="21"/>
      <c r="E27" s="22"/>
      <c r="F27" s="22"/>
      <c r="G27" s="22"/>
      <c r="H27" s="22"/>
      <c r="I27" s="22"/>
      <c r="J27" s="23"/>
      <c r="K27" s="23"/>
      <c r="L27" s="24"/>
      <c r="M27" s="22"/>
      <c r="N27" s="22"/>
      <c r="O27" s="22"/>
      <c r="P27" s="29"/>
      <c r="Q27" s="30"/>
      <c r="R27" s="26"/>
    </row>
    <row r="28" spans="2:35" x14ac:dyDescent="0.35">
      <c r="B28" s="75">
        <v>13</v>
      </c>
      <c r="C28" s="74"/>
      <c r="D28" s="82"/>
      <c r="E28" s="79"/>
      <c r="F28" s="79"/>
      <c r="G28" s="79"/>
      <c r="H28" s="79"/>
      <c r="I28" s="79"/>
      <c r="J28" s="83"/>
      <c r="K28" s="83"/>
      <c r="L28" s="84"/>
      <c r="M28" s="25"/>
      <c r="N28" s="79"/>
      <c r="O28" s="79"/>
      <c r="P28" s="80"/>
      <c r="Q28" s="81"/>
      <c r="R28" s="73"/>
    </row>
    <row r="29" spans="2:35" x14ac:dyDescent="0.35">
      <c r="D29" s="21"/>
      <c r="E29" s="22"/>
      <c r="F29" s="22"/>
      <c r="G29" s="22"/>
      <c r="H29" s="22"/>
      <c r="I29" s="22"/>
      <c r="J29" s="23"/>
      <c r="K29" s="23"/>
      <c r="L29" s="24"/>
      <c r="M29" s="22"/>
      <c r="N29" s="22"/>
      <c r="O29" s="22"/>
      <c r="P29" s="29"/>
      <c r="Q29" s="30"/>
      <c r="R29" s="26"/>
    </row>
    <row r="30" spans="2:35" x14ac:dyDescent="0.35">
      <c r="B30" s="75">
        <v>14</v>
      </c>
      <c r="C30" s="74"/>
      <c r="D30" s="87"/>
      <c r="E30" s="87"/>
      <c r="F30" s="87"/>
      <c r="G30" s="87"/>
      <c r="H30" s="87"/>
      <c r="I30" s="87"/>
      <c r="J30" s="87"/>
      <c r="K30" s="87"/>
      <c r="L30" s="87"/>
      <c r="M30" s="86"/>
      <c r="N30" s="87"/>
      <c r="O30" s="87"/>
      <c r="P30" s="87"/>
      <c r="Q30" s="87"/>
      <c r="R30" s="87"/>
    </row>
    <row r="31" spans="2:35" x14ac:dyDescent="0.35"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  <c r="P31" s="85"/>
      <c r="Q31" s="85"/>
      <c r="R31" s="85"/>
    </row>
    <row r="32" spans="2:35" x14ac:dyDescent="0.35">
      <c r="B32" s="75">
        <v>15</v>
      </c>
      <c r="C32" s="74"/>
      <c r="D32" s="87"/>
      <c r="E32" s="87"/>
      <c r="F32" s="87"/>
      <c r="G32" s="87"/>
      <c r="H32" s="87"/>
      <c r="I32" s="87"/>
      <c r="J32" s="87"/>
      <c r="K32" s="87"/>
      <c r="L32" s="87"/>
      <c r="M32" s="86"/>
      <c r="N32" s="87"/>
      <c r="O32" s="87"/>
      <c r="P32" s="87"/>
      <c r="Q32" s="87"/>
      <c r="R32" s="87"/>
    </row>
    <row r="33" spans="2:18" x14ac:dyDescent="0.35"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  <c r="P33" s="85"/>
      <c r="Q33" s="85"/>
      <c r="R33" s="85"/>
    </row>
    <row r="34" spans="2:18" x14ac:dyDescent="0.35">
      <c r="B34" s="75">
        <v>16</v>
      </c>
      <c r="C34" s="74"/>
      <c r="D34" s="87"/>
      <c r="E34" s="87"/>
      <c r="F34" s="87"/>
      <c r="G34" s="87"/>
      <c r="H34" s="87"/>
      <c r="I34" s="87"/>
      <c r="J34" s="87"/>
      <c r="K34" s="87"/>
      <c r="L34" s="87"/>
      <c r="M34" s="86"/>
      <c r="N34" s="87"/>
      <c r="O34" s="87"/>
      <c r="P34" s="87"/>
      <c r="Q34" s="87"/>
      <c r="R34" s="87"/>
    </row>
    <row r="35" spans="2:18" x14ac:dyDescent="0.35"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  <c r="P35" s="85"/>
      <c r="Q35" s="85"/>
      <c r="R35" s="85"/>
    </row>
    <row r="36" spans="2:18" x14ac:dyDescent="0.35">
      <c r="B36" s="75">
        <v>17</v>
      </c>
      <c r="C36" s="74"/>
      <c r="D36" s="87"/>
      <c r="E36" s="87"/>
      <c r="F36" s="87"/>
      <c r="G36" s="87"/>
      <c r="H36" s="87"/>
      <c r="I36" s="87"/>
      <c r="J36" s="87"/>
      <c r="K36" s="87"/>
      <c r="L36" s="87"/>
      <c r="M36" s="86"/>
      <c r="N36" s="87"/>
      <c r="O36" s="87"/>
      <c r="P36" s="87"/>
      <c r="Q36" s="87"/>
      <c r="R36" s="87"/>
    </row>
    <row r="37" spans="2:18" x14ac:dyDescent="0.35"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</row>
    <row r="38" spans="2:18" x14ac:dyDescent="0.35">
      <c r="B38" s="75">
        <v>18</v>
      </c>
      <c r="C38" s="74"/>
      <c r="D38" s="87"/>
      <c r="E38" s="87"/>
      <c r="F38" s="87"/>
      <c r="G38" s="87"/>
      <c r="H38" s="87"/>
      <c r="I38" s="87"/>
      <c r="J38" s="87"/>
      <c r="K38" s="87"/>
      <c r="L38" s="87"/>
      <c r="M38" s="86"/>
      <c r="N38" s="87"/>
      <c r="O38" s="87"/>
      <c r="P38" s="87"/>
      <c r="Q38" s="87"/>
      <c r="R38" s="87"/>
    </row>
    <row r="39" spans="2:18" x14ac:dyDescent="0.35">
      <c r="D39" s="85"/>
      <c r="E39" s="85"/>
      <c r="F39" s="85"/>
      <c r="G39" s="85"/>
      <c r="H39" s="85"/>
      <c r="I39" s="85"/>
      <c r="J39" s="85"/>
      <c r="K39" s="85"/>
      <c r="L39" s="85"/>
      <c r="M39" s="85"/>
      <c r="N39" s="85"/>
      <c r="O39" s="85"/>
      <c r="P39" s="85"/>
      <c r="Q39" s="85"/>
      <c r="R39" s="85"/>
    </row>
    <row r="40" spans="2:18" x14ac:dyDescent="0.35">
      <c r="B40" s="75">
        <v>19</v>
      </c>
      <c r="C40" s="74"/>
      <c r="D40" s="87"/>
      <c r="E40" s="87"/>
      <c r="F40" s="87"/>
      <c r="G40" s="87"/>
      <c r="H40" s="87"/>
      <c r="I40" s="87"/>
      <c r="J40" s="87"/>
      <c r="K40" s="87"/>
      <c r="L40" s="87"/>
      <c r="M40" s="86"/>
      <c r="N40" s="87"/>
      <c r="O40" s="87"/>
      <c r="P40" s="87"/>
      <c r="Q40" s="87"/>
      <c r="R40" s="87"/>
    </row>
    <row r="41" spans="2:18" x14ac:dyDescent="0.35">
      <c r="D41" s="85"/>
      <c r="E41" s="85"/>
      <c r="F41" s="85"/>
      <c r="G41" s="85"/>
      <c r="H41" s="85"/>
      <c r="I41" s="85"/>
      <c r="J41" s="85"/>
      <c r="K41" s="85"/>
      <c r="L41" s="85"/>
      <c r="M41" s="85"/>
      <c r="N41" s="85"/>
      <c r="O41" s="85"/>
      <c r="P41" s="85"/>
      <c r="Q41" s="85"/>
      <c r="R41" s="85"/>
    </row>
    <row r="42" spans="2:18" x14ac:dyDescent="0.35">
      <c r="D42" s="85"/>
      <c r="E42" s="85"/>
      <c r="F42" s="85"/>
      <c r="G42" s="85"/>
      <c r="H42" s="85"/>
      <c r="I42" s="85"/>
      <c r="J42" s="85"/>
      <c r="K42" s="85"/>
      <c r="L42" s="85"/>
      <c r="M42" s="86"/>
      <c r="N42" s="85"/>
      <c r="O42" s="85"/>
      <c r="P42" s="85"/>
      <c r="Q42" s="85"/>
      <c r="R42" s="85"/>
    </row>
  </sheetData>
  <conditionalFormatting sqref="E3:F25">
    <cfRule type="expression" dxfId="28" priority="28">
      <formula>IF($AF3=RIGHT($A$1,3),1,0)</formula>
    </cfRule>
  </conditionalFormatting>
  <conditionalFormatting sqref="D22:P25">
    <cfRule type="expression" dxfId="27" priority="29">
      <formula>IF($N22="YES",1,0)</formula>
    </cfRule>
    <cfRule type="expression" dxfId="26" priority="30">
      <formula>IF($N22="YAR",1,0)</formula>
    </cfRule>
    <cfRule type="expression" dxfId="25" priority="31">
      <formula>IF($N22="YCH",1,0)</formula>
    </cfRule>
    <cfRule type="expression" dxfId="24" priority="32">
      <formula>IF($N22="YPF",1,0)</formula>
    </cfRule>
    <cfRule type="expression" dxfId="23" priority="33">
      <formula>IF($N22="YNE",1,0)</formula>
    </cfRule>
  </conditionalFormatting>
  <conditionalFormatting sqref="I22:I25">
    <cfRule type="containsText" dxfId="22" priority="27" operator="containsText" text="NIMP">
      <formula>NOT(ISERROR(SEARCH("NIMP",I22)))</formula>
    </cfRule>
  </conditionalFormatting>
  <conditionalFormatting sqref="D17:P21">
    <cfRule type="expression" dxfId="21" priority="22">
      <formula>IF($N17="YES",1,0)</formula>
    </cfRule>
    <cfRule type="expression" dxfId="20" priority="23">
      <formula>IF($N17="YAR",1,0)</formula>
    </cfRule>
    <cfRule type="expression" dxfId="19" priority="24">
      <formula>IF($N17="YCH",1,0)</formula>
    </cfRule>
    <cfRule type="expression" dxfId="18" priority="25">
      <formula>IF($N17="YPF",1,0)</formula>
    </cfRule>
    <cfRule type="expression" dxfId="17" priority="34">
      <formula>IF($N17="YNE",1,0)</formula>
    </cfRule>
  </conditionalFormatting>
  <conditionalFormatting sqref="I17:I21">
    <cfRule type="containsText" dxfId="16" priority="20" operator="containsText" text="NIMP">
      <formula>NOT(ISERROR(SEARCH("NIMP",I17)))</formula>
    </cfRule>
  </conditionalFormatting>
  <conditionalFormatting sqref="D3:P13 D15:P15">
    <cfRule type="expression" dxfId="15" priority="15">
      <formula>IF($N3="YES",1,0)</formula>
    </cfRule>
    <cfRule type="expression" dxfId="14" priority="16">
      <formula>IF($N3="YAR",1,0)</formula>
    </cfRule>
    <cfRule type="expression" dxfId="13" priority="17">
      <formula>IF($N3="YCH",1,0)</formula>
    </cfRule>
    <cfRule type="expression" dxfId="12" priority="18">
      <formula>IF($N3="YPF",1,0)</formula>
    </cfRule>
    <cfRule type="expression" dxfId="11" priority="19">
      <formula>IF($N3="YNE",1,0)</formula>
    </cfRule>
  </conditionalFormatting>
  <conditionalFormatting sqref="I3:I16">
    <cfRule type="containsText" dxfId="10" priority="13" operator="containsText" text="NIMP">
      <formula>NOT(ISERROR(SEARCH("NIMP",I3)))</formula>
    </cfRule>
  </conditionalFormatting>
  <conditionalFormatting sqref="D16:P16">
    <cfRule type="expression" dxfId="9" priority="8">
      <formula>IF($N16="YES",1,0)</formula>
    </cfRule>
    <cfRule type="expression" dxfId="8" priority="9">
      <formula>IF($N16="YAR",1,0)</formula>
    </cfRule>
    <cfRule type="expression" dxfId="7" priority="10">
      <formula>IF($N16="YCH",1,0)</formula>
    </cfRule>
    <cfRule type="expression" dxfId="6" priority="11">
      <formula>IF($N16="YPF",1,0)</formula>
    </cfRule>
    <cfRule type="expression" dxfId="5" priority="12">
      <formula>IF($N16="YNE",1,0)</formula>
    </cfRule>
  </conditionalFormatting>
  <conditionalFormatting sqref="D14:P14">
    <cfRule type="expression" dxfId="4" priority="2">
      <formula>IF($N14="YES",1,0)</formula>
    </cfRule>
    <cfRule type="expression" dxfId="3" priority="3">
      <formula>IF($N14="YAR",1,0)</formula>
    </cfRule>
    <cfRule type="expression" dxfId="2" priority="4">
      <formula>IF($N14="YCH",1,0)</formula>
    </cfRule>
    <cfRule type="expression" dxfId="1" priority="5">
      <formula>IF($N14="YPF",1,0)</formula>
    </cfRule>
    <cfRule type="expression" dxfId="0" priority="6">
      <formula>IF($N14="YNE",1,0)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Ligne 6</vt:lpstr>
      <vt:lpstr>Planning_L6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xavier druesne</dc:creator>
  <cp:keywords/>
  <dc:description/>
  <cp:lastModifiedBy>Jean-Eric</cp:lastModifiedBy>
  <cp:revision/>
  <dcterms:created xsi:type="dcterms:W3CDTF">2022-04-20T08:32:07Z</dcterms:created>
  <dcterms:modified xsi:type="dcterms:W3CDTF">2023-05-08T09:12:29Z</dcterms:modified>
  <cp:category/>
  <cp:contentStatus/>
</cp:coreProperties>
</file>